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A1847204-DB7B-464B-991C-3B4DEAC2F77E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3" r:id="rId1"/>
    <sheet name="産業大分類" sheetId="5" r:id="rId2"/>
    <sheet name="産業中分類" sheetId="6" r:id="rId3"/>
    <sheet name="産業小分類" sheetId="7" r:id="rId4"/>
    <sheet name="茨城県" sheetId="8" r:id="rId5"/>
    <sheet name="水戸市" sheetId="9" r:id="rId6"/>
    <sheet name="日立市" sheetId="10" r:id="rId7"/>
    <sheet name="土浦市" sheetId="11" r:id="rId8"/>
    <sheet name="古河市" sheetId="12" r:id="rId9"/>
    <sheet name="石岡市" sheetId="13" r:id="rId10"/>
    <sheet name="結城市" sheetId="14" r:id="rId11"/>
    <sheet name="龍ケ崎市" sheetId="15" r:id="rId12"/>
    <sheet name="下妻市" sheetId="16" r:id="rId13"/>
    <sheet name="常総市" sheetId="17" r:id="rId14"/>
    <sheet name="常陸太田市" sheetId="18" r:id="rId15"/>
    <sheet name="高萩市" sheetId="19" r:id="rId16"/>
    <sheet name="北茨城市" sheetId="20" r:id="rId17"/>
    <sheet name="笠間市" sheetId="21" r:id="rId18"/>
    <sheet name="取手市" sheetId="22" r:id="rId19"/>
    <sheet name="牛久市" sheetId="23" r:id="rId20"/>
    <sheet name="つくば市" sheetId="24" r:id="rId21"/>
    <sheet name="ひたちなか市" sheetId="25" r:id="rId22"/>
    <sheet name="鹿嶋市" sheetId="26" r:id="rId23"/>
    <sheet name="潮来市" sheetId="27" r:id="rId24"/>
    <sheet name="守谷市" sheetId="28" r:id="rId25"/>
    <sheet name="常陸大宮市" sheetId="29" r:id="rId26"/>
    <sheet name="那珂市" sheetId="30" r:id="rId27"/>
    <sheet name="筑西市" sheetId="31" r:id="rId28"/>
    <sheet name="坂東市" sheetId="32" r:id="rId29"/>
    <sheet name="稲敷市" sheetId="33" r:id="rId30"/>
    <sheet name="かすみがうら市" sheetId="34" r:id="rId31"/>
    <sheet name="桜川市" sheetId="35" r:id="rId32"/>
    <sheet name="神栖市" sheetId="36" r:id="rId33"/>
    <sheet name="行方市" sheetId="37" r:id="rId34"/>
    <sheet name="鉾田市" sheetId="38" r:id="rId35"/>
    <sheet name="つくばみらい市" sheetId="39" r:id="rId36"/>
    <sheet name="小美玉市" sheetId="40" r:id="rId37"/>
    <sheet name="東茨城郡茨城町" sheetId="41" r:id="rId38"/>
    <sheet name="東茨城郡大洗町" sheetId="42" r:id="rId39"/>
    <sheet name="東茨城郡城里町" sheetId="43" r:id="rId40"/>
    <sheet name="那珂郡東海村" sheetId="44" r:id="rId41"/>
    <sheet name="久慈郡大子町" sheetId="45" r:id="rId42"/>
    <sheet name="稲敷郡美浦村" sheetId="46" r:id="rId43"/>
    <sheet name="稲敷郡阿見町" sheetId="47" r:id="rId44"/>
    <sheet name="稲敷郡河内町" sheetId="48" r:id="rId45"/>
    <sheet name="結城郡八千代町" sheetId="49" r:id="rId46"/>
    <sheet name="猿島郡五霞町" sheetId="50" r:id="rId47"/>
    <sheet name="猿島郡境町" sheetId="51" r:id="rId48"/>
    <sheet name="北相馬郡利根町" sheetId="52" r:id="rId4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49" r:id="rId50"/>
    <pivotCache cacheId="2150" r:id="rId51"/>
    <pivotCache cacheId="2151" r:id="rId5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2" l="1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<sst xmlns="http://schemas.openxmlformats.org/spreadsheetml/2006/main" count="6569" uniqueCount="289">
  <si>
    <t>08000 茨城県</t>
  </si>
  <si>
    <t>08201 水戸市</t>
  </si>
  <si>
    <t>08202 日立市</t>
  </si>
  <si>
    <t>08203 土浦市</t>
  </si>
  <si>
    <t>08204 古河市</t>
  </si>
  <si>
    <t>08205 石岡市</t>
  </si>
  <si>
    <t>08207 結城市</t>
  </si>
  <si>
    <t>08208 龍ケ崎市</t>
  </si>
  <si>
    <t>08210 下妻市</t>
  </si>
  <si>
    <t>08211 常総市</t>
  </si>
  <si>
    <t>08212 常陸太田市</t>
  </si>
  <si>
    <t>08214 高萩市</t>
  </si>
  <si>
    <t>08215 北茨城市</t>
  </si>
  <si>
    <t>08216 笠間市</t>
  </si>
  <si>
    <t>08217 取手市</t>
  </si>
  <si>
    <t>08219 牛久市</t>
  </si>
  <si>
    <t>08220 つくば市</t>
  </si>
  <si>
    <t>08221 ひたちなか市</t>
  </si>
  <si>
    <t>08222 鹿嶋市</t>
  </si>
  <si>
    <t>08223 潮来市</t>
  </si>
  <si>
    <t>08224 守谷市</t>
  </si>
  <si>
    <t>08225 常陸大宮市</t>
  </si>
  <si>
    <t>08226 那珂市</t>
  </si>
  <si>
    <t>08227 筑西市</t>
  </si>
  <si>
    <t>08228 坂東市</t>
  </si>
  <si>
    <t>08229 稲敷市</t>
  </si>
  <si>
    <t>08230 かすみがうら市</t>
  </si>
  <si>
    <t>08231 桜川市</t>
  </si>
  <si>
    <t>08232 神栖市</t>
  </si>
  <si>
    <t>08233 行方市</t>
  </si>
  <si>
    <t>08234 鉾田市</t>
  </si>
  <si>
    <t>08235 つくばみらい市</t>
  </si>
  <si>
    <t>08236 小美玉市</t>
  </si>
  <si>
    <t>08302 東茨城郡茨城町</t>
  </si>
  <si>
    <t>08309 東茨城郡大洗町</t>
  </si>
  <si>
    <t>08310 東茨城郡城里町</t>
  </si>
  <si>
    <t>08341 那珂郡東海村</t>
  </si>
  <si>
    <t>08364 久慈郡大子町</t>
  </si>
  <si>
    <t>08442 稲敷郡美浦村</t>
  </si>
  <si>
    <t>08443 稲敷郡阿見町</t>
  </si>
  <si>
    <t>08447 稲敷郡河内町</t>
  </si>
  <si>
    <t>08521 結城郡八千代町</t>
  </si>
  <si>
    <t>08542 猿島郡五霞町</t>
  </si>
  <si>
    <t>08546 猿島郡境町</t>
  </si>
  <si>
    <t>08564 北相馬郡利根町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</si>
  <si>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</si>
  <si>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</si>
  <si>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</si>
  <si>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</si>
  <si>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</si>
  <si>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</si>
  <si>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</si>
  <si>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</si>
  <si>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</si>
  <si>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</si>
  <si>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</si>
  <si>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</si>
  <si>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</si>
  <si>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</si>
  <si>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</si>
  <si>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</si>
  <si>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</si>
  <si>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</si>
  <si>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</si>
  <si>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</si>
  <si>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</si>
  <si>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</si>
  <si>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</si>
  <si>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</si>
  <si>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</si>
  <si>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</si>
  <si>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</si>
  <si>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</si>
  <si>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</si>
  <si>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</si>
  <si>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</si>
  <si>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</si>
  <si>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</si>
  <si>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</si>
  <si>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</si>
  <si>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</si>
  <si>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</si>
  <si>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</si>
  <si>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</si>
  <si>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</si>
  <si>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</si>
  <si>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</si>
  <si>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</si>
  <si>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55 その他の卸売業</t>
  </si>
  <si>
    <t>92 その他の事業サービス業</t>
  </si>
  <si>
    <t>29 電気機械器具製造業</t>
  </si>
  <si>
    <t>18 プラスチック製品製造業（別掲を除く）</t>
  </si>
  <si>
    <t>26 生産用機械器具製造業</t>
  </si>
  <si>
    <t>52 飲食料品卸売業</t>
  </si>
  <si>
    <t>11 繊維工業</t>
  </si>
  <si>
    <t>21 窯業・土石製品製造業</t>
  </si>
  <si>
    <t>85 社会保険・社会福祉・介護事業</t>
  </si>
  <si>
    <t>09 食料品製造業</t>
  </si>
  <si>
    <t>12 木材・木製品製造業（家具を除く）</t>
  </si>
  <si>
    <t>75 宿泊業</t>
  </si>
  <si>
    <t>80 娯楽業</t>
  </si>
  <si>
    <t>61 無店舗小売業</t>
  </si>
  <si>
    <t>39 情報サービス業</t>
  </si>
  <si>
    <t>67 保険業（保険媒介代理業，保険サービス業を含む）</t>
  </si>
  <si>
    <t>32 その他の製造業</t>
  </si>
  <si>
    <t>77 持ち帰り・配達飲食サービス業</t>
  </si>
  <si>
    <t>90 機械等修理業（別掲を除く）</t>
  </si>
  <si>
    <t>47 倉庫業</t>
  </si>
  <si>
    <t>44 道路貨物運送業</t>
  </si>
  <si>
    <t>13 家具・装備品製造業</t>
  </si>
  <si>
    <t>10 飲料・たばこ・飼料製造業</t>
  </si>
  <si>
    <t>48 運輸に附帯するサービス業</t>
  </si>
  <si>
    <t>15 印刷・同関連業</t>
  </si>
  <si>
    <t>20 なめし革・同製品・毛皮製造業</t>
  </si>
  <si>
    <t>25 はん用機械器具製造業</t>
  </si>
  <si>
    <t>95 その他のサービス業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</si>
  <si>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</si>
  <si>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</si>
  <si>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</si>
  <si>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</si>
  <si>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</si>
  <si>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</si>
  <si>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</si>
  <si>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</si>
  <si>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</si>
  <si>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</si>
  <si>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</si>
  <si>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</si>
  <si>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</si>
  <si>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</si>
  <si>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</si>
  <si>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</si>
  <si>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</si>
  <si>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782 理容業</t>
  </si>
  <si>
    <t>783 美容業</t>
  </si>
  <si>
    <t>824 教養・技能教授業</t>
  </si>
  <si>
    <t>835 療術業</t>
  </si>
  <si>
    <t>891 自動車整備業</t>
  </si>
  <si>
    <t>766 バー，キャバレー，ナイトクラブ</t>
  </si>
  <si>
    <t>781 洗濯業</t>
  </si>
  <si>
    <t>593 機械器具小売業（自動車，自転車を除く）</t>
  </si>
  <si>
    <t>823 学習塾</t>
  </si>
  <si>
    <t>693 駐車場業</t>
  </si>
  <si>
    <t>833 歯科診療所</t>
  </si>
  <si>
    <t>077 塗装工事業</t>
  </si>
  <si>
    <t>071 大工工事業</t>
  </si>
  <si>
    <t>079 その他の職別工事業</t>
  </si>
  <si>
    <t>586 菓子・パン小売業</t>
  </si>
  <si>
    <t>763 そば・うどん店</t>
  </si>
  <si>
    <t>112 織物業</t>
  </si>
  <si>
    <t>244 建設用・建築用金属製品製造業（製缶板金業を含む）</t>
  </si>
  <si>
    <t>066 建築リフォーム工事業</t>
  </si>
  <si>
    <t>761 食堂，レストラン（専門料理店を除く）</t>
  </si>
  <si>
    <t>072 とび・土工・コンクリート工事業</t>
  </si>
  <si>
    <t>573 婦人・子供服小売業</t>
  </si>
  <si>
    <t>078 床・内装工事業</t>
  </si>
  <si>
    <t>821 社会教育</t>
  </si>
  <si>
    <t>585 酒小売業</t>
  </si>
  <si>
    <t>092 水産食料品製造業</t>
  </si>
  <si>
    <t>751 旅館，ホテル</t>
  </si>
  <si>
    <t>214 陶磁器・同関連製品製造業</t>
  </si>
  <si>
    <t>218 骨材・石工品等製造業</t>
  </si>
  <si>
    <t>602 じゅう器小売業</t>
  </si>
  <si>
    <t>611 通信販売・訪問販売小売業</t>
  </si>
  <si>
    <t>682 不動産代理業・仲介業</t>
  </si>
  <si>
    <t>799 他に分類されない生活関連サービス業</t>
  </si>
  <si>
    <t>073 鉄骨・鉄筋工事業</t>
  </si>
  <si>
    <t>076 板金・金物工事業</t>
  </si>
  <si>
    <t>604 農耕用品小売業</t>
  </si>
  <si>
    <t>075 左官工事業</t>
  </si>
  <si>
    <t>601 家具・建具・畳小売業</t>
  </si>
  <si>
    <t>772 配達飲食サービス業</t>
  </si>
  <si>
    <t>853 児童福祉事業</t>
  </si>
  <si>
    <t>074 石工・れんが・タイル・ブロック工事業</t>
  </si>
  <si>
    <t>531 建築材料卸売業</t>
  </si>
  <si>
    <t>559 他に分類されない卸売業</t>
  </si>
  <si>
    <t>084 機械器具設置工事業</t>
  </si>
  <si>
    <t>471 倉庫業（冷蔵倉庫業を除く）</t>
  </si>
  <si>
    <t>521 農畜産物・水産物卸売業</t>
  </si>
  <si>
    <t>441 一般貨物自動車運送業</t>
  </si>
  <si>
    <t>584 鮮魚小売業</t>
  </si>
  <si>
    <t>391 ソフトウェア業</t>
  </si>
  <si>
    <t>099 その他の食料品製造業</t>
  </si>
  <si>
    <t>209 その他のなめし革製品製造業</t>
  </si>
  <si>
    <t>741 獣医業</t>
  </si>
  <si>
    <t>854 老人福祉・介護事業</t>
  </si>
  <si>
    <t>922 建物サービス業</t>
  </si>
  <si>
    <t>929 他に分類されない事業サービス業</t>
  </si>
  <si>
    <t>572 男子服小売業</t>
  </si>
  <si>
    <t>579 その他の織物・衣服・身の回り品小売業</t>
  </si>
  <si>
    <t>328 畳等生活雑貨製品製造業</t>
  </si>
  <si>
    <t>592 自転車小売業</t>
  </si>
  <si>
    <t>産業小分類</t>
  </si>
  <si>
    <t>08000　茨城県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</si>
  <si>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</si>
  <si>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</si>
  <si>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</si>
  <si>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</si>
  <si>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</si>
  <si>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08201　水戸市</t>
  </si>
  <si>
    <t>08202　日立市</t>
  </si>
  <si>
    <t>08203　土浦市</t>
  </si>
  <si>
    <t>08204　古河市</t>
  </si>
  <si>
    <t>08205　石岡市</t>
  </si>
  <si>
    <t>08207　結城市</t>
  </si>
  <si>
    <t>08208　龍ケ崎市</t>
  </si>
  <si>
    <t>08210　下妻市</t>
  </si>
  <si>
    <t>08211　常総市</t>
  </si>
  <si>
    <t>08212　常陸太田市</t>
  </si>
  <si>
    <t>08214　高萩市</t>
  </si>
  <si>
    <t>08215　北茨城市</t>
  </si>
  <si>
    <t>08216　笠間市</t>
  </si>
  <si>
    <t>08217　取手市</t>
  </si>
  <si>
    <t>08219　牛久市</t>
  </si>
  <si>
    <t>08220　つくば市</t>
  </si>
  <si>
    <t>08221　ひたちなか市</t>
  </si>
  <si>
    <t>08222　鹿嶋市</t>
  </si>
  <si>
    <t>08223　潮来市</t>
  </si>
  <si>
    <t>08224　守谷市</t>
  </si>
  <si>
    <t>08225　常陸大宮市</t>
  </si>
  <si>
    <t>08226　那珂市</t>
  </si>
  <si>
    <t>08227　筑西市</t>
  </si>
  <si>
    <t>08228　坂東市</t>
  </si>
  <si>
    <t>08229　稲敷市</t>
  </si>
  <si>
    <t>08230　かすみがうら市</t>
  </si>
  <si>
    <t>08231　桜川市</t>
  </si>
  <si>
    <t>08232　神栖市</t>
  </si>
  <si>
    <t>08233　行方市</t>
  </si>
  <si>
    <t>08234　鉾田市</t>
  </si>
  <si>
    <t>08235　つくばみらい市</t>
  </si>
  <si>
    <t>08236　小美玉市</t>
  </si>
  <si>
    <t>08302　東茨城郡茨城町</t>
  </si>
  <si>
    <t>08309　東茨城郡大洗町</t>
  </si>
  <si>
    <t>08310　東茨城郡城里町</t>
  </si>
  <si>
    <t>08341　那珂郡東海村</t>
  </si>
  <si>
    <t>08364　久慈郡大子町</t>
  </si>
  <si>
    <t>08442　稲敷郡美浦村</t>
  </si>
  <si>
    <t>08443　稲敷郡阿見町</t>
  </si>
  <si>
    <t>08447　稲敷郡河内町</t>
  </si>
  <si>
    <t>08521　結城郡八千代町</t>
  </si>
  <si>
    <t>08542　猿島郡五霞町</t>
  </si>
  <si>
    <t>08546　猿島郡境町</t>
  </si>
  <si>
    <t>08564　北相馬郡利根町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</si>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</sst>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8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592071759" createdVersion="5" refreshedVersion="8" minRefreshableVersion="3" recordCount="675" xr:uid="{5F5991F4-8E4C-4537-A6E7-36851E1156FA}">
  <cacheSource type="external" connectionId="1"/>
  <cacheFields count="11">
    <cacheField name="都道府県" numFmtId="0" sqlType="-9">
      <sharedItems count="1">
        <s v="08 茨城県"/>
      </sharedItems>
    </cacheField>
    <cacheField name="自治体名" numFmtId="0" sqlType="-9">
      <sharedItems/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4546"/>
    </cacheField>
    <cacheField name="構成比" numFmtId="0" sqlType="3">
      <sharedItems containsSemiMixedTypes="0" containsString="0" containsNumber="1" minValue="0" maxValue="37.659999999999997"/>
    </cacheField>
    <cacheField name="総数（個人）" numFmtId="0" sqlType="4">
      <sharedItems containsSemiMixedTypes="0" containsString="0" containsNumber="1" containsInteger="1" minValue="0" maxValue="7291"/>
    </cacheField>
    <cacheField name="構成比（個人）" numFmtId="0" sqlType="3">
      <sharedItems containsSemiMixedTypes="0" containsString="0" containsNumber="1" minValue="0" maxValue="34.950000000000003"/>
    </cacheField>
    <cacheField name="総数（法人）" numFmtId="0" sqlType="4">
      <sharedItems containsSemiMixedTypes="0" containsString="0" containsNumber="1" containsInteger="1" minValue="0" maxValue="7240"/>
    </cacheField>
    <cacheField name="構成比（法人）" numFmtId="0" sqlType="3">
      <sharedItems containsSemiMixedTypes="0" containsString="0" containsNumber="1" minValue="0" maxValue="41.46"/>
    </cacheField>
    <cacheField name="総数（法人以外の団体）" numFmtId="0" sqlType="4">
      <sharedItems containsSemiMixedTypes="0" containsString="0" containsNumber="1" containsInteger="1" minValue="0" maxValue="14" count="9">
        <n v="0"/>
        <n v="1"/>
        <n v="6"/>
        <n v="14"/>
        <n v="3"/>
        <n v="2"/>
        <n v="4"/>
        <n v="8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6052662039" createdVersion="5" refreshedVersion="8" minRefreshableVersion="3" recordCount="943" xr:uid="{3670A88F-40D3-4056-AF03-E65B25465590}">
  <cacheSource type="external" connectionId="2"/>
  <cacheFields count="14">
    <cacheField name="都道府県" numFmtId="0" sqlType="-9">
      <sharedItems count="1">
        <s v="08 茨城県"/>
      </sharedItems>
    </cacheField>
    <cacheField name="自治体名" numFmtId="0" sqlType="-9">
      <sharedItems count="45">
        <s v="茨城県"/>
        <s v="水戸市"/>
        <s v="日立市"/>
        <s v="土浦市"/>
        <s v="古河市"/>
        <s v="石岡市"/>
        <s v="結城市"/>
        <s v="龍ケ崎市"/>
        <s v="下妻市"/>
        <s v="常総市"/>
        <s v="常陸太田市"/>
        <s v="高萩市"/>
        <s v="北茨城市"/>
        <s v="笠間市"/>
        <s v="取手市"/>
        <s v="牛久市"/>
        <s v="つくば市"/>
        <s v="ひたちなか市"/>
        <s v="鹿嶋市"/>
        <s v="潮来市"/>
        <s v="守谷市"/>
        <s v="常陸大宮市"/>
        <s v="那珂市"/>
        <s v="筑西市"/>
        <s v="坂東市"/>
        <s v="稲敷市"/>
        <s v="かすみがうら市"/>
        <s v="桜川市"/>
        <s v="神栖市"/>
        <s v="行方市"/>
        <s v="鉾田市"/>
        <s v="つくばみらい市"/>
        <s v="小美玉市"/>
        <s v="東茨城郡茨城町"/>
        <s v="東茨城郡大洗町"/>
        <s v="東茨城郡城里町"/>
        <s v="那珂郡東海村"/>
        <s v="久慈郡大子町"/>
        <s v="稲敷郡美浦村"/>
        <s v="稲敷郡阿見町"/>
        <s v="稲敷郡河内町"/>
        <s v="結城郡八千代町"/>
        <s v="猿島郡五霞町"/>
        <s v="猿島郡境町"/>
        <s v="北相馬郡利根町"/>
      </sharedItems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産業分類コード" numFmtId="0" sqlType="-8">
      <sharedItems count="48">
        <s v="78"/>
        <s v="76"/>
        <s v="06"/>
        <s v="60"/>
        <s v="07"/>
        <s v="69"/>
        <s v="58"/>
        <s v="08"/>
        <s v="59"/>
        <s v="82"/>
        <s v="83"/>
        <s v="89"/>
        <s v="74"/>
        <s v="72"/>
        <s v="57"/>
        <s v="53"/>
        <s v="54"/>
        <s v="24"/>
        <s v="79"/>
        <s v="68"/>
        <s v="55"/>
        <s v="92"/>
        <s v="29"/>
        <s v="26"/>
        <s v="18"/>
        <s v="52"/>
        <s v="11"/>
        <s v="85"/>
        <s v="21"/>
        <s v="09"/>
        <s v="75"/>
        <s v="12"/>
        <s v="80"/>
        <s v="61"/>
        <s v="39"/>
        <s v="67"/>
        <s v="32"/>
        <s v="77"/>
        <s v="90"/>
        <s v="47"/>
        <s v="44"/>
        <s v="13"/>
        <s v="10"/>
        <s v="48"/>
        <s v="15"/>
        <s v="20"/>
        <s v="25"/>
        <s v="95"/>
      </sharedItems>
    </cacheField>
    <cacheField name="産業分類" numFmtId="0" sqlType="-9">
      <sharedItems count="48">
        <s v="洗濯・理容・美容・浴場業"/>
        <s v="飲食店"/>
        <s v="総合工事業"/>
        <s v="その他の小売業"/>
        <s v="職別工事業（設備工事業を除く）"/>
        <s v="不動産賃貸業・管理業"/>
        <s v="飲食料品小売業"/>
        <s v="設備工事業"/>
        <s v="機械器具小売業"/>
        <s v="その他の教育，学習支援業"/>
        <s v="医療業"/>
        <s v="自動車整備業"/>
        <s v="技術サービス業（他に分類されないもの）"/>
        <s v="専門サービス業（他に分類されないもの）"/>
        <s v="織物・衣服・身の回り品小売業"/>
        <s v="建築材料，鉱物・金属材料等卸売業"/>
        <s v="機械器具卸売業"/>
        <s v="金属製品製造業"/>
        <s v="その他の生活関連サービス業"/>
        <s v="不動産取引業"/>
        <s v="その他の卸売業"/>
        <s v="その他の事業サービス業"/>
        <s v="電気機械器具製造業"/>
        <s v="生産用機械器具製造業"/>
        <s v="プラスチック製品製造業（別掲を除く）"/>
        <s v="飲食料品卸売業"/>
        <s v="繊維工業"/>
        <s v="社会保険・社会福祉・介護事業"/>
        <s v="窯業・土石製品製造業"/>
        <s v="食料品製造業"/>
        <s v="宿泊業"/>
        <s v="木材・木製品製造業（家具を除く）"/>
        <s v="娯楽業"/>
        <s v="無店舗小売業"/>
        <s v="情報サービス業"/>
        <s v="保険業（保険媒介代理業，保険サービス業を含む）"/>
        <s v="その他の製造業"/>
        <s v="持ち帰り・配達飲食サービス業"/>
        <s v="機械等修理業（別掲を除く）"/>
        <s v="倉庫業"/>
        <s v="道路貨物運送業"/>
        <s v="家具・装備品製造業"/>
        <s v="飲料・たばこ・飼料製造業"/>
        <s v="運輸に附帯するサービス業"/>
        <s v="印刷・同関連業"/>
        <s v="なめし革・同製品・毛皮製造業"/>
        <s v="はん用機械器具製造業"/>
        <s v="その他のサービス業"/>
      </sharedItems>
    </cacheField>
    <cacheField name="産業中分類" numFmtId="0" sqlType="-9">
      <sharedItems count="48">
        <s v="78 洗濯・理容・美容・浴場業"/>
        <s v="76 飲食店"/>
        <s v="06 総合工事業"/>
        <s v="60 その他の小売業"/>
        <s v="07 職別工事業（設備工事業を除く）"/>
        <s v="69 不動産賃貸業・管理業"/>
        <s v="58 飲食料品小売業"/>
        <s v="08 設備工事業"/>
        <s v="59 機械器具小売業"/>
        <s v="82 その他の教育，学習支援業"/>
        <s v="83 医療業"/>
        <s v="89 自動車整備業"/>
        <s v="74 技術サービス業（他に分類されないもの）"/>
        <s v="72 専門サービス業（他に分類されないもの）"/>
        <s v="57 織物・衣服・身の回り品小売業"/>
        <s v="53 建築材料，鉱物・金属材料等卸売業"/>
        <s v="54 機械器具卸売業"/>
        <s v="24 金属製品製造業"/>
        <s v="79 その他の生活関連サービス業"/>
        <s v="68 不動産取引業"/>
        <s v="55 その他の卸売業"/>
        <s v="92 その他の事業サービス業"/>
        <s v="29 電気機械器具製造業"/>
        <s v="26 生産用機械器具製造業"/>
        <s v="18 プラスチック製品製造業（別掲を除く）"/>
        <s v="52 飲食料品卸売業"/>
        <s v="11 繊維工業"/>
        <s v="85 社会保険・社会福祉・介護事業"/>
        <s v="21 窯業・土石製品製造業"/>
        <s v="09 食料品製造業"/>
        <s v="75 宿泊業"/>
        <s v="12 木材・木製品製造業（家具を除く）"/>
        <s v="80 娯楽業"/>
        <s v="61 無店舗小売業"/>
        <s v="39 情報サービス業"/>
        <s v="67 保険業（保険媒介代理業，保険サービス業を含む）"/>
        <s v="32 その他の製造業"/>
        <s v="77 持ち帰り・配達飲食サービス業"/>
        <s v="90 機械等修理業（別掲を除く）"/>
        <s v="47 倉庫業"/>
        <s v="44 道路貨物運送業"/>
        <s v="13 家具・装備品製造業"/>
        <s v="10 飲料・たばこ・飼料製造業"/>
        <s v="48 運輸に附帯するサービス業"/>
        <s v="15 印刷・同関連業"/>
        <s v="20 なめし革・同製品・毛皮製造業"/>
        <s v="25 はん用機械器具製造業"/>
        <s v="95 その他の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7185" count="223">
        <n v="7185"/>
        <n v="5699"/>
        <n v="5015"/>
        <n v="4363"/>
        <n v="3921"/>
        <n v="3757"/>
        <n v="3004"/>
        <n v="2779"/>
        <n v="2206"/>
        <n v="2029"/>
        <n v="1998"/>
        <n v="1569"/>
        <n v="1386"/>
        <n v="1373"/>
        <n v="1305"/>
        <n v="904"/>
        <n v="856"/>
        <n v="809"/>
        <n v="790"/>
        <n v="767"/>
        <n v="705"/>
        <n v="694"/>
        <n v="627"/>
        <n v="410"/>
        <n v="382"/>
        <n v="286"/>
        <n v="263"/>
        <n v="246"/>
        <n v="238"/>
        <n v="228"/>
        <n v="215"/>
        <n v="207"/>
        <n v="196"/>
        <n v="151"/>
        <n v="139"/>
        <n v="136"/>
        <n v="106"/>
        <n v="99"/>
        <n v="98"/>
        <n v="90"/>
        <n v="500"/>
        <n v="423"/>
        <n v="251"/>
        <n v="192"/>
        <n v="188"/>
        <n v="176"/>
        <n v="163"/>
        <n v="150"/>
        <n v="137"/>
        <n v="127"/>
        <n v="118"/>
        <n v="81"/>
        <n v="78"/>
        <n v="61"/>
        <n v="57"/>
        <n v="54"/>
        <n v="51"/>
        <n v="49"/>
        <n v="48"/>
        <n v="46"/>
        <n v="325"/>
        <n v="316"/>
        <n v="281"/>
        <n v="200"/>
        <n v="194"/>
        <n v="160"/>
        <n v="138"/>
        <n v="123"/>
        <n v="109"/>
        <n v="80"/>
        <n v="79"/>
        <n v="74"/>
        <n v="69"/>
        <n v="50"/>
        <n v="47"/>
        <n v="418"/>
        <n v="354"/>
        <n v="260"/>
        <n v="256"/>
        <n v="244"/>
        <n v="243"/>
        <n v="162"/>
        <n v="149"/>
        <n v="119"/>
        <n v="108"/>
        <n v="107"/>
        <n v="76"/>
        <n v="63"/>
        <n v="60"/>
        <n v="56"/>
        <n v="53"/>
        <n v="37"/>
        <n v="209"/>
        <n v="148"/>
        <n v="145"/>
        <n v="132"/>
        <n v="91"/>
        <n v="88"/>
        <n v="68"/>
        <n v="65"/>
        <n v="55"/>
        <n v="44"/>
        <n v="40"/>
        <n v="25"/>
        <n v="24"/>
        <n v="22"/>
        <n v="21"/>
        <n v="142"/>
        <n v="120"/>
        <n v="111"/>
        <n v="103"/>
        <n v="86"/>
        <n v="62"/>
        <n v="35"/>
        <n v="34"/>
        <n v="33"/>
        <n v="32"/>
        <n v="31"/>
        <n v="30"/>
        <n v="28"/>
        <n v="26"/>
        <n v="20"/>
        <n v="18"/>
        <n v="93"/>
        <n v="70"/>
        <n v="67"/>
        <n v="59"/>
        <n v="42"/>
        <n v="29"/>
        <n v="17"/>
        <n v="121"/>
        <n v="97"/>
        <n v="83"/>
        <n v="38"/>
        <n v="36"/>
        <n v="19"/>
        <n v="15"/>
        <n v="172"/>
        <n v="130"/>
        <n v="115"/>
        <n v="75"/>
        <n v="64"/>
        <n v="43"/>
        <n v="23"/>
        <n v="131"/>
        <n v="85"/>
        <n v="27"/>
        <n v="16"/>
        <n v="14"/>
        <n v="105"/>
        <n v="72"/>
        <n v="41"/>
        <n v="12"/>
        <n v="8"/>
        <n v="7"/>
        <n v="73"/>
        <n v="58"/>
        <n v="13"/>
        <n v="206"/>
        <n v="174"/>
        <n v="161"/>
        <n v="144"/>
        <n v="140"/>
        <n v="199"/>
        <n v="112"/>
        <n v="66"/>
        <n v="170"/>
        <n v="125"/>
        <n v="84"/>
        <n v="52"/>
        <n v="45"/>
        <n v="438"/>
        <n v="337"/>
        <n v="303"/>
        <n v="265"/>
        <n v="247"/>
        <n v="212"/>
        <n v="141"/>
        <n v="113"/>
        <n v="100"/>
        <n v="388"/>
        <n v="343"/>
        <n v="213"/>
        <n v="155"/>
        <n v="135"/>
        <n v="92"/>
        <n v="87"/>
        <n v="102"/>
        <n v="10"/>
        <n v="153"/>
        <n v="116"/>
        <n v="39"/>
        <n v="11"/>
        <n v="128"/>
        <n v="96"/>
        <n v="89"/>
        <n v="298"/>
        <n v="232"/>
        <n v="229"/>
        <n v="193"/>
        <n v="126"/>
        <n v="122"/>
        <n v="114"/>
        <n v="183"/>
        <n v="152"/>
        <n v="101"/>
        <n v="77"/>
        <n v="95"/>
        <n v="9"/>
        <n v="249"/>
        <n v="231"/>
        <n v="208"/>
        <n v="191"/>
        <n v="182"/>
        <n v="133"/>
        <n v="71"/>
        <n v="110"/>
        <n v="6"/>
        <n v="5"/>
        <n v="4"/>
        <n v="104"/>
        <n v="3"/>
        <n v="2"/>
      </sharedItems>
    </cacheField>
    <cacheField name="構成比" numFmtId="0" sqlType="3">
      <sharedItems containsSemiMixedTypes="0" containsString="0" containsNumber="1" minValue="0.81" maxValue="18.420000000000002" count="498">
        <n v="11.27"/>
        <n v="8.94"/>
        <n v="7.87"/>
        <n v="6.85"/>
        <n v="6.15"/>
        <n v="5.9"/>
        <n v="4.71"/>
        <n v="4.3600000000000003"/>
        <n v="3.46"/>
        <n v="3.18"/>
        <n v="3.14"/>
        <n v="2.46"/>
        <n v="2.17"/>
        <n v="2.15"/>
        <n v="2.0499999999999998"/>
        <n v="1.42"/>
        <n v="1.34"/>
        <n v="1.27"/>
        <n v="1.24"/>
        <n v="1.2"/>
        <n v="10.8"/>
        <n v="10.64"/>
        <n v="9.61"/>
        <n v="6.28"/>
        <n v="5.85"/>
        <n v="4.38"/>
        <n v="4.03"/>
        <n v="3.77"/>
        <n v="3.65"/>
        <n v="3.49"/>
        <n v="3.3"/>
        <n v="3.17"/>
        <n v="3"/>
        <n v="2.31"/>
        <n v="2.13"/>
        <n v="2.08"/>
        <n v="1.62"/>
        <n v="1.52"/>
        <n v="1.5"/>
        <n v="1.38"/>
        <n v="14.16"/>
        <n v="11.98"/>
        <n v="7.11"/>
        <n v="5.44"/>
        <n v="5.32"/>
        <n v="4.9800000000000004"/>
        <n v="4.62"/>
        <n v="4.25"/>
        <n v="3.88"/>
        <n v="3.6"/>
        <n v="3.34"/>
        <n v="2.29"/>
        <n v="2.21"/>
        <n v="1.73"/>
        <n v="1.61"/>
        <n v="1.53"/>
        <n v="1.44"/>
        <n v="1.39"/>
        <n v="1.36"/>
        <n v="1.3"/>
        <n v="10.33"/>
        <n v="10.039999999999999"/>
        <n v="8.93"/>
        <n v="6.36"/>
        <n v="6.16"/>
        <n v="5.08"/>
        <n v="4.3899999999999997"/>
        <n v="3.91"/>
        <n v="3.75"/>
        <n v="2.86"/>
        <n v="2.54"/>
        <n v="2.5099999999999998"/>
        <n v="2.35"/>
        <n v="2.19"/>
        <n v="1.72"/>
        <n v="1.59"/>
        <n v="1.49"/>
        <n v="1.46"/>
        <n v="11.72"/>
        <n v="9.92"/>
        <n v="7.29"/>
        <n v="7.18"/>
        <n v="6.84"/>
        <n v="6.81"/>
        <n v="4.54"/>
        <n v="4.18"/>
        <n v="3.03"/>
        <n v="1.93"/>
        <n v="1.77"/>
        <n v="1.68"/>
        <n v="1.57"/>
        <n v="1.29"/>
        <n v="1.04"/>
        <n v="11.85"/>
        <n v="8.39"/>
        <n v="8.2200000000000006"/>
        <n v="7.49"/>
        <n v="6.69"/>
        <n v="5.16"/>
        <n v="4.99"/>
        <n v="3.86"/>
        <n v="3.69"/>
        <n v="3.12"/>
        <n v="2.89"/>
        <n v="2.5"/>
        <n v="2.27"/>
        <n v="1.25"/>
        <n v="1.19"/>
        <n v="10.43"/>
        <n v="8.82"/>
        <n v="8.16"/>
        <n v="7.57"/>
        <n v="6.32"/>
        <n v="5.07"/>
        <n v="4.5599999999999996"/>
        <n v="4.04"/>
        <n v="2.57"/>
        <n v="2.42"/>
        <n v="2.2799999999999998"/>
        <n v="2.2000000000000002"/>
        <n v="2.06"/>
        <n v="1.91"/>
        <n v="1.47"/>
        <n v="1.32"/>
        <n v="11.74"/>
        <n v="10.73"/>
        <n v="7.42"/>
        <n v="6.7"/>
        <n v="6.55"/>
        <n v="5.04"/>
        <n v="4.82"/>
        <n v="4.0999999999999996"/>
        <n v="3.02"/>
        <n v="2.52"/>
        <n v="2.09"/>
        <n v="1.87"/>
        <n v="1.8"/>
        <n v="1.58"/>
        <n v="1.22"/>
        <n v="9.77"/>
        <n v="8.56"/>
        <n v="7.84"/>
        <n v="6.54"/>
        <n v="4.93"/>
        <n v="4.12"/>
        <n v="3.39"/>
        <n v="3.07"/>
        <n v="2.91"/>
        <n v="2.75"/>
        <n v="1.94"/>
        <n v="1.78"/>
        <n v="1.21"/>
        <n v="10.94"/>
        <n v="8.27"/>
        <n v="8.08"/>
        <n v="7.32"/>
        <n v="5.09"/>
        <n v="4.7699999999999996"/>
        <n v="4.07"/>
        <n v="2.74"/>
        <n v="2.23"/>
        <n v="1.84"/>
        <n v="1.4"/>
        <n v="12.41"/>
        <n v="9.3800000000000008"/>
        <n v="8.0500000000000007"/>
        <n v="7.2"/>
        <n v="6.53"/>
        <n v="6.34"/>
        <n v="3.98"/>
        <n v="3.41"/>
        <n v="2.84"/>
        <n v="2.56"/>
        <n v="2.37"/>
        <n v="1.89"/>
        <n v="1.33"/>
        <n v="15.67"/>
        <n v="10.75"/>
        <n v="8.9600000000000009"/>
        <n v="6.12"/>
        <n v="5.97"/>
        <n v="5.52"/>
        <n v="3.28"/>
        <n v="3.13"/>
        <n v="2.69"/>
        <n v="2.2400000000000002"/>
        <n v="1.79"/>
        <n v="11.35"/>
        <n v="7.82"/>
        <n v="7.28"/>
        <n v="6.21"/>
        <n v="5.35"/>
        <n v="5.03"/>
        <n v="3.85"/>
        <n v="3.64"/>
        <n v="2.36"/>
        <n v="1.82"/>
        <n v="1.28"/>
        <n v="10.06"/>
        <n v="8.5"/>
        <n v="7.38"/>
        <n v="7.03"/>
        <n v="6.01"/>
        <n v="4.84"/>
        <n v="3.52"/>
        <n v="3.32"/>
        <n v="2.39"/>
        <n v="2.34"/>
        <n v="2.25"/>
        <n v="1.17"/>
        <n v="1.03"/>
        <n v="0.93"/>
        <n v="11.69"/>
        <n v="6.75"/>
        <n v="6.58"/>
        <n v="6.4"/>
        <n v="5.34"/>
        <n v="4.87"/>
        <n v="3.35"/>
        <n v="1.7"/>
        <n v="1.64"/>
        <n v="1.35"/>
        <n v="12.28"/>
        <n v="9.0299999999999994"/>
        <n v="7.8"/>
        <n v="7.01"/>
        <n v="6.07"/>
        <n v="4.4800000000000004"/>
        <n v="3.97"/>
        <n v="3.76"/>
        <n v="3.25"/>
        <n v="1.81"/>
        <n v="1.37"/>
        <n v="1.23"/>
        <n v="1.1599999999999999"/>
        <n v="10.55"/>
        <n v="8.11"/>
        <n v="7.3"/>
        <n v="6.38"/>
        <n v="5.95"/>
        <n v="5.0999999999999996"/>
        <n v="4.09"/>
        <n v="3.4"/>
        <n v="3.27"/>
        <n v="2.72"/>
        <n v="2.41"/>
        <n v="2.38"/>
        <n v="1.88"/>
        <n v="1.69"/>
        <n v="13.43"/>
        <n v="11.88"/>
        <n v="6.65"/>
        <n v="5.37"/>
        <n v="5.12"/>
        <n v="4.67"/>
        <n v="3.84"/>
        <n v="3.43"/>
        <n v="2.11"/>
        <n v="1.56"/>
        <n v="1.18"/>
        <n v="1.1100000000000001"/>
        <n v="10.96"/>
        <n v="10.65"/>
        <n v="7.26"/>
        <n v="6.86"/>
        <n v="5.99"/>
        <n v="5.13"/>
        <n v="2.68"/>
        <n v="2.44"/>
        <n v="1.97"/>
        <n v="1.66"/>
        <n v="1.26"/>
        <n v="13.86"/>
        <n v="11.96"/>
        <n v="8.42"/>
        <n v="8.2899999999999991"/>
        <n v="5.98"/>
        <n v="5.84"/>
        <n v="4.76"/>
        <n v="4.21"/>
        <n v="1.9"/>
        <n v="1.63"/>
        <n v="1.0900000000000001"/>
        <n v="12.58"/>
        <n v="9.5399999999999991"/>
        <n v="7.15"/>
        <n v="6.41"/>
        <n v="5.18"/>
        <n v="4.6900000000000004"/>
        <n v="3.37"/>
        <n v="3.04"/>
        <n v="2.71"/>
        <n v="1.1499999999999999"/>
        <n v="10.97"/>
        <n v="10.66"/>
        <n v="7.56"/>
        <n v="7.45"/>
        <n v="7.04"/>
        <n v="6.31"/>
        <n v="3.83"/>
        <n v="2.9"/>
        <n v="2.8"/>
        <n v="2.0699999999999998"/>
        <n v="1.86"/>
        <n v="1.1399999999999999"/>
        <n v="11.81"/>
        <n v="8.86"/>
        <n v="8.2100000000000009"/>
        <n v="7.66"/>
        <n v="6.83"/>
        <n v="4.8899999999999997"/>
        <n v="4.34"/>
        <n v="4.24"/>
        <n v="4.0599999999999996"/>
        <n v="3.51"/>
        <n v="2.12"/>
        <n v="1.48"/>
        <n v="8.51"/>
        <n v="8.4"/>
        <n v="7.08"/>
        <n v="5.69"/>
        <n v="4.4000000000000004"/>
        <n v="2.94"/>
        <n v="2.79"/>
        <n v="1.43"/>
        <n v="11.31"/>
        <n v="9.89"/>
        <n v="9.39"/>
        <n v="4.57"/>
        <n v="3.89"/>
        <n v="3.21"/>
        <n v="2.78"/>
        <n v="2.66"/>
        <n v="1.85"/>
        <n v="1.55"/>
        <n v="10.61"/>
        <n v="10.08"/>
        <n v="8.09"/>
        <n v="5.57"/>
        <n v="5.36"/>
        <n v="3.68"/>
        <n v="3.57"/>
        <n v="3.36"/>
        <n v="3.05"/>
        <n v="11.36"/>
        <n v="10.29"/>
        <n v="10.17"/>
        <n v="6.46"/>
        <n v="5.14"/>
        <n v="4.43"/>
        <n v="4.3099999999999996"/>
        <n v="1.67"/>
        <n v="1.08"/>
        <n v="18.420000000000002"/>
        <n v="9.44"/>
        <n v="7.35"/>
        <n v="6.04"/>
        <n v="4.72"/>
        <n v="3.1"/>
        <n v="9.16"/>
        <n v="8.41"/>
        <n v="8.01"/>
        <n v="5.0599999999999996"/>
        <n v="4.2300000000000004"/>
        <n v="2.73"/>
        <n v="2.4700000000000002"/>
        <n v="1.98"/>
        <n v="1.54"/>
        <n v="1.06"/>
        <n v="13.21"/>
        <n v="9.51"/>
        <n v="8.25"/>
        <n v="7.93"/>
        <n v="7.72"/>
        <n v="6.13"/>
        <n v="4.8600000000000003"/>
        <n v="4.4400000000000004"/>
        <n v="4.33"/>
        <n v="2.2200000000000002"/>
        <n v="2.0099999999999998"/>
        <n v="12.91"/>
        <n v="11.65"/>
        <n v="10.39"/>
        <n v="6.89"/>
        <n v="4.8499999999999996"/>
        <n v="4.17"/>
        <n v="3.59"/>
        <n v="2.14"/>
        <n v="2.04"/>
        <n v="1.75"/>
        <n v="1.65"/>
        <n v="1.07"/>
        <n v="11.05"/>
        <n v="10.93"/>
        <n v="6.94"/>
        <n v="5.78"/>
        <n v="5.4"/>
        <n v="5.01"/>
        <n v="4.1100000000000003"/>
        <n v="2.96"/>
        <n v="2.83"/>
        <n v="1.41"/>
        <n v="12.35"/>
        <n v="11.13"/>
        <n v="7.19"/>
        <n v="5.67"/>
        <n v="5.26"/>
        <n v="4.05"/>
        <n v="3.95"/>
        <n v="3.54"/>
        <n v="2.5299999999999998"/>
        <n v="11.82"/>
        <n v="11.25"/>
        <n v="9.26"/>
        <n v="6.98"/>
        <n v="5.7"/>
        <n v="3.42"/>
        <n v="13.23"/>
        <n v="10.4"/>
        <n v="10.210000000000001"/>
        <n v="9.83"/>
        <n v="5.48"/>
        <n v="4.3499999999999996"/>
        <n v="1.51"/>
        <n v="1.1299999999999999"/>
        <n v="11.16"/>
        <n v="10.69"/>
        <n v="8.5500000000000007"/>
        <n v="4.75"/>
        <n v="4.28"/>
        <n v="2.85"/>
        <n v="0.95"/>
        <n v="12.99"/>
        <n v="9.2100000000000009"/>
        <n v="7.24"/>
        <n v="6.09"/>
        <n v="3.29"/>
        <n v="2.63"/>
        <n v="2.2999999999999998"/>
        <n v="0.99"/>
        <n v="12.7"/>
        <n v="10.91"/>
        <n v="9.1199999999999992"/>
        <n v="8.4700000000000006"/>
        <n v="3.09"/>
        <n v="2.77"/>
        <n v="1.95"/>
        <n v="0.98"/>
        <n v="0.81"/>
        <n v="11.44"/>
        <n v="4.9000000000000004"/>
        <n v="3.92"/>
        <n v="2.61"/>
        <n v="1.31"/>
        <n v="13.05"/>
        <n v="9.7899999999999991"/>
        <n v="6.52"/>
        <n v="4.6399999999999997"/>
        <n v="4.5199999999999996"/>
        <n v="4.2699999999999996"/>
        <n v="3.01"/>
        <n v="13.33"/>
        <n v="10"/>
        <n v="8.1"/>
        <n v="6.67"/>
        <n v="5.71"/>
        <n v="3.81"/>
        <n v="15.02"/>
        <n v="11.77"/>
        <n v="8.36"/>
        <n v="7.85"/>
        <n v="5.46"/>
        <n v="4.95"/>
        <n v="1.71"/>
        <n v="16.45"/>
        <n v="13.85"/>
        <n v="7.36"/>
        <n v="6.93"/>
        <n v="3.9"/>
        <n v="2.6"/>
        <n v="2.16"/>
        <n v="9.58"/>
        <n v="8.26"/>
        <n v="7.9"/>
        <n v="7.54"/>
        <n v="4.91"/>
        <n v="4.79"/>
        <n v="3.11"/>
        <n v="2.99"/>
        <n v="1.92"/>
        <n v="12.06"/>
        <n v="8.9499999999999993"/>
        <n v="8.17"/>
        <n v="7"/>
        <n v="6.61"/>
        <n v="6.23"/>
        <n v="3.5"/>
        <n v="2.33"/>
      </sharedItems>
    </cacheField>
    <cacheField name="総数（個人）" numFmtId="0" sqlType="4">
      <sharedItems containsSemiMixedTypes="0" containsString="0" containsNumber="1" containsInteger="1" minValue="0" maxValue="6282" count="167">
        <n v="6282"/>
        <n v="4907"/>
        <n v="1867"/>
        <n v="2294"/>
        <n v="2033"/>
        <n v="1927"/>
        <n v="2271"/>
        <n v="849"/>
        <n v="1357"/>
        <n v="1373"/>
        <n v="1785"/>
        <n v="1273"/>
        <n v="541"/>
        <n v="912"/>
        <n v="625"/>
        <n v="175"/>
        <n v="84"/>
        <n v="312"/>
        <n v="347"/>
        <n v="104"/>
        <n v="559"/>
        <n v="595"/>
        <n v="311"/>
        <n v="173"/>
        <n v="75"/>
        <n v="99"/>
        <n v="159"/>
        <n v="147"/>
        <n v="203"/>
        <n v="44"/>
        <n v="63"/>
        <n v="115"/>
        <n v="45"/>
        <n v="100"/>
        <n v="6"/>
        <n v="11"/>
        <n v="13"/>
        <n v="8"/>
        <n v="450"/>
        <n v="380"/>
        <n v="137"/>
        <n v="103"/>
        <n v="70"/>
        <n v="135"/>
        <n v="61"/>
        <n v="29"/>
        <n v="74"/>
        <n v="108"/>
        <n v="41"/>
        <n v="31"/>
        <n v="1"/>
        <n v="48"/>
        <n v="18"/>
        <n v="10"/>
        <n v="23"/>
        <n v="34"/>
        <n v="264"/>
        <n v="273"/>
        <n v="133"/>
        <n v="87"/>
        <n v="47"/>
        <n v="71"/>
        <n v="28"/>
        <n v="62"/>
        <n v="51"/>
        <n v="54"/>
        <n v="58"/>
        <n v="5"/>
        <n v="3"/>
        <n v="21"/>
        <n v="364"/>
        <n v="298"/>
        <n v="163"/>
        <n v="96"/>
        <n v="122"/>
        <n v="52"/>
        <n v="106"/>
        <n v="72"/>
        <n v="22"/>
        <n v="43"/>
        <n v="40"/>
        <n v="12"/>
        <n v="183"/>
        <n v="129"/>
        <n v="30"/>
        <n v="69"/>
        <n v="32"/>
        <n v="37"/>
        <n v="50"/>
        <n v="35"/>
        <n v="16"/>
        <n v="0"/>
        <n v="9"/>
        <n v="128"/>
        <n v="60"/>
        <n v="94"/>
        <n v="20"/>
        <n v="24"/>
        <n v="2"/>
        <n v="138"/>
        <n v="130"/>
        <n v="25"/>
        <n v="55"/>
        <n v="65"/>
        <n v="19"/>
        <n v="17"/>
        <n v="15"/>
        <n v="160"/>
        <n v="101"/>
        <n v="64"/>
        <n v="53"/>
        <n v="26"/>
        <n v="33"/>
        <n v="4"/>
        <n v="117"/>
        <n v="77"/>
        <n v="7"/>
        <n v="98"/>
        <n v="68"/>
        <n v="38"/>
        <n v="57"/>
        <n v="46"/>
        <n v="14"/>
        <n v="185"/>
        <n v="144"/>
        <n v="89"/>
        <n v="91"/>
        <n v="82"/>
        <n v="36"/>
        <n v="172"/>
        <n v="157"/>
        <n v="39"/>
        <n v="67"/>
        <n v="146"/>
        <n v="97"/>
        <n v="49"/>
        <n v="353"/>
        <n v="73"/>
        <n v="224"/>
        <n v="95"/>
        <n v="105"/>
        <n v="107"/>
        <n v="338"/>
        <n v="288"/>
        <n v="66"/>
        <n v="90"/>
        <n v="118"/>
        <n v="79"/>
        <n v="27"/>
        <n v="121"/>
        <n v="85"/>
        <n v="56"/>
        <n v="42"/>
        <n v="114"/>
        <n v="88"/>
        <n v="275"/>
        <n v="93"/>
        <n v="192"/>
        <n v="109"/>
        <n v="76"/>
        <n v="83"/>
        <n v="78"/>
        <n v="140"/>
        <n v="59"/>
        <n v="221"/>
        <n v="197"/>
        <n v="112"/>
      </sharedItems>
    </cacheField>
    <cacheField name="構成比（個人）" numFmtId="0" sqlType="3">
      <sharedItems containsSemiMixedTypes="0" containsString="0" containsNumber="1" minValue="0" maxValue="23.97" count="550">
        <n v="18.05"/>
        <n v="14.1"/>
        <n v="5.36"/>
        <n v="6.59"/>
        <n v="5.84"/>
        <n v="5.54"/>
        <n v="6.53"/>
        <n v="2.44"/>
        <n v="3.9"/>
        <n v="3.95"/>
        <n v="5.13"/>
        <n v="3.66"/>
        <n v="1.55"/>
        <n v="2.62"/>
        <n v="1.8"/>
        <n v="0.5"/>
        <n v="0.24"/>
        <n v="0.9"/>
        <n v="1"/>
        <n v="0.3"/>
        <n v="17.96"/>
        <n v="19.12"/>
        <n v="9.99"/>
        <n v="5.56"/>
        <n v="2.41"/>
        <n v="3.18"/>
        <n v="5.1100000000000003"/>
        <n v="4.72"/>
        <n v="6.52"/>
        <n v="1.41"/>
        <n v="2.02"/>
        <n v="3.7"/>
        <n v="1.45"/>
        <n v="3.21"/>
        <n v="0.19"/>
        <n v="0.35"/>
        <n v="0.42"/>
        <n v="0.26"/>
        <n v="22.22"/>
        <n v="18.77"/>
        <n v="6.77"/>
        <n v="5.09"/>
        <n v="3.46"/>
        <n v="6.67"/>
        <n v="3.01"/>
        <n v="1.43"/>
        <n v="4.8899999999999997"/>
        <n v="3.65"/>
        <n v="5.33"/>
        <n v="1.53"/>
        <n v="0.05"/>
        <n v="2.37"/>
        <n v="0.89"/>
        <n v="0.64"/>
        <n v="0.49"/>
        <n v="1.1399999999999999"/>
        <n v="1.68"/>
        <n v="17.27"/>
        <n v="17.850000000000001"/>
        <n v="8.6999999999999993"/>
        <n v="5.69"/>
        <n v="3.07"/>
        <n v="4.6399999999999997"/>
        <n v="1.83"/>
        <n v="6.74"/>
        <n v="4.05"/>
        <n v="4.58"/>
        <n v="3.34"/>
        <n v="3.53"/>
        <n v="1.9"/>
        <n v="3.79"/>
        <n v="0.39"/>
        <n v="0.33"/>
        <n v="0.2"/>
        <n v="0.65"/>
        <n v="1.37"/>
        <n v="18.63"/>
        <n v="15.25"/>
        <n v="8.34"/>
        <n v="4.91"/>
        <n v="6.81"/>
        <n v="6.24"/>
        <n v="2.66"/>
        <n v="5.42"/>
        <n v="3.22"/>
        <n v="3.68"/>
        <n v="5.07"/>
        <n v="1.1299999999999999"/>
        <n v="1.74"/>
        <n v="2.2000000000000002"/>
        <n v="1.59"/>
        <n v="1.07"/>
        <n v="2.0499999999999998"/>
        <n v="0.31"/>
        <n v="0.61"/>
        <n v="0.41"/>
        <n v="17.72"/>
        <n v="6"/>
        <n v="12.49"/>
        <n v="8.42"/>
        <n v="6.97"/>
        <n v="2.9"/>
        <n v="6.68"/>
        <n v="3.1"/>
        <n v="3.58"/>
        <n v="4.26"/>
        <n v="4.84"/>
        <n v="3.39"/>
        <n v="2.81"/>
        <n v="0"/>
        <n v="0.87"/>
        <n v="0.77"/>
        <n v="17.18"/>
        <n v="8.0500000000000007"/>
        <n v="12.62"/>
        <n v="5.91"/>
        <n v="6.71"/>
        <n v="5.37"/>
        <n v="2.42"/>
        <n v="4.16"/>
        <n v="5.5"/>
        <n v="1.21"/>
        <n v="3.76"/>
        <n v="2.68"/>
        <n v="2.95"/>
        <n v="0.27"/>
        <n v="19.25"/>
        <n v="18.13"/>
        <n v="6.14"/>
        <n v="3.49"/>
        <n v="7.67"/>
        <n v="3.91"/>
        <n v="8.51"/>
        <n v="5.72"/>
        <n v="5.16"/>
        <n v="0.84"/>
        <n v="2.79"/>
        <n v="1.26"/>
        <n v="1.39"/>
        <n v="0.28000000000000003"/>
        <n v="15.84"/>
        <n v="9.7200000000000006"/>
        <n v="3.59"/>
        <n v="10.31"/>
        <n v="6.73"/>
        <n v="7.62"/>
        <n v="7.17"/>
        <n v="2.84"/>
        <n v="5.23"/>
        <n v="2.99"/>
        <n v="3.14"/>
        <n v="2.54"/>
        <n v="1.49"/>
        <n v="3.44"/>
        <n v="1.2"/>
        <n v="2.2400000000000002"/>
        <n v="0.75"/>
        <n v="1.35"/>
        <n v="19.02"/>
        <n v="7.13"/>
        <n v="6.18"/>
        <n v="12.01"/>
        <n v="7.61"/>
        <n v="3.8"/>
        <n v="6.3"/>
        <n v="4.88"/>
        <n v="2.14"/>
        <n v="3.09"/>
        <n v="3.92"/>
        <n v="0.71"/>
        <n v="1.31"/>
        <n v="0.48"/>
        <n v="1.19"/>
        <n v="17.59"/>
        <n v="11.58"/>
        <n v="10.38"/>
        <n v="7.22"/>
        <n v="6.62"/>
        <n v="4.51"/>
        <n v="1.95"/>
        <n v="4.21"/>
        <n v="2.2599999999999998"/>
        <n v="1.65"/>
        <n v="1.05"/>
        <n v="0.6"/>
        <n v="21.68"/>
        <n v="15.04"/>
        <n v="8.41"/>
        <n v="4.42"/>
        <n v="5.53"/>
        <n v="6.86"/>
        <n v="6.19"/>
        <n v="4.2"/>
        <n v="1.99"/>
        <n v="3.32"/>
        <n v="3.98"/>
        <n v="2.21"/>
        <n v="2.65"/>
        <n v="0.44"/>
        <n v="0.88"/>
        <n v="0.22"/>
        <n v="17.190000000000001"/>
        <n v="5.79"/>
        <n v="10"/>
        <n v="8.07"/>
        <n v="5.26"/>
        <n v="2.2799999999999998"/>
        <n v="3.33"/>
        <n v="4.5599999999999996"/>
        <n v="2.63"/>
        <n v="2.46"/>
        <n v="1.4"/>
        <n v="13.79"/>
        <n v="7.45"/>
        <n v="10.73"/>
        <n v="6.63"/>
        <n v="7.15"/>
        <n v="7.9"/>
        <n v="6.78"/>
        <n v="6.11"/>
        <n v="3.87"/>
        <n v="2.83"/>
        <n v="3.2"/>
        <n v="3.06"/>
        <n v="0.52"/>
        <n v="1.04"/>
        <n v="0.67"/>
        <n v="0.45"/>
        <n v="19.22"/>
        <n v="17.54"/>
        <n v="2.35"/>
        <n v="4.3600000000000003"/>
        <n v="5.14"/>
        <n v="7.49"/>
        <n v="6.37"/>
        <n v="8.3800000000000008"/>
        <n v="3.35"/>
        <n v="1.56"/>
        <n v="1.01"/>
        <n v="2.57"/>
        <n v="0.34"/>
        <n v="1.34"/>
        <n v="0.11"/>
        <n v="20.28"/>
        <n v="13.47"/>
        <n v="6.39"/>
        <n v="2.36"/>
        <n v="7.36"/>
        <n v="4.03"/>
        <n v="6.25"/>
        <n v="4.4400000000000004"/>
        <n v="4.17"/>
        <n v="3.19"/>
        <n v="1.67"/>
        <n v="21.18"/>
        <n v="4.38"/>
        <n v="13.44"/>
        <n v="2.76"/>
        <n v="5.7"/>
        <n v="2.34"/>
        <n v="6.42"/>
        <n v="4.32"/>
        <n v="7.68"/>
        <n v="2.1"/>
        <n v="1.44"/>
        <n v="0.06"/>
        <n v="0.78"/>
        <n v="1.08"/>
        <n v="21.01"/>
        <n v="17.899999999999999"/>
        <n v="3.6"/>
        <n v="6.28"/>
        <n v="4.0999999999999996"/>
        <n v="7.27"/>
        <n v="3.05"/>
        <n v="5.59"/>
        <n v="2.5499999999999998"/>
        <n v="1.06"/>
        <n v="1.86"/>
        <n v="0.68"/>
        <n v="0.62"/>
        <n v="19.3"/>
        <n v="18.670000000000002"/>
        <n v="6.17"/>
        <n v="5.85"/>
        <n v="7.91"/>
        <n v="2.2200000000000002"/>
        <n v="2.69"/>
        <n v="0.32"/>
        <n v="1.58"/>
        <n v="2.06"/>
        <n v="1.42"/>
        <n v="0.16"/>
        <n v="19.760000000000002"/>
        <n v="15.61"/>
        <n v="5.93"/>
        <n v="7.51"/>
        <n v="5.34"/>
        <n v="3.56"/>
        <n v="4.3499999999999996"/>
        <n v="0.4"/>
        <n v="2.17"/>
        <n v="0.99"/>
        <n v="0.79"/>
        <n v="20.170000000000002"/>
        <n v="14.17"/>
        <n v="11.17"/>
        <n v="3.17"/>
        <n v="6.5"/>
        <n v="9.33"/>
        <n v="3.5"/>
        <n v="4.33"/>
        <n v="1.33"/>
        <n v="3"/>
        <n v="2"/>
        <n v="1.17"/>
        <n v="0.83"/>
        <n v="15.88"/>
        <n v="8.33"/>
        <n v="6.6"/>
        <n v="10.53"/>
        <n v="9.59"/>
        <n v="6.92"/>
        <n v="4.4000000000000004"/>
        <n v="4.87"/>
        <n v="3.62"/>
        <n v="3.93"/>
        <n v="3.77"/>
        <n v="1.89"/>
        <n v="1.57"/>
        <n v="1.1000000000000001"/>
        <n v="0.94"/>
        <n v="0.47"/>
        <n v="0.63"/>
        <n v="13.27"/>
        <n v="5.88"/>
        <n v="6.03"/>
        <n v="3.47"/>
        <n v="4.9800000000000004"/>
        <n v="4.83"/>
        <n v="2.56"/>
        <n v="1.66"/>
        <n v="1.96"/>
        <n v="1.36"/>
        <n v="0.15"/>
        <n v="1.81"/>
        <n v="2.11"/>
        <n v="17.37"/>
        <n v="5.87"/>
        <n v="12.13"/>
        <n v="6.89"/>
        <n v="4.8"/>
        <n v="5.24"/>
        <n v="5.75"/>
        <n v="2.08"/>
        <n v="4.93"/>
        <n v="2.4"/>
        <n v="3.16"/>
        <n v="4.49"/>
        <n v="0.76"/>
        <n v="0.51"/>
        <n v="1.52"/>
        <n v="0.69"/>
        <n v="8.91"/>
        <n v="10.09"/>
        <n v="15.02"/>
        <n v="6.65"/>
        <n v="10.62"/>
        <n v="3.43"/>
        <n v="4.9400000000000004"/>
        <n v="4.08"/>
        <n v="4.6100000000000003"/>
        <n v="4.29"/>
        <n v="1.82"/>
        <n v="1.29"/>
        <n v="1.93"/>
        <n v="2.15"/>
        <n v="0.43"/>
        <n v="0.21"/>
        <n v="1.5"/>
        <n v="2.25"/>
        <n v="16.27"/>
        <n v="7.59"/>
        <n v="9.2200000000000006"/>
        <n v="9.0399999999999991"/>
        <n v="6.87"/>
        <n v="5.61"/>
        <n v="4.7"/>
        <n v="2.89"/>
        <n v="0.72"/>
        <n v="1.27"/>
        <n v="0.18"/>
        <n v="0.54"/>
        <n v="15.27"/>
        <n v="16.989999999999998"/>
        <n v="8.17"/>
        <n v="4.5199999999999996"/>
        <n v="8.82"/>
        <n v="6.45"/>
        <n v="4.95"/>
        <n v="4.09"/>
        <n v="6.02"/>
        <n v="1.51"/>
        <n v="15.23"/>
        <n v="9.2899999999999991"/>
        <n v="13.42"/>
        <n v="9.42"/>
        <n v="7.23"/>
        <n v="2.3199999999999998"/>
        <n v="1.1599999999999999"/>
        <n v="2.19"/>
        <n v="1.03"/>
        <n v="1.94"/>
        <n v="0.13"/>
        <n v="19.32"/>
        <n v="17.22"/>
        <n v="12.59"/>
        <n v="1.75"/>
        <n v="2.88"/>
        <n v="1.22"/>
        <n v="2.0099999999999998"/>
        <n v="0.7"/>
        <n v="0.96"/>
        <n v="11.42"/>
        <n v="12.79"/>
        <n v="9.2799999999999994"/>
        <n v="9.89"/>
        <n v="8.68"/>
        <n v="8.2200000000000006"/>
        <n v="6.09"/>
        <n v="2.59"/>
        <n v="0.91"/>
        <n v="17.64"/>
        <n v="10.93"/>
        <n v="11.37"/>
        <n v="7.14"/>
        <n v="5.25"/>
        <n v="4.37"/>
        <n v="4.8099999999999996"/>
        <n v="2.04"/>
        <n v="1.02"/>
        <n v="21.04"/>
        <n v="8.1999999999999993"/>
        <n v="9.02"/>
        <n v="12.57"/>
        <n v="4.92"/>
        <n v="2.73"/>
        <n v="7.1"/>
        <n v="6.56"/>
        <n v="0.55000000000000004"/>
        <n v="1.91"/>
        <n v="5.19"/>
        <n v="3.83"/>
        <n v="0.82"/>
        <n v="21.05"/>
        <n v="7.89"/>
        <n v="8.83"/>
        <n v="5.64"/>
        <n v="5.45"/>
        <n v="5.08"/>
        <n v="2.82"/>
        <n v="2.0699999999999998"/>
        <n v="0.56000000000000005"/>
        <n v="0.38"/>
        <n v="1.32"/>
        <n v="18.46"/>
        <n v="8.9700000000000006"/>
        <n v="7.44"/>
        <n v="8.7200000000000006"/>
        <n v="3.08"/>
        <n v="2.31"/>
        <n v="1.28"/>
        <n v="1.79"/>
        <n v="16.829999999999998"/>
        <n v="11"/>
        <n v="13.92"/>
        <n v="15.86"/>
        <n v="3.88"/>
        <n v="4.8499999999999996"/>
        <n v="0.97"/>
        <n v="1.62"/>
        <n v="3.24"/>
        <n v="12.91"/>
        <n v="7.95"/>
        <n v="6.29"/>
        <n v="5.3"/>
        <n v="4.3"/>
        <n v="3.31"/>
        <n v="23.2"/>
        <n v="15.36"/>
        <n v="9.09"/>
        <n v="3.13"/>
        <n v="5.0199999999999996"/>
        <n v="1.25"/>
        <n v="14.9"/>
        <n v="9.7100000000000009"/>
        <n v="13.54"/>
        <n v="11.29"/>
        <n v="8.8000000000000007"/>
        <n v="3.61"/>
        <n v="2.48"/>
        <n v="20.39"/>
        <n v="7.24"/>
        <n v="11.84"/>
        <n v="0.66"/>
        <n v="3.29"/>
        <n v="1.97"/>
        <n v="23.97"/>
        <n v="16.75"/>
        <n v="5.41"/>
        <n v="8.25"/>
        <n v="4.9000000000000004"/>
        <n v="7.2"/>
        <n v="16.8"/>
        <n v="9.6"/>
        <n v="6.4"/>
        <n v="8"/>
        <n v="5.6"/>
        <n v="1.6"/>
        <n v="0.8"/>
        <n v="13.39"/>
        <n v="11.97"/>
        <n v="12.82"/>
        <n v="7.98"/>
        <n v="3.99"/>
        <n v="7.41"/>
        <n v="6.27"/>
        <n v="3.42"/>
        <n v="1.71"/>
        <n v="0.56999999999999995"/>
        <n v="16.5"/>
        <n v="10.68"/>
        <n v="7.77"/>
        <n v="11.65"/>
        <n v="15.53"/>
        <n v="2.91"/>
        <n v="13.04"/>
        <n v="8.1"/>
        <n v="11.26"/>
        <n v="5.73"/>
        <n v="2.77"/>
        <n v="4.1500000000000004"/>
        <n v="3.36"/>
        <n v="0.59"/>
        <n v="21.9"/>
        <n v="8.0299999999999994"/>
        <n v="11.68"/>
        <n v="9.49"/>
        <n v="1.46"/>
        <n v="0.73"/>
      </sharedItems>
    </cacheField>
    <cacheField name="総数（法人）" numFmtId="0" sqlType="4">
      <sharedItems containsSemiMixedTypes="0" containsString="0" containsNumber="1" containsInteger="1" minValue="0" maxValue="3148" count="141">
        <n v="902"/>
        <n v="792"/>
        <n v="3148"/>
        <n v="2066"/>
        <n v="1887"/>
        <n v="1821"/>
        <n v="725"/>
        <n v="1930"/>
        <n v="848"/>
        <n v="487"/>
        <n v="209"/>
        <n v="296"/>
        <n v="814"/>
        <n v="459"/>
        <n v="680"/>
        <n v="729"/>
        <n v="772"/>
        <n v="497"/>
        <n v="428"/>
        <n v="663"/>
        <n v="146"/>
        <n v="99"/>
        <n v="315"/>
        <n v="236"/>
        <n v="307"/>
        <n v="186"/>
        <n v="104"/>
        <n v="58"/>
        <n v="91"/>
        <n v="25"/>
        <n v="171"/>
        <n v="141"/>
        <n v="81"/>
        <n v="106"/>
        <n v="39"/>
        <n v="130"/>
        <n v="95"/>
        <n v="86"/>
        <n v="90"/>
        <n v="83"/>
        <n v="50"/>
        <n v="43"/>
        <n v="114"/>
        <n v="89"/>
        <n v="118"/>
        <n v="41"/>
        <n v="102"/>
        <n v="121"/>
        <n v="36"/>
        <n v="53"/>
        <n v="10"/>
        <n v="40"/>
        <n v="46"/>
        <n v="60"/>
        <n v="9"/>
        <n v="38"/>
        <n v="24"/>
        <n v="12"/>
        <n v="61"/>
        <n v="148"/>
        <n v="113"/>
        <n v="147"/>
        <n v="110"/>
        <n v="20"/>
        <n v="56"/>
        <n v="22"/>
        <n v="48"/>
        <n v="21"/>
        <n v="68"/>
        <n v="49"/>
        <n v="47"/>
        <n v="37"/>
        <n v="54"/>
        <n v="97"/>
        <n v="160"/>
        <n v="111"/>
        <n v="8"/>
        <n v="35"/>
        <n v="28"/>
        <n v="13"/>
        <n v="30"/>
        <n v="29"/>
        <n v="16"/>
        <n v="26"/>
        <n v="45"/>
        <n v="19"/>
        <n v="11"/>
        <n v="1"/>
        <n v="7"/>
        <n v="14"/>
        <n v="17"/>
        <n v="59"/>
        <n v="44"/>
        <n v="5"/>
        <n v="4"/>
        <n v="18"/>
        <n v="42"/>
        <n v="6"/>
        <n v="15"/>
        <n v="73"/>
        <n v="32"/>
        <n v="70"/>
        <n v="75"/>
        <n v="51"/>
        <n v="23"/>
        <n v="31"/>
        <n v="0"/>
        <n v="2"/>
        <n v="3"/>
        <n v="62"/>
        <n v="34"/>
        <n v="27"/>
        <n v="94"/>
        <n v="72"/>
        <n v="63"/>
        <n v="67"/>
        <n v="33"/>
        <n v="85"/>
        <n v="264"/>
        <n v="79"/>
        <n v="219"/>
        <n v="152"/>
        <n v="107"/>
        <n v="131"/>
        <n v="71"/>
        <n v="78"/>
        <n v="92"/>
        <n v="55"/>
        <n v="155"/>
        <n v="88"/>
        <n v="77"/>
        <n v="52"/>
        <n v="65"/>
        <n v="139"/>
        <n v="84"/>
        <n v="87"/>
        <n v="100"/>
        <n v="66"/>
        <n v="120"/>
        <n v="64"/>
        <n v="128"/>
      </sharedItems>
    </cacheField>
    <cacheField name="構成比（法人）" numFmtId="0" sqlType="3">
      <sharedItems containsSemiMixedTypes="0" containsString="0" containsNumber="1" minValue="0" maxValue="23.75" count="469">
        <n v="3.17"/>
        <n v="2.78"/>
        <n v="11.06"/>
        <n v="7.26"/>
        <n v="6.63"/>
        <n v="6.4"/>
        <n v="2.5499999999999998"/>
        <n v="6.78"/>
        <n v="2.98"/>
        <n v="1.71"/>
        <n v="0.73"/>
        <n v="1.04"/>
        <n v="2.86"/>
        <n v="1.61"/>
        <n v="2.39"/>
        <n v="2.56"/>
        <n v="2.71"/>
        <n v="1.75"/>
        <n v="1.5"/>
        <n v="2.33"/>
        <n v="4.33"/>
        <n v="2.94"/>
        <n v="9.35"/>
        <n v="7"/>
        <n v="9.11"/>
        <n v="5.52"/>
        <n v="3.09"/>
        <n v="1.72"/>
        <n v="2.7"/>
        <n v="0.74"/>
        <n v="5.07"/>
        <n v="4.18"/>
        <n v="2.4"/>
        <n v="3.15"/>
        <n v="1.1599999999999999"/>
        <n v="3.86"/>
        <n v="2.82"/>
        <n v="2.67"/>
        <n v="2.46"/>
        <n v="3.34"/>
        <n v="2.88"/>
        <n v="7.63"/>
        <n v="5.95"/>
        <n v="7.89"/>
        <n v="2.74"/>
        <n v="6.82"/>
        <n v="8.09"/>
        <n v="2.41"/>
        <n v="3.55"/>
        <n v="0.67"/>
        <n v="2.68"/>
        <n v="3.08"/>
        <n v="4.01"/>
        <n v="0.6"/>
        <n v="2.54"/>
        <n v="2.61"/>
        <n v="0.8"/>
        <n v="3.8"/>
        <n v="9.2200000000000006"/>
        <n v="7.04"/>
        <n v="9.16"/>
        <n v="5.55"/>
        <n v="6.85"/>
        <n v="1.25"/>
        <n v="3.49"/>
        <n v="2.4300000000000002"/>
        <n v="1.37"/>
        <n v="2.99"/>
        <n v="1.31"/>
        <n v="4.24"/>
        <n v="2.4900000000000002"/>
        <n v="3.05"/>
        <n v="2.93"/>
        <n v="2.31"/>
        <n v="3.4"/>
        <n v="3.53"/>
        <n v="6.11"/>
        <n v="10.08"/>
        <n v="6.99"/>
        <n v="7.62"/>
        <n v="6.93"/>
        <n v="1.39"/>
        <n v="0.5"/>
        <n v="2.21"/>
        <n v="1.26"/>
        <n v="1.76"/>
        <n v="0.82"/>
        <n v="2.52"/>
        <n v="1.58"/>
        <n v="1.89"/>
        <n v="1.83"/>
        <n v="1.01"/>
        <n v="3.59"/>
        <n v="11.86"/>
        <n v="6.21"/>
        <n v="6.34"/>
        <n v="8.2799999999999994"/>
        <n v="2.62"/>
        <n v="4.97"/>
        <n v="1.52"/>
        <n v="0.14000000000000001"/>
        <n v="1.24"/>
        <n v="3.03"/>
        <n v="0.97"/>
        <n v="3.45"/>
        <n v="1.93"/>
        <n v="1.79"/>
        <n v="1.66"/>
        <n v="2.2999999999999998"/>
        <n v="9.85"/>
        <n v="2.79"/>
        <n v="9.69"/>
        <n v="5.91"/>
        <n v="4.76"/>
        <n v="7.22"/>
        <n v="3.94"/>
        <n v="1.48"/>
        <n v="4.2699999999999996"/>
        <n v="2.63"/>
        <n v="1.64"/>
        <n v="3.61"/>
        <n v="1.1499999999999999"/>
        <n v="0.66"/>
        <n v="1.81"/>
        <n v="2.96"/>
        <n v="3.77"/>
        <n v="2.87"/>
        <n v="8.9"/>
        <n v="10.26"/>
        <n v="5.43"/>
        <n v="6.33"/>
        <n v="0.9"/>
        <n v="6.64"/>
        <n v="3.32"/>
        <n v="1.06"/>
        <n v="2.11"/>
        <n v="2.72"/>
        <n v="7.43"/>
        <n v="13.22"/>
        <n v="3.44"/>
        <n v="6.88"/>
        <n v="2.36"/>
        <n v="5.8"/>
        <n v="1.27"/>
        <n v="3.26"/>
        <n v="2.9"/>
        <n v="0.18"/>
        <n v="1.63"/>
        <n v="9.7100000000000009"/>
        <n v="10.4"/>
        <n v="2.5"/>
        <n v="7.07"/>
        <n v="6.66"/>
        <n v="3.19"/>
        <n v="4.3"/>
        <n v="0"/>
        <n v="4.0199999999999996"/>
        <n v="2.08"/>
        <n v="0.28000000000000003"/>
        <n v="1.53"/>
        <n v="2.2200000000000002"/>
        <n v="3.89"/>
        <n v="13.33"/>
        <n v="1.94"/>
        <n v="5.83"/>
        <n v="6.39"/>
        <n v="3.33"/>
        <n v="0.56000000000000005"/>
        <n v="4.72"/>
        <n v="1.67"/>
        <n v="3.47"/>
        <n v="1.98"/>
        <n v="10.89"/>
        <n v="7.92"/>
        <n v="4.46"/>
        <n v="6.44"/>
        <n v="2.97"/>
        <n v="2.48"/>
        <n v="1.49"/>
        <n v="0.99"/>
        <n v="11.63"/>
        <n v="3.2"/>
        <n v="7.56"/>
        <n v="4.3600000000000003"/>
        <n v="4.9400000000000004"/>
        <n v="8.14"/>
        <n v="1.74"/>
        <n v="0.87"/>
        <n v="0.28999999999999998"/>
        <n v="2.91"/>
        <n v="3.01"/>
        <n v="10.46"/>
        <n v="2.44"/>
        <n v="8.8800000000000008"/>
        <n v="4.87"/>
        <n v="4.4400000000000004"/>
        <n v="5.16"/>
        <n v="2.29"/>
        <n v="2.58"/>
        <n v="0.72"/>
        <n v="1"/>
        <n v="2.15"/>
        <n v="1.43"/>
        <n v="2.0099999999999998"/>
        <n v="1.86"/>
        <n v="2.42"/>
        <n v="11.96"/>
        <n v="8.02"/>
        <n v="1.91"/>
        <n v="3.31"/>
        <n v="1.02"/>
        <n v="4.58"/>
        <n v="5.47"/>
        <n v="2.16"/>
        <n v="4.45"/>
        <n v="0.64"/>
        <n v="1.65"/>
        <n v="2.04"/>
        <n v="3.63"/>
        <n v="4.2300000000000004"/>
        <n v="10.119999999999999"/>
        <n v="7.7"/>
        <n v="3.02"/>
        <n v="1.96"/>
        <n v="4.9800000000000004"/>
        <n v="5.74"/>
        <n v="4.68"/>
        <n v="2.57"/>
        <n v="2.27"/>
        <n v="10.78"/>
        <n v="3.23"/>
        <n v="8.94"/>
        <n v="4.37"/>
        <n v="5.35"/>
        <n v="2.2000000000000002"/>
        <n v="2.4500000000000002"/>
        <n v="0.69"/>
        <n v="3.18"/>
        <n v="1.1000000000000001"/>
        <n v="3.76"/>
        <n v="2"/>
        <n v="1.47"/>
        <n v="3.92"/>
        <n v="4.32"/>
        <n v="12.17"/>
        <n v="7.14"/>
        <n v="6.91"/>
        <n v="2.12"/>
        <n v="3.69"/>
        <n v="0.78"/>
        <n v="6.04"/>
        <n v="3.06"/>
        <n v="1.57"/>
        <n v="0.86"/>
        <n v="2.2799999999999998"/>
        <n v="0.39"/>
        <n v="1.33"/>
        <n v="1.73"/>
        <n v="11.29"/>
        <n v="8.27"/>
        <n v="10.02"/>
        <n v="6.2"/>
        <n v="2.38"/>
        <n v="0.48"/>
        <n v="2.0699999999999998"/>
        <n v="3.66"/>
        <n v="1.59"/>
        <n v="0.88"/>
        <n v="3.96"/>
        <n v="14.1"/>
        <n v="7.49"/>
        <n v="2.64"/>
        <n v="7.05"/>
        <n v="3.52"/>
        <n v="8.3699999999999992"/>
        <n v="0.44"/>
        <n v="5.29"/>
        <n v="5.22"/>
        <n v="4.8899999999999997"/>
        <n v="9.6199999999999992"/>
        <n v="10.6"/>
        <n v="0.98"/>
        <n v="5.0599999999999996"/>
        <n v="3.1"/>
        <n v="4.7300000000000004"/>
        <n v="3.43"/>
        <n v="1.56"/>
        <n v="15.58"/>
        <n v="9.66"/>
        <n v="2.1800000000000002"/>
        <n v="5.3"/>
        <n v="6.54"/>
        <n v="0.93"/>
        <n v="0.62"/>
        <n v="3.12"/>
        <n v="1.87"/>
        <n v="0.31"/>
        <n v="2.8"/>
        <n v="3.41"/>
        <n v="1.95"/>
        <n v="11.92"/>
        <n v="4.38"/>
        <n v="7.3"/>
        <n v="2.92"/>
        <n v="1.46"/>
        <n v="1.22"/>
        <n v="0.49"/>
        <n v="1.7"/>
        <n v="1.97"/>
        <n v="12.43"/>
        <n v="7.51"/>
        <n v="3.85"/>
        <n v="2.77"/>
        <n v="7.78"/>
        <n v="3.22"/>
        <n v="0.81"/>
        <n v="0.36"/>
        <n v="1.88"/>
        <n v="0.54"/>
        <n v="2.59"/>
        <n v="2.2400000000000002"/>
        <n v="14.84"/>
        <n v="9.7899999999999991"/>
        <n v="1.78"/>
        <n v="7.12"/>
        <n v="6.23"/>
        <n v="2.37"/>
        <n v="1.34"/>
        <n v="0.3"/>
        <n v="0.15"/>
        <n v="13.64"/>
        <n v="7.32"/>
        <n v="6.57"/>
        <n v="0.76"/>
        <n v="3.28"/>
        <n v="4.29"/>
        <n v="2.02"/>
        <n v="1.77"/>
        <n v="6.58"/>
        <n v="1.92"/>
        <n v="16.71"/>
        <n v="6.03"/>
        <n v="9.0399999999999991"/>
        <n v="0.55000000000000004"/>
        <n v="3.56"/>
        <n v="4.66"/>
        <n v="4.93"/>
        <n v="0.27"/>
        <n v="3.29"/>
        <n v="2.4700000000000002"/>
        <n v="23.62"/>
        <n v="9.84"/>
        <n v="10.039999999999999"/>
        <n v="7.09"/>
        <n v="4.53"/>
        <n v="1.38"/>
        <n v="2.76"/>
        <n v="0.59"/>
        <n v="0.79"/>
        <n v="5.77"/>
        <n v="15.41"/>
        <n v="11.53"/>
        <n v="4.95"/>
        <n v="1.62"/>
        <n v="1.17"/>
        <n v="0.63"/>
        <n v="1.08"/>
        <n v="17.73"/>
        <n v="2.13"/>
        <n v="5.67"/>
        <n v="1.42"/>
        <n v="7.8"/>
        <n v="0.35"/>
        <n v="0.71"/>
        <n v="4.26"/>
        <n v="3.9"/>
        <n v="13.47"/>
        <n v="8.68"/>
        <n v="6.59"/>
        <n v="2.1"/>
        <n v="4.49"/>
        <n v="4.79"/>
        <n v="2.69"/>
        <n v="13.45"/>
        <n v="6.6"/>
        <n v="7.82"/>
        <n v="5.62"/>
        <n v="3.91"/>
        <n v="2.23"/>
        <n v="15.14"/>
        <n v="7.13"/>
        <n v="1.1100000000000001"/>
        <n v="6.68"/>
        <n v="0.45"/>
        <n v="14.29"/>
        <n v="9.74"/>
        <n v="8.77"/>
        <n v="0.65"/>
        <n v="2.6"/>
        <n v="0.32"/>
        <n v="8.2200000000000006"/>
        <n v="9.59"/>
        <n v="5.0199999999999996"/>
        <n v="10.5"/>
        <n v="7.76"/>
        <n v="3.65"/>
        <n v="0.91"/>
        <n v="4.57"/>
        <n v="4.1100000000000003"/>
        <n v="0.46"/>
        <n v="12.28"/>
        <n v="5.26"/>
        <n v="10.53"/>
        <n v="3.51"/>
        <n v="11.23"/>
        <n v="7.02"/>
        <n v="7.72"/>
        <n v="3.16"/>
        <n v="1.05"/>
        <n v="0.7"/>
        <n v="1.4"/>
        <n v="7.59"/>
        <n v="15.19"/>
        <n v="13.29"/>
        <n v="8.23"/>
        <n v="1.9"/>
        <n v="4.43"/>
        <n v="2.5299999999999998"/>
        <n v="12.84"/>
        <n v="6.08"/>
        <n v="1.35"/>
        <n v="2.0299999999999998"/>
        <n v="8.11"/>
        <n v="5.41"/>
        <n v="0.68"/>
        <n v="3.38"/>
        <n v="3.24"/>
        <n v="8.73"/>
        <n v="7.73"/>
        <n v="7.98"/>
        <n v="5.99"/>
        <n v="7.23"/>
        <n v="5.24"/>
        <n v="23.75"/>
        <n v="6.25"/>
        <n v="3.75"/>
        <n v="7.5"/>
        <n v="17.670000000000002"/>
        <n v="11.64"/>
        <n v="1.29"/>
        <n v="0.43"/>
        <n v="17.07"/>
        <n v="3.25"/>
        <n v="5.69"/>
        <n v="4.88"/>
        <n v="4.07"/>
        <n v="9.26"/>
        <n v="3.7"/>
        <n v="8.64"/>
        <n v="7.1"/>
        <n v="5.56"/>
        <n v="5.86"/>
        <n v="1.54"/>
        <n v="1.85"/>
        <n v="14.78"/>
        <n v="8.6999999999999993"/>
        <n v="6.09"/>
        <n v="11.3"/>
        <n v="3.48"/>
      </sharedItems>
    </cacheField>
    <cacheField name="総数（法人以外の団体）" numFmtId="0" sqlType="4">
      <sharedItems containsSemiMixedTypes="0" containsString="0" containsNumber="1" containsInteger="1" minValue="0" maxValue="7" count="6">
        <n v="0"/>
        <n v="3"/>
        <n v="1"/>
        <n v="7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621736111" createdVersion="5" refreshedVersion="8" minRefreshableVersion="3" recordCount="954" xr:uid="{C282CBA3-1E3B-4635-BD0F-1FD231294572}">
  <cacheSource type="external" connectionId="3"/>
  <cacheFields count="14">
    <cacheField name="都道府県" numFmtId="0" sqlType="-9">
      <sharedItems count="1">
        <s v="08 茨城県"/>
      </sharedItems>
    </cacheField>
    <cacheField name="自治体名" numFmtId="0" sqlType="-9">
      <sharedItems count="45">
        <s v="茨城県"/>
        <s v="水戸市"/>
        <s v="日立市"/>
        <s v="土浦市"/>
        <s v="古河市"/>
        <s v="石岡市"/>
        <s v="結城市"/>
        <s v="龍ケ崎市"/>
        <s v="下妻市"/>
        <s v="常総市"/>
        <s v="常陸太田市"/>
        <s v="高萩市"/>
        <s v="北茨城市"/>
        <s v="笠間市"/>
        <s v="取手市"/>
        <s v="牛久市"/>
        <s v="つくば市"/>
        <s v="ひたちなか市"/>
        <s v="鹿嶋市"/>
        <s v="潮来市"/>
        <s v="守谷市"/>
        <s v="常陸大宮市"/>
        <s v="那珂市"/>
        <s v="筑西市"/>
        <s v="坂東市"/>
        <s v="稲敷市"/>
        <s v="かすみがうら市"/>
        <s v="桜川市"/>
        <s v="神栖市"/>
        <s v="行方市"/>
        <s v="鉾田市"/>
        <s v="つくばみらい市"/>
        <s v="小美玉市"/>
        <s v="東茨城郡茨城町"/>
        <s v="東茨城郡大洗町"/>
        <s v="東茨城郡城里町"/>
        <s v="那珂郡東海村"/>
        <s v="久慈郡大子町"/>
        <s v="稲敷郡美浦村"/>
        <s v="稲敷郡阿見町"/>
        <s v="稲敷郡河内町"/>
        <s v="結城郡八千代町"/>
        <s v="猿島郡五霞町"/>
        <s v="猿島郡境町"/>
        <s v="北相馬郡利根町"/>
      </sharedItems>
    </cacheField>
    <cacheField name="自治体" numFmtId="0" sqlType="-9">
      <sharedItems count="45">
        <s v="08000 茨城県"/>
        <s v="08201 水戸市"/>
        <s v="08202 日立市"/>
        <s v="08203 土浦市"/>
        <s v="08204 古河市"/>
        <s v="08205 石岡市"/>
        <s v="08207 結城市"/>
        <s v="08208 龍ケ崎市"/>
        <s v="08210 下妻市"/>
        <s v="08211 常総市"/>
        <s v="08212 常陸太田市"/>
        <s v="08214 高萩市"/>
        <s v="08215 北茨城市"/>
        <s v="08216 笠間市"/>
        <s v="08217 取手市"/>
        <s v="08219 牛久市"/>
        <s v="08220 つくば市"/>
        <s v="08221 ひたちなか市"/>
        <s v="08222 鹿嶋市"/>
        <s v="08223 潮来市"/>
        <s v="08224 守谷市"/>
        <s v="08225 常陸大宮市"/>
        <s v="08226 那珂市"/>
        <s v="08227 筑西市"/>
        <s v="08228 坂東市"/>
        <s v="08229 稲敷市"/>
        <s v="08230 かすみがうら市"/>
        <s v="08231 桜川市"/>
        <s v="08232 神栖市"/>
        <s v="08233 行方市"/>
        <s v="08234 鉾田市"/>
        <s v="08235 つくばみらい市"/>
        <s v="08236 小美玉市"/>
        <s v="08302 東茨城郡茨城町"/>
        <s v="08309 東茨城郡大洗町"/>
        <s v="08310 東茨城郡城里町"/>
        <s v="08341 那珂郡東海村"/>
        <s v="08364 久慈郡大子町"/>
        <s v="08442 稲敷郡美浦村"/>
        <s v="08443 稲敷郡阿見町"/>
        <s v="08447 稲敷郡河内町"/>
        <s v="08521 結城郡八千代町"/>
        <s v="08542 猿島郡五霞町"/>
        <s v="08546 猿島郡境町"/>
        <s v="08564 北相馬郡利根町"/>
      </sharedItems>
    </cacheField>
    <cacheField name="産業分類コード" numFmtId="0" sqlType="-8">
      <sharedItems count="74">
        <s v="783"/>
        <s v="782"/>
        <s v="692"/>
        <s v="065"/>
        <s v="762"/>
        <s v="891"/>
        <s v="062"/>
        <s v="765"/>
        <s v="591"/>
        <s v="835"/>
        <s v="081"/>
        <s v="609"/>
        <s v="824"/>
        <s v="589"/>
        <s v="083"/>
        <s v="064"/>
        <s v="742"/>
        <s v="603"/>
        <s v="605"/>
        <s v="691"/>
        <s v="766"/>
        <s v="781"/>
        <s v="823"/>
        <s v="593"/>
        <s v="693"/>
        <s v="833"/>
        <s v="077"/>
        <s v="071"/>
        <s v="079"/>
        <s v="586"/>
        <s v="763"/>
        <s v="112"/>
        <s v="244"/>
        <s v="066"/>
        <s v="761"/>
        <s v="072"/>
        <s v="573"/>
        <s v="078"/>
        <s v="821"/>
        <s v="585"/>
        <s v="092"/>
        <s v="751"/>
        <s v="214"/>
        <s v="218"/>
        <s v="602"/>
        <s v="611"/>
        <s v="682"/>
        <s v="799"/>
        <s v="073"/>
        <s v="076"/>
        <s v="604"/>
        <s v="075"/>
        <s v="601"/>
        <s v="853"/>
        <s v="772"/>
        <s v="074"/>
        <s v="531"/>
        <s v="559"/>
        <s v="471"/>
        <s v="084"/>
        <s v="521"/>
        <s v="441"/>
        <s v="584"/>
        <s v="391"/>
        <s v="099"/>
        <s v="929"/>
        <s v="209"/>
        <s v="741"/>
        <s v="854"/>
        <s v="922"/>
        <s v="572"/>
        <s v="579"/>
        <s v="328"/>
        <s v="592"/>
      </sharedItems>
    </cacheField>
    <cacheField name="産業分類" numFmtId="0" sqlType="-9">
      <sharedItems count="74">
        <s v="美容業"/>
        <s v="理容業"/>
        <s v="貸家業，貸間業"/>
        <s v="木造建築工事業"/>
        <s v="専門料理店"/>
        <s v="自動車整備業"/>
        <s v="土木工事業（舗装工事業を除く）"/>
        <s v="酒場，ビヤホール"/>
        <s v="自動車小売業"/>
        <s v="療術業"/>
        <s v="電気工事業"/>
        <s v="他に分類されない小売業"/>
        <s v="教養・技能教授業"/>
        <s v="その他の飲食料品小売業"/>
        <s v="管工事業（さく井工事業を除く）"/>
        <s v="建築工事業（木造建築工事業を除く）"/>
        <s v="土木建築サービス業"/>
        <s v="医薬品・化粧品小売業"/>
        <s v="燃料小売業"/>
        <s v="不動産賃貸業（貸家業，貸間業を除く）"/>
        <s v="バー，キャバレー，ナイトクラブ"/>
        <s v="洗濯業"/>
        <s v="学習塾"/>
        <s v="機械器具小売業（自動車，自転車を除く）"/>
        <s v="駐車場業"/>
        <s v="歯科診療所"/>
        <s v="塗装工事業"/>
        <s v="大工工事業"/>
        <s v="その他の職別工事業"/>
        <s v="菓子・パン小売業"/>
        <s v="そば・うどん店"/>
        <s v="織物業"/>
        <s v="建設用・建築用金属製品製造業（製缶板金業を含む）"/>
        <s v="建築リフォーム工事業"/>
        <s v="食堂，レストラン（専門料理店を除く）"/>
        <s v="とび・土工・コンクリート工事業"/>
        <s v="婦人・子供服小売業"/>
        <s v="床・内装工事業"/>
        <s v="社会教育"/>
        <s v="酒小売業"/>
        <s v="水産食料品製造業"/>
        <s v="旅館，ホテル"/>
        <s v="陶磁器・同関連製品製造業"/>
        <s v="骨材・石工品等製造業"/>
        <s v="じゅう器小売業"/>
        <s v="通信販売・訪問販売小売業"/>
        <s v="不動産代理業・仲介業"/>
        <s v="他に分類されない生活関連サービス業"/>
        <s v="鉄骨・鉄筋工事業"/>
        <s v="板金・金物工事業"/>
        <s v="農耕用品小売業"/>
        <s v="左官工事業"/>
        <s v="家具・建具・畳小売業"/>
        <s v="児童福祉事業"/>
        <s v="配達飲食サービス業"/>
        <s v="石工・れんが・タイル・ブロック工事業"/>
        <s v="建築材料卸売業"/>
        <s v="他に分類されない卸売業"/>
        <s v="倉庫業（冷蔵倉庫業を除く）"/>
        <s v="機械器具設置工事業"/>
        <s v="農畜産物・水産物卸売業"/>
        <s v="一般貨物自動車運送業"/>
        <s v="鮮魚小売業"/>
        <s v="ソフトウェア業"/>
        <s v="その他の食料品製造業"/>
        <s v="他に分類されない事業サービス業"/>
        <s v="その他のなめし革製品製造業"/>
        <s v="獣医業"/>
        <s v="老人福祉・介護事業"/>
        <s v="建物サービス業"/>
        <s v="男子服小売業"/>
        <s v="その他の織物・衣服・身の回り品小売業"/>
        <s v="畳等生活雑貨製品製造業"/>
        <s v="自転車小売業"/>
      </sharedItems>
    </cacheField>
    <cacheField name="産業小分類" numFmtId="0" sqlType="-9">
      <sharedItems count="74">
        <s v="783 美容業"/>
        <s v="782 理容業"/>
        <s v="692 貸家業，貸間業"/>
        <s v="065 木造建築工事業"/>
        <s v="762 専門料理店"/>
        <s v="891 自動車整備業"/>
        <s v="062 土木工事業（舗装工事業を除く）"/>
        <s v="765 酒場，ビヤホール"/>
        <s v="591 自動車小売業"/>
        <s v="835 療術業"/>
        <s v="081 電気工事業"/>
        <s v="609 他に分類されない小売業"/>
        <s v="824 教養・技能教授業"/>
        <s v="589 その他の飲食料品小売業"/>
        <s v="083 管工事業（さく井工事業を除く）"/>
        <s v="064 建築工事業（木造建築工事業を除く）"/>
        <s v="742 土木建築サービス業"/>
        <s v="603 医薬品・化粧品小売業"/>
        <s v="605 燃料小売業"/>
        <s v="691 不動産賃貸業（貸家業，貸間業を除く）"/>
        <s v="766 バー，キャバレー，ナイトクラブ"/>
        <s v="781 洗濯業"/>
        <s v="823 学習塾"/>
        <s v="593 機械器具小売業（自動車，自転車を除く）"/>
        <s v="693 駐車場業"/>
        <s v="833 歯科診療所"/>
        <s v="077 塗装工事業"/>
        <s v="071 大工工事業"/>
        <s v="079 その他の職別工事業"/>
        <s v="586 菓子・パン小売業"/>
        <s v="763 そば・うどん店"/>
        <s v="112 織物業"/>
        <s v="244 建設用・建築用金属製品製造業（製缶板金業を含む）"/>
        <s v="066 建築リフォーム工事業"/>
        <s v="761 食堂，レストラン（専門料理店を除く）"/>
        <s v="072 とび・土工・コンクリート工事業"/>
        <s v="573 婦人・子供服小売業"/>
        <s v="078 床・内装工事業"/>
        <s v="821 社会教育"/>
        <s v="585 酒小売業"/>
        <s v="092 水産食料品製造業"/>
        <s v="751 旅館，ホテル"/>
        <s v="214 陶磁器・同関連製品製造業"/>
        <s v="218 骨材・石工品等製造業"/>
        <s v="602 じゅう器小売業"/>
        <s v="611 通信販売・訪問販売小売業"/>
        <s v="682 不動産代理業・仲介業"/>
        <s v="799 他に分類されない生活関連サービス業"/>
        <s v="073 鉄骨・鉄筋工事業"/>
        <s v="076 板金・金物工事業"/>
        <s v="604 農耕用品小売業"/>
        <s v="075 左官工事業"/>
        <s v="601 家具・建具・畳小売業"/>
        <s v="853 児童福祉事業"/>
        <s v="772 配達飲食サービス業"/>
        <s v="074 石工・れんが・タイル・ブロック工事業"/>
        <s v="531 建築材料卸売業"/>
        <s v="559 他に分類されない卸売業"/>
        <s v="471 倉庫業（冷蔵倉庫業を除く）"/>
        <s v="084 機械器具設置工事業"/>
        <s v="521 農畜産物・水産物卸売業"/>
        <s v="441 一般貨物自動車運送業"/>
        <s v="584 鮮魚小売業"/>
        <s v="391 ソフトウェア業"/>
        <s v="099 その他の食料品製造業"/>
        <s v="929 他に分類されない事業サービス業"/>
        <s v="209 その他のなめし革製品製造業"/>
        <s v="741 獣医業"/>
        <s v="854 老人福祉・介護事業"/>
        <s v="922 建物サービス業"/>
        <s v="572 男子服小売業"/>
        <s v="579 その他の織物・衣服・身の回り品小売業"/>
        <s v="328 畳等生活雑貨製品製造業"/>
        <s v="592 自転車小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3" maxValue="3435" count="148">
        <n v="3435"/>
        <n v="2660"/>
        <n v="2406"/>
        <n v="1717"/>
        <n v="1676"/>
        <n v="1567"/>
        <n v="1520"/>
        <n v="1514"/>
        <n v="1476"/>
        <n v="1330"/>
        <n v="1289"/>
        <n v="1197"/>
        <n v="1155"/>
        <n v="1146"/>
        <n v="1030"/>
        <n v="1010"/>
        <n v="829"/>
        <n v="774"/>
        <n v="740"/>
        <n v="727"/>
        <n v="388"/>
        <n v="357"/>
        <n v="229"/>
        <n v="205"/>
        <n v="166"/>
        <n v="155"/>
        <n v="150"/>
        <n v="138"/>
        <n v="128"/>
        <n v="123"/>
        <n v="112"/>
        <n v="107"/>
        <n v="103"/>
        <n v="102"/>
        <n v="99"/>
        <n v="95"/>
        <n v="93"/>
        <n v="88"/>
        <n v="83"/>
        <n v="247"/>
        <n v="165"/>
        <n v="115"/>
        <n v="109"/>
        <n v="94"/>
        <n v="86"/>
        <n v="78"/>
        <n v="73"/>
        <n v="68"/>
        <n v="64"/>
        <n v="61"/>
        <n v="57"/>
        <n v="56"/>
        <n v="55"/>
        <n v="51"/>
        <n v="50"/>
        <n v="46"/>
        <n v="117"/>
        <n v="108"/>
        <n v="80"/>
        <n v="79"/>
        <n v="70"/>
        <n v="69"/>
        <n v="59"/>
        <n v="54"/>
        <n v="52"/>
        <n v="47"/>
        <n v="45"/>
        <n v="44"/>
        <n v="42"/>
        <n v="219"/>
        <n v="162"/>
        <n v="136"/>
        <n v="89"/>
        <n v="77"/>
        <n v="76"/>
        <n v="66"/>
        <n v="65"/>
        <n v="60"/>
        <n v="53"/>
        <n v="43"/>
        <n v="90"/>
        <n v="49"/>
        <n v="39"/>
        <n v="35"/>
        <n v="33"/>
        <n v="32"/>
        <n v="31"/>
        <n v="29"/>
        <n v="28"/>
        <n v="25"/>
        <n v="23"/>
        <n v="22"/>
        <n v="21"/>
        <n v="41"/>
        <n v="26"/>
        <n v="24"/>
        <n v="20"/>
        <n v="17"/>
        <n v="36"/>
        <n v="19"/>
        <n v="18"/>
        <n v="48"/>
        <n v="38"/>
        <n v="34"/>
        <n v="16"/>
        <n v="75"/>
        <n v="37"/>
        <n v="63"/>
        <n v="30"/>
        <n v="27"/>
        <n v="15"/>
        <n v="14"/>
        <n v="13"/>
        <n v="11"/>
        <n v="10"/>
        <n v="9"/>
        <n v="40"/>
        <n v="111"/>
        <n v="87"/>
        <n v="72"/>
        <n v="74"/>
        <n v="58"/>
        <n v="85"/>
        <n v="216"/>
        <n v="147"/>
        <n v="142"/>
        <n v="118"/>
        <n v="110"/>
        <n v="97"/>
        <n v="92"/>
        <n v="91"/>
        <n v="67"/>
        <n v="202"/>
        <n v="12"/>
        <n v="82"/>
        <n v="125"/>
        <n v="96"/>
        <n v="81"/>
        <n v="84"/>
        <n v="71"/>
        <n v="223"/>
        <n v="171"/>
        <n v="8"/>
        <n v="7"/>
        <n v="6"/>
        <n v="5"/>
        <n v="4"/>
        <n v="3"/>
      </sharedItems>
    </cacheField>
    <cacheField name="構成比" numFmtId="0" sqlType="3">
      <sharedItems containsSemiMixedTypes="0" containsString="0" containsNumber="1" minValue="0.99" maxValue="17.260000000000002" count="323">
        <n v="5.39"/>
        <n v="4.17"/>
        <n v="3.78"/>
        <n v="2.69"/>
        <n v="2.63"/>
        <n v="2.46"/>
        <n v="2.39"/>
        <n v="2.38"/>
        <n v="2.3199999999999998"/>
        <n v="2.09"/>
        <n v="2.02"/>
        <n v="1.88"/>
        <n v="1.81"/>
        <n v="1.8"/>
        <n v="1.62"/>
        <n v="1.58"/>
        <n v="1.3"/>
        <n v="1.21"/>
        <n v="1.1599999999999999"/>
        <n v="1.1399999999999999"/>
        <n v="5.95"/>
        <n v="5.47"/>
        <n v="3.51"/>
        <n v="3.14"/>
        <n v="2.54"/>
        <n v="2.2999999999999998"/>
        <n v="2.11"/>
        <n v="1.96"/>
        <n v="1.89"/>
        <n v="1.72"/>
        <n v="1.64"/>
        <n v="1.56"/>
        <n v="1.52"/>
        <n v="1.46"/>
        <n v="1.43"/>
        <n v="1.35"/>
        <n v="1.27"/>
        <n v="7"/>
        <n v="4.67"/>
        <n v="3.26"/>
        <n v="3.09"/>
        <n v="3.03"/>
        <n v="2.66"/>
        <n v="2.44"/>
        <n v="2.21"/>
        <n v="2.0699999999999998"/>
        <n v="1.93"/>
        <n v="1.73"/>
        <n v="1.61"/>
        <n v="1.59"/>
        <n v="1.44"/>
        <n v="1.42"/>
        <n v="4.93"/>
        <n v="4.3899999999999997"/>
        <n v="3.72"/>
        <n v="3.43"/>
        <n v="2.5099999999999998"/>
        <n v="2.2200000000000002"/>
        <n v="2.19"/>
        <n v="1.94"/>
        <n v="1.87"/>
        <n v="1.65"/>
        <n v="1.49"/>
        <n v="1.4"/>
        <n v="1.33"/>
        <n v="6.14"/>
        <n v="4.54"/>
        <n v="3.81"/>
        <n v="2.64"/>
        <n v="2.5"/>
        <n v="2.16"/>
        <n v="2.13"/>
        <n v="1.85"/>
        <n v="1.82"/>
        <n v="1.71"/>
        <n v="1.68"/>
        <n v="1.32"/>
        <n v="1.29"/>
        <n v="1.26"/>
        <n v="5.33"/>
        <n v="5.0999999999999996"/>
        <n v="3.23"/>
        <n v="3.12"/>
        <n v="2.78"/>
        <n v="2.67"/>
        <n v="1.99"/>
        <n v="1.76"/>
        <n v="1.25"/>
        <n v="1.19"/>
        <n v="5.14"/>
        <n v="3.89"/>
        <n v="3.01"/>
        <n v="2.87"/>
        <n v="2.42"/>
        <n v="2.35"/>
        <n v="2.2799999999999998"/>
        <n v="2.06"/>
        <n v="1.91"/>
        <n v="1.84"/>
        <n v="1.54"/>
        <n v="1.47"/>
        <n v="5.69"/>
        <n v="4.32"/>
        <n v="3.82"/>
        <n v="3.67"/>
        <n v="3.6"/>
        <n v="3.24"/>
        <n v="2.81"/>
        <n v="2.59"/>
        <n v="2.52"/>
        <n v="1.51"/>
        <n v="1.37"/>
        <n v="1.22"/>
        <n v="4.28"/>
        <n v="3.88"/>
        <n v="3.39"/>
        <n v="3.07"/>
        <n v="2.75"/>
        <n v="2.34"/>
        <n v="1.86"/>
        <n v="1.78"/>
        <n v="1.7"/>
        <n v="1.53"/>
        <n v="1.45"/>
        <n v="5.03"/>
        <n v="4.7699999999999996"/>
        <n v="3.37"/>
        <n v="3.31"/>
        <n v="2.29"/>
        <n v="2.23"/>
        <n v="2.04"/>
        <n v="1.34"/>
        <n v="5.97"/>
        <n v="5.0199999999999996"/>
        <n v="3.41"/>
        <n v="2.84"/>
        <n v="2.65"/>
        <n v="2.56"/>
        <n v="2.1800000000000002"/>
        <n v="2.08"/>
        <n v="8.06"/>
        <n v="5.52"/>
        <n v="4.78"/>
        <n v="3.73"/>
        <n v="3.13"/>
        <n v="2.99"/>
        <n v="5.25"/>
        <n v="4.82"/>
        <n v="3.1"/>
        <n v="2.89"/>
        <n v="2.68"/>
        <n v="2.57"/>
        <n v="2.25"/>
        <n v="2.0299999999999998"/>
        <n v="1.5"/>
        <n v="1.39"/>
        <n v="5.42"/>
        <n v="4.6399999999999997"/>
        <n v="4.25"/>
        <n v="3.52"/>
        <n v="2.1"/>
        <n v="2"/>
        <n v="1.95"/>
        <n v="5.05"/>
        <n v="4.3499999999999996"/>
        <n v="2.94"/>
        <n v="2.82"/>
        <n v="4.55"/>
        <n v="3.83"/>
        <n v="3.47"/>
        <n v="2.96"/>
        <n v="2.5299999999999998"/>
        <n v="2.31"/>
        <n v="2.17"/>
        <n v="1.66"/>
        <n v="1.23"/>
        <n v="5.2"/>
        <n v="3.54"/>
        <n v="3.42"/>
        <n v="1.9"/>
        <n v="6.99"/>
        <n v="4.09"/>
        <n v="3.25"/>
        <n v="3.22"/>
        <n v="2.0099999999999998"/>
        <n v="1.63"/>
        <n v="4.97"/>
        <n v="4.6500000000000004"/>
        <n v="4.57"/>
        <n v="2.92"/>
        <n v="2.6"/>
        <n v="2.37"/>
        <n v="1.97"/>
        <n v="1.74"/>
        <n v="5.84"/>
        <n v="5.57"/>
        <n v="4.76"/>
        <n v="2.58"/>
        <n v="1.77"/>
        <n v="1.36"/>
        <n v="7.65"/>
        <n v="6.74"/>
        <n v="3.7"/>
        <n v="2.8"/>
        <n v="2.14"/>
        <n v="1.48"/>
        <n v="5.07"/>
        <n v="4.1399999999999997"/>
        <n v="3.93"/>
        <n v="2.9"/>
        <n v="2.48"/>
        <n v="1.55"/>
        <n v="1.24"/>
        <n v="6.18"/>
        <n v="4.43"/>
        <n v="3.97"/>
        <n v="2.95"/>
        <n v="2.4900000000000002"/>
        <n v="1.57"/>
        <n v="5.21"/>
        <n v="4.59"/>
        <n v="2.97"/>
        <n v="2.86"/>
        <n v="2.83"/>
        <n v="1.98"/>
        <n v="1.69"/>
        <n v="1.28"/>
        <n v="1.17"/>
        <n v="1.1000000000000001"/>
        <n v="5.19"/>
        <n v="3.77"/>
        <n v="3.21"/>
        <n v="1.92"/>
        <n v="1.79"/>
        <n v="4.2"/>
        <n v="3.68"/>
        <n v="3.15"/>
        <n v="8.49"/>
        <n v="5.5"/>
        <n v="3.71"/>
        <n v="3.59"/>
        <n v="2.15"/>
        <n v="1.67"/>
        <n v="1.2"/>
        <n v="17.260000000000002"/>
        <n v="4.0199999999999996"/>
        <n v="3.95"/>
        <n v="3.79"/>
        <n v="3.02"/>
        <n v="2.71"/>
        <n v="7.53"/>
        <n v="4.3600000000000003"/>
        <n v="3.3"/>
        <n v="3.04"/>
        <n v="2.4700000000000002"/>
        <n v="6.24"/>
        <n v="4.33"/>
        <n v="4.12"/>
        <n v="3.49"/>
        <n v="3.17"/>
        <n v="6.12"/>
        <n v="5.92"/>
        <n v="5.53"/>
        <n v="2.62"/>
        <n v="2.33"/>
        <n v="4.88"/>
        <n v="4.5"/>
        <n v="3.86"/>
        <n v="3.08"/>
        <n v="1.41"/>
        <n v="4.05"/>
        <n v="3.85"/>
        <n v="3.44"/>
        <n v="2.73"/>
        <n v="1.1100000000000001"/>
        <n v="5.13"/>
        <n v="4.99"/>
        <n v="4.84"/>
        <n v="4.42"/>
        <n v="3.28"/>
        <n v="2.85"/>
        <n v="4.91"/>
        <n v="4.16"/>
        <n v="2.27"/>
        <n v="5.94"/>
        <n v="4.75"/>
        <n v="4.04"/>
        <n v="2.61"/>
        <n v="7.24"/>
        <n v="6.09"/>
        <n v="4.6100000000000003"/>
        <n v="3.45"/>
        <n v="3.29"/>
        <n v="1.1499999999999999"/>
        <n v="0.99"/>
        <n v="5.54"/>
        <n v="4.5599999999999996"/>
        <n v="3.75"/>
        <n v="2.93"/>
        <n v="2.77"/>
        <n v="2.12"/>
        <n v="3.92"/>
        <n v="3.27"/>
        <n v="1.31"/>
        <n v="5.9"/>
        <n v="5.65"/>
        <n v="4.2699999999999996"/>
        <n v="2.76"/>
        <n v="1.38"/>
        <n v="7.14"/>
        <n v="5.71"/>
        <n v="4.29"/>
        <n v="4.4400000000000004"/>
        <n v="3.58"/>
        <n v="9.09"/>
        <n v="5.63"/>
        <n v="3.9"/>
        <n v="3.46"/>
        <n v="4.07"/>
        <n v="3.35"/>
        <n v="3.11"/>
        <n v="3.5"/>
        <n v="2.72"/>
      </sharedItems>
    </cacheField>
    <cacheField name="総数（個人）" numFmtId="0" sqlType="4">
      <sharedItems containsSemiMixedTypes="0" containsString="0" containsNumber="1" containsInteger="1" minValue="0" maxValue="3163" count="127">
        <n v="3163"/>
        <n v="2529"/>
        <n v="1589"/>
        <n v="1149"/>
        <n v="1370"/>
        <n v="1273"/>
        <n v="248"/>
        <n v="1398"/>
        <n v="860"/>
        <n v="1200"/>
        <n v="479"/>
        <n v="749"/>
        <n v="900"/>
        <n v="823"/>
        <n v="319"/>
        <n v="265"/>
        <n v="288"/>
        <n v="292"/>
        <n v="301"/>
        <n v="123"/>
        <n v="268"/>
        <n v="310"/>
        <n v="188"/>
        <n v="189"/>
        <n v="150"/>
        <n v="42"/>
        <n v="114"/>
        <n v="138"/>
        <n v="100"/>
        <n v="16"/>
        <n v="65"/>
        <n v="56"/>
        <n v="13"/>
        <n v="28"/>
        <n v="94"/>
        <n v="49"/>
        <n v="34"/>
        <n v="37"/>
        <n v="18"/>
        <n v="240"/>
        <n v="161"/>
        <n v="108"/>
        <n v="69"/>
        <n v="91"/>
        <n v="84"/>
        <n v="83"/>
        <n v="61"/>
        <n v="20"/>
        <n v="35"/>
        <n v="41"/>
        <n v="31"/>
        <n v="9"/>
        <n v="38"/>
        <n v="95"/>
        <n v="101"/>
        <n v="40"/>
        <n v="63"/>
        <n v="58"/>
        <n v="59"/>
        <n v="43"/>
        <n v="19"/>
        <n v="11"/>
        <n v="10"/>
        <n v="8"/>
        <n v="6"/>
        <n v="29"/>
        <n v="22"/>
        <n v="195"/>
        <n v="125"/>
        <n v="133"/>
        <n v="80"/>
        <n v="33"/>
        <n v="73"/>
        <n v="39"/>
        <n v="14"/>
        <n v="15"/>
        <n v="17"/>
        <n v="85"/>
        <n v="86"/>
        <n v="44"/>
        <n v="25"/>
        <n v="23"/>
        <n v="7"/>
        <n v="51"/>
        <n v="21"/>
        <n v="24"/>
        <n v="5"/>
        <n v="12"/>
        <n v="71"/>
        <n v="48"/>
        <n v="30"/>
        <n v="4"/>
        <n v="1"/>
        <n v="0"/>
        <n v="3"/>
        <n v="46"/>
        <n v="26"/>
        <n v="77"/>
        <n v="32"/>
        <n v="60"/>
        <n v="52"/>
        <n v="27"/>
        <n v="36"/>
        <n v="2"/>
        <n v="89"/>
        <n v="55"/>
        <n v="67"/>
        <n v="53"/>
        <n v="45"/>
        <n v="79"/>
        <n v="135"/>
        <n v="66"/>
        <n v="186"/>
        <n v="112"/>
        <n v="78"/>
        <n v="74"/>
        <n v="72"/>
        <n v="62"/>
        <n v="64"/>
        <n v="47"/>
        <n v="122"/>
        <n v="76"/>
        <n v="50"/>
        <n v="107"/>
        <n v="139"/>
        <n v="102"/>
        <n v="93"/>
      </sharedItems>
    </cacheField>
    <cacheField name="構成比（個人）" numFmtId="0" sqlType="3">
      <sharedItems containsSemiMixedTypes="0" containsString="0" containsNumber="1" minValue="0" maxValue="13.81" count="450">
        <n v="9.09"/>
        <n v="7.27"/>
        <n v="4.57"/>
        <n v="3.3"/>
        <n v="3.94"/>
        <n v="3.66"/>
        <n v="0.71"/>
        <n v="4.0199999999999996"/>
        <n v="2.4700000000000002"/>
        <n v="3.45"/>
        <n v="1.38"/>
        <n v="2.15"/>
        <n v="2.59"/>
        <n v="2.36"/>
        <n v="0.92"/>
        <n v="0.76"/>
        <n v="0.83"/>
        <n v="0.84"/>
        <n v="0.86"/>
        <n v="0.35"/>
        <n v="8.61"/>
        <n v="9.9600000000000009"/>
        <n v="6.04"/>
        <n v="6.07"/>
        <n v="4.82"/>
        <n v="1.35"/>
        <n v="4.43"/>
        <n v="3.21"/>
        <n v="0.51"/>
        <n v="2.09"/>
        <n v="1.8"/>
        <n v="0.42"/>
        <n v="0.9"/>
        <n v="3.02"/>
        <n v="1.57"/>
        <n v="1.0900000000000001"/>
        <n v="1.19"/>
        <n v="0.57999999999999996"/>
        <n v="11.85"/>
        <n v="7.95"/>
        <n v="5.33"/>
        <n v="3.41"/>
        <n v="4.49"/>
        <n v="4.1500000000000004"/>
        <n v="4.0999999999999996"/>
        <n v="3.01"/>
        <n v="1.83"/>
        <n v="1.68"/>
        <n v="0.99"/>
        <n v="1.73"/>
        <n v="2.02"/>
        <n v="1.53"/>
        <n v="0.44"/>
        <n v="1.88"/>
        <n v="0.79"/>
        <n v="6.21"/>
        <n v="7.46"/>
        <n v="7.06"/>
        <n v="6.61"/>
        <n v="2.62"/>
        <n v="4.12"/>
        <n v="3.79"/>
        <n v="3.86"/>
        <n v="2.81"/>
        <n v="1.24"/>
        <n v="0.72"/>
        <n v="0.65"/>
        <n v="0.52"/>
        <n v="2.29"/>
        <n v="0.39"/>
        <n v="1.9"/>
        <n v="2.68"/>
        <n v="1.44"/>
        <n v="0.85"/>
        <n v="9.98"/>
        <n v="6.4"/>
        <n v="6.81"/>
        <n v="4.09"/>
        <n v="3.22"/>
        <n v="1.69"/>
        <n v="4.25"/>
        <n v="3.74"/>
        <n v="2"/>
        <n v="0.41"/>
        <n v="2.2000000000000002"/>
        <n v="0.97"/>
        <n v="2.5099999999999998"/>
        <n v="0.67"/>
        <n v="2.0499999999999998"/>
        <n v="0.77"/>
        <n v="0.87"/>
        <n v="8.23"/>
        <n v="8.33"/>
        <n v="3.68"/>
        <n v="4.26"/>
        <n v="1.36"/>
        <n v="1.84"/>
        <n v="1.65"/>
        <n v="2.13"/>
        <n v="3"/>
        <n v="2.42"/>
        <n v="2.23"/>
        <n v="0.68"/>
        <n v="1.74"/>
        <n v="1.94"/>
        <n v="8.7200000000000006"/>
        <n v="6.85"/>
        <n v="2.82"/>
        <n v="3.76"/>
        <n v="4.16"/>
        <n v="1.48"/>
        <n v="1.21"/>
        <n v="2.0099999999999998"/>
        <n v="2.95"/>
        <n v="3.09"/>
        <n v="0.81"/>
        <n v="2.5499999999999998"/>
        <n v="0.94"/>
        <n v="1.61"/>
        <n v="9.9"/>
        <n v="6.14"/>
        <n v="6.69"/>
        <n v="6.83"/>
        <n v="6"/>
        <n v="4.18"/>
        <n v="0.56000000000000005"/>
        <n v="3.91"/>
        <n v="1.81"/>
        <n v="2.37"/>
        <n v="0.14000000000000001"/>
        <n v="0.7"/>
        <n v="1.95"/>
        <n v="0"/>
        <n v="1.67"/>
        <n v="7.17"/>
        <n v="7.32"/>
        <n v="6.88"/>
        <n v="5.23"/>
        <n v="0.6"/>
        <n v="2.2400000000000002"/>
        <n v="3.89"/>
        <n v="1.49"/>
        <n v="2.99"/>
        <n v="1.2"/>
        <n v="1.79"/>
        <n v="1.64"/>
        <n v="1.05"/>
        <n v="2.39"/>
        <n v="9.16"/>
        <n v="8.68"/>
        <n v="4.88"/>
        <n v="3.8"/>
        <n v="2.38"/>
        <n v="4.04"/>
        <n v="0.48"/>
        <n v="2.5"/>
        <n v="1.31"/>
        <n v="1.55"/>
        <n v="2.2599999999999998"/>
        <n v="3.33"/>
        <n v="9.02"/>
        <n v="7.82"/>
        <n v="5.56"/>
        <n v="4.21"/>
        <n v="4.0599999999999996"/>
        <n v="2.86"/>
        <n v="0.45"/>
        <n v="2.11"/>
        <n v="11.28"/>
        <n v="7.96"/>
        <n v="4.87"/>
        <n v="3.98"/>
        <n v="4.2"/>
        <n v="4.42"/>
        <n v="2.4300000000000002"/>
        <n v="1.99"/>
        <n v="1.33"/>
        <n v="0.66"/>
        <n v="0.88"/>
        <n v="1.77"/>
        <n v="8.6"/>
        <n v="7.54"/>
        <n v="5.44"/>
        <n v="1.58"/>
        <n v="3.51"/>
        <n v="1.4"/>
        <n v="2.46"/>
        <n v="1.93"/>
        <n v="1.75"/>
        <n v="2.2799999999999998"/>
        <n v="7.53"/>
        <n v="6.63"/>
        <n v="5.29"/>
        <n v="4.99"/>
        <n v="2.61"/>
        <n v="3.06"/>
        <n v="2.76"/>
        <n v="2.83"/>
        <n v="1.04"/>
        <n v="2.5299999999999998"/>
        <n v="1.71"/>
        <n v="1.56"/>
        <n v="0.75"/>
        <n v="1.34"/>
        <n v="1.27"/>
        <n v="9.39"/>
        <n v="7.26"/>
        <n v="5.92"/>
        <n v="4.6900000000000004"/>
        <n v="5.03"/>
        <n v="2.91"/>
        <n v="1.45"/>
        <n v="0.11"/>
        <n v="0.22"/>
        <n v="10.97"/>
        <n v="4.03"/>
        <n v="6.67"/>
        <n v="5.28"/>
        <n v="4.72"/>
        <n v="5.14"/>
        <n v="3.47"/>
        <n v="2.78"/>
        <n v="0.28000000000000003"/>
        <n v="1.39"/>
        <n v="1.25"/>
        <n v="2.08"/>
        <n v="0.69"/>
        <n v="11.34"/>
        <n v="1.98"/>
        <n v="8.1"/>
        <n v="1.02"/>
        <n v="4.74"/>
        <n v="4.38"/>
        <n v="4.9800000000000004"/>
        <n v="2.16"/>
        <n v="2.52"/>
        <n v="3.96"/>
        <n v="0.24"/>
        <n v="0.3"/>
        <n v="11.56"/>
        <n v="6.96"/>
        <n v="3.29"/>
        <n v="4.8499999999999996"/>
        <n v="4.5999999999999996"/>
        <n v="4.47"/>
        <n v="3.85"/>
        <n v="0.5"/>
        <n v="2.4900000000000002"/>
        <n v="0.62"/>
        <n v="1.86"/>
        <n v="9.49"/>
        <n v="6.01"/>
        <n v="8.39"/>
        <n v="5.7"/>
        <n v="0.63"/>
        <n v="0.95"/>
        <n v="4.91"/>
        <n v="3.48"/>
        <n v="3.16"/>
        <n v="2.06"/>
        <n v="0.32"/>
        <n v="1.1100000000000001"/>
        <n v="7.91"/>
        <n v="6.52"/>
        <n v="0.4"/>
        <n v="3.95"/>
        <n v="4.3499999999999996"/>
        <n v="2.17"/>
        <n v="2.77"/>
        <n v="1.78"/>
        <n v="2.57"/>
        <n v="0.59"/>
        <n v="0.2"/>
        <n v="12.33"/>
        <n v="10.67"/>
        <n v="1.17"/>
        <n v="5.5"/>
        <n v="4.5"/>
        <n v="3.5"/>
        <n v="3.17"/>
        <n v="2.33"/>
        <n v="7.39"/>
        <n v="1.42"/>
        <n v="3.93"/>
        <n v="3.14"/>
        <n v="2.04"/>
        <n v="2.67"/>
        <n v="1.89"/>
        <n v="9.35"/>
        <n v="4.83"/>
        <n v="6.18"/>
        <n v="4.68"/>
        <n v="4.22"/>
        <n v="3.77"/>
        <n v="1.51"/>
        <n v="1.96"/>
        <n v="1.66"/>
        <n v="0.15"/>
        <n v="1.06"/>
        <n v="8.5299999999999994"/>
        <n v="7.71"/>
        <n v="4.8"/>
        <n v="3.73"/>
        <n v="4.3600000000000003"/>
        <n v="1.26"/>
        <n v="3.28"/>
        <n v="1.01"/>
        <n v="2.21"/>
        <n v="1.07"/>
        <n v="6.87"/>
        <n v="7.19"/>
        <n v="6.33"/>
        <n v="4.6100000000000003"/>
        <n v="0.64"/>
        <n v="4.29"/>
        <n v="2.25"/>
        <n v="3.11"/>
        <n v="2.58"/>
        <n v="1.82"/>
        <n v="1.18"/>
        <n v="8.32"/>
        <n v="7.05"/>
        <n v="5.24"/>
        <n v="5.61"/>
        <n v="0.54"/>
        <n v="2.71"/>
        <n v="2.89"/>
        <n v="2.35"/>
        <n v="1.63"/>
        <n v="13.33"/>
        <n v="9.89"/>
        <n v="1.29"/>
        <n v="6.45"/>
        <n v="6.24"/>
        <n v="3.87"/>
        <n v="2.8"/>
        <n v="3.23"/>
        <n v="3.44"/>
        <n v="1.72"/>
        <n v="4.3"/>
        <n v="1.08"/>
        <n v="13.81"/>
        <n v="6.06"/>
        <n v="6.19"/>
        <n v="2.4500000000000002"/>
        <n v="2.3199999999999998"/>
        <n v="2.19"/>
        <n v="1.03"/>
        <n v="12.15"/>
        <n v="8.92"/>
        <n v="8.1300000000000008"/>
        <n v="0.61"/>
        <n v="5.86"/>
        <n v="4.46"/>
        <n v="0.09"/>
        <n v="2.1"/>
        <n v="6.09"/>
        <n v="5.78"/>
        <n v="3.65"/>
        <n v="0.91"/>
        <n v="1.37"/>
        <n v="1.52"/>
        <n v="8.75"/>
        <n v="7.14"/>
        <n v="8.02"/>
        <n v="4.8099999999999996"/>
        <n v="3.35"/>
        <n v="1.46"/>
        <n v="1.6"/>
        <n v="9.84"/>
        <n v="9.2899999999999991"/>
        <n v="4.37"/>
        <n v="5.19"/>
        <n v="0.82"/>
        <n v="4.92"/>
        <n v="3.83"/>
        <n v="1.91"/>
        <n v="2.73"/>
        <n v="0.55000000000000004"/>
        <n v="0.27"/>
        <n v="10.9"/>
        <n v="9.4"/>
        <n v="5.45"/>
        <n v="4.7"/>
        <n v="5.26"/>
        <n v="1.1299999999999999"/>
        <n v="3.57"/>
        <n v="1.32"/>
        <n v="2.0699999999999998"/>
        <n v="0.38"/>
        <n v="6.92"/>
        <n v="3.08"/>
        <n v="3.59"/>
        <n v="1.54"/>
        <n v="1.28"/>
        <n v="8.09"/>
        <n v="5.83"/>
        <n v="5.18"/>
        <n v="3.56"/>
        <n v="2.27"/>
        <n v="7.28"/>
        <n v="5.63"/>
        <n v="5.3"/>
        <n v="2.98"/>
        <n v="3.31"/>
        <n v="0.33"/>
        <n v="13.17"/>
        <n v="8.4600000000000009"/>
        <n v="8.7799999999999994"/>
        <n v="0.31"/>
        <n v="5.96"/>
        <n v="7.67"/>
        <n v="6.32"/>
        <n v="4.51"/>
        <n v="3.84"/>
        <n v="3.39"/>
        <n v="0.23"/>
        <n v="2.48"/>
        <n v="7.89"/>
        <n v="1.97"/>
        <n v="2.63"/>
        <n v="11.08"/>
        <n v="5.41"/>
        <n v="5.15"/>
        <n v="4.6399999999999997"/>
        <n v="3.61"/>
        <n v="12"/>
        <n v="8"/>
        <n v="5.6"/>
        <n v="3.2"/>
        <n v="2.4"/>
        <n v="0.8"/>
        <n v="8.26"/>
        <n v="7.41"/>
        <n v="6.27"/>
        <n v="3.7"/>
        <n v="3.42"/>
        <n v="0.56999999999999995"/>
        <n v="3.99"/>
        <n v="1.1399999999999999"/>
        <n v="12.62"/>
        <n v="8.74"/>
        <n v="3.88"/>
        <n v="5.73"/>
        <n v="5.93"/>
        <n v="5.53"/>
        <n v="13.14"/>
        <n v="5.84"/>
        <n v="0.73"/>
        <n v="2.92"/>
      </sharedItems>
    </cacheField>
    <cacheField name="総数（法人）" numFmtId="0" sqlType="4">
      <sharedItems containsSemiMixedTypes="0" containsString="0" containsNumber="1" containsInteger="1" minValue="0" maxValue="1272" count="86">
        <n v="272"/>
        <n v="131"/>
        <n v="811"/>
        <n v="568"/>
        <n v="306"/>
        <n v="294"/>
        <n v="1272"/>
        <n v="116"/>
        <n v="615"/>
        <n v="129"/>
        <n v="810"/>
        <n v="447"/>
        <n v="251"/>
        <n v="321"/>
        <n v="711"/>
        <n v="745"/>
        <n v="516"/>
        <n v="482"/>
        <n v="439"/>
        <n v="604"/>
        <n v="120"/>
        <n v="47"/>
        <n v="41"/>
        <n v="16"/>
        <n v="110"/>
        <n v="35"/>
        <n v="12"/>
        <n v="38"/>
        <n v="112"/>
        <n v="58"/>
        <n v="56"/>
        <n v="91"/>
        <n v="90"/>
        <n v="74"/>
        <n v="5"/>
        <n v="46"/>
        <n v="59"/>
        <n v="51"/>
        <n v="65"/>
        <n v="7"/>
        <n v="4"/>
        <n v="40"/>
        <n v="10"/>
        <n v="3"/>
        <n v="17"/>
        <n v="36"/>
        <n v="34"/>
        <n v="44"/>
        <n v="29"/>
        <n v="20"/>
        <n v="26"/>
        <n v="60"/>
        <n v="24"/>
        <n v="9"/>
        <n v="21"/>
        <n v="11"/>
        <n v="42"/>
        <n v="48"/>
        <n v="15"/>
        <n v="6"/>
        <n v="22"/>
        <n v="27"/>
        <n v="37"/>
        <n v="28"/>
        <n v="31"/>
        <n v="13"/>
        <n v="33"/>
        <n v="19"/>
        <n v="32"/>
        <n v="18"/>
        <n v="1"/>
        <n v="2"/>
        <n v="8"/>
        <n v="14"/>
        <n v="23"/>
        <n v="0"/>
        <n v="114"/>
        <n v="101"/>
        <n v="49"/>
        <n v="57"/>
        <n v="52"/>
        <n v="54"/>
        <n v="30"/>
        <n v="25"/>
        <n v="68"/>
        <n v="61"/>
      </sharedItems>
    </cacheField>
    <cacheField name="構成比（法人）" numFmtId="0" sqlType="3">
      <sharedItems containsSemiMixedTypes="0" containsString="0" containsNumber="1" minValue="0" maxValue="22.83" count="335">
        <n v="0.96"/>
        <n v="0.46"/>
        <n v="2.85"/>
        <n v="2"/>
        <n v="1.08"/>
        <n v="1.03"/>
        <n v="4.47"/>
        <n v="0.41"/>
        <n v="2.16"/>
        <n v="0.45"/>
        <n v="1.57"/>
        <n v="0.88"/>
        <n v="1.1299999999999999"/>
        <n v="2.5"/>
        <n v="2.62"/>
        <n v="1.81"/>
        <n v="1.69"/>
        <n v="1.54"/>
        <n v="2.12"/>
        <n v="3.56"/>
        <n v="1.39"/>
        <n v="1.22"/>
        <n v="0.47"/>
        <n v="3.26"/>
        <n v="1.04"/>
        <n v="0.36"/>
        <n v="3.32"/>
        <n v="1.72"/>
        <n v="1.66"/>
        <n v="2.7"/>
        <n v="2.67"/>
        <n v="2.2000000000000002"/>
        <n v="0.15"/>
        <n v="1.36"/>
        <n v="1.75"/>
        <n v="1.51"/>
        <n v="1.93"/>
        <n v="0.27"/>
        <n v="2.68"/>
        <n v="1.07"/>
        <n v="0.67"/>
        <n v="0.2"/>
        <n v="1.1399999999999999"/>
        <n v="2.41"/>
        <n v="2.27"/>
        <n v="2.94"/>
        <n v="1.94"/>
        <n v="1.34"/>
        <n v="1.74"/>
        <n v="3.14"/>
        <n v="0.8"/>
        <n v="3.74"/>
        <n v="1.5"/>
        <n v="0.56000000000000005"/>
        <n v="0.44"/>
        <n v="2.4900000000000002"/>
        <n v="1.06"/>
        <n v="1.31"/>
        <n v="0.69"/>
        <n v="1.62"/>
        <n v="2.99"/>
        <n v="2.74"/>
        <n v="0.93"/>
        <n v="2.5499999999999998"/>
        <n v="0.37"/>
        <n v="0.25"/>
        <n v="1.37"/>
        <n v="1.68"/>
        <n v="2.33"/>
        <n v="0.19"/>
        <n v="1.76"/>
        <n v="1.95"/>
        <n v="3.53"/>
        <n v="0.38"/>
        <n v="3.65"/>
        <n v="2.9"/>
        <n v="2.52"/>
        <n v="0.82"/>
        <n v="2.08"/>
        <n v="1.83"/>
        <n v="1.24"/>
        <n v="0.55000000000000004"/>
        <n v="1.52"/>
        <n v="4.83"/>
        <n v="4.41"/>
        <n v="2.76"/>
        <n v="2.48"/>
        <n v="0.14000000000000001"/>
        <n v="0.83"/>
        <n v="0.97"/>
        <n v="2.21"/>
        <n v="0.33"/>
        <n v="3.28"/>
        <n v="2.13"/>
        <n v="3.61"/>
        <n v="0.66"/>
        <n v="3.12"/>
        <n v="2.46"/>
        <n v="0.49"/>
        <n v="0.16"/>
        <n v="2.2999999999999998"/>
        <n v="1.21"/>
        <n v="0.75"/>
        <n v="0.3"/>
        <n v="0.9"/>
        <n v="2.2599999999999998"/>
        <n v="3.47"/>
        <n v="2.11"/>
        <n v="2.87"/>
        <n v="0.6"/>
        <n v="0.72"/>
        <n v="1.27"/>
        <n v="6.16"/>
        <n v="3.44"/>
        <n v="1.45"/>
        <n v="0.54"/>
        <n v="2.17"/>
        <n v="1.0900000000000001"/>
        <n v="1.63"/>
        <n v="0.91"/>
        <n v="0"/>
        <n v="0.28000000000000003"/>
        <n v="2.36"/>
        <n v="2.2200000000000002"/>
        <n v="4.3"/>
        <n v="1.1100000000000001"/>
        <n v="1.25"/>
        <n v="1.8"/>
        <n v="1.53"/>
        <n v="8.89"/>
        <n v="3.06"/>
        <n v="3.33"/>
        <n v="1.49"/>
        <n v="0.5"/>
        <n v="4.95"/>
        <n v="5.45"/>
        <n v="4.46"/>
        <n v="3.96"/>
        <n v="2.97"/>
        <n v="0.99"/>
        <n v="0.57999999999999996"/>
        <n v="5.81"/>
        <n v="2.0299999999999998"/>
        <n v="0.87"/>
        <n v="3.78"/>
        <n v="3.49"/>
        <n v="0.28999999999999998"/>
        <n v="2.91"/>
        <n v="1.1599999999999999"/>
        <n v="1.43"/>
        <n v="0.86"/>
        <n v="2.29"/>
        <n v="2.44"/>
        <n v="2.0099999999999998"/>
        <n v="1"/>
        <n v="1.29"/>
        <n v="3.87"/>
        <n v="2.15"/>
        <n v="2.58"/>
        <n v="1.58"/>
        <n v="1.1499999999999999"/>
        <n v="0.64"/>
        <n v="4.71"/>
        <n v="3.05"/>
        <n v="0.13"/>
        <n v="1.4"/>
        <n v="4.9800000000000004"/>
        <n v="0.76"/>
        <n v="3.93"/>
        <n v="1.1000000000000001"/>
        <n v="4.6500000000000004"/>
        <n v="4.12"/>
        <n v="0.56999999999999995"/>
        <n v="0.53"/>
        <n v="1.35"/>
        <n v="0.98"/>
        <n v="1.26"/>
        <n v="3.22"/>
        <n v="1.18"/>
        <n v="1.02"/>
        <n v="0.63"/>
        <n v="2.35"/>
        <n v="4.08"/>
        <n v="2.04"/>
        <n v="3.69"/>
        <n v="1.33"/>
        <n v="0.78"/>
        <n v="0.71"/>
        <n v="2.4300000000000002"/>
        <n v="0.48"/>
        <n v="3.18"/>
        <n v="0.79"/>
        <n v="0.95"/>
        <n v="3.97"/>
        <n v="4.6100000000000003"/>
        <n v="4.29"/>
        <n v="2.54"/>
        <n v="2.86"/>
        <n v="0.32"/>
        <n v="2.38"/>
        <n v="1.91"/>
        <n v="2.23"/>
        <n v="1.59"/>
        <n v="1.32"/>
        <n v="9.25"/>
        <n v="3.52"/>
        <n v="2.64"/>
        <n v="3.08"/>
        <n v="3.1"/>
        <n v="2.77"/>
        <n v="0.65"/>
        <n v="5.55"/>
        <n v="3.59"/>
        <n v="2.4500000000000002"/>
        <n v="1.47"/>
        <n v="2.61"/>
        <n v="1.96"/>
        <n v="0.62"/>
        <n v="0.31"/>
        <n v="9.66"/>
        <n v="2.1800000000000002"/>
        <n v="3.43"/>
        <n v="1.87"/>
        <n v="3.89"/>
        <n v="1.46"/>
        <n v="0.24"/>
        <n v="4.62"/>
        <n v="3.41"/>
        <n v="1.7"/>
        <n v="2.19"/>
        <n v="1.79"/>
        <n v="1.97"/>
        <n v="0.81"/>
        <n v="2.42"/>
        <n v="5.19"/>
        <n v="3.4"/>
        <n v="2.2400000000000002"/>
        <n v="0.18"/>
        <n v="2.06"/>
        <n v="0.59"/>
        <n v="6.53"/>
        <n v="1.48"/>
        <n v="3.86"/>
        <n v="1.78"/>
        <n v="2.82"/>
        <n v="0.89"/>
        <n v="1.01"/>
        <n v="2.02"/>
        <n v="6.82"/>
        <n v="1.77"/>
        <n v="2.5299999999999998"/>
        <n v="0.51"/>
        <n v="2.78"/>
        <n v="2.4700000000000002"/>
        <n v="9.32"/>
        <n v="1.92"/>
        <n v="3.29"/>
        <n v="3.84"/>
        <n v="1.64"/>
        <n v="3.01"/>
        <n v="22.83"/>
        <n v="3.54"/>
        <n v="1.38"/>
        <n v="5.51"/>
        <n v="2.56"/>
        <n v="2.95"/>
        <n v="4.13"/>
        <n v="0.39"/>
        <n v="2.88"/>
        <n v="6.13"/>
        <n v="5.5"/>
        <n v="4.1399999999999997"/>
        <n v="1.17"/>
        <n v="3.42"/>
        <n v="1.71"/>
        <n v="3.15"/>
        <n v="3.55"/>
        <n v="0.35"/>
        <n v="10.99"/>
        <n v="2.84"/>
        <n v="1.42"/>
        <n v="4.26"/>
        <n v="3.9"/>
        <n v="6.89"/>
        <n v="1.2"/>
        <n v="2.4"/>
        <n v="3.67"/>
        <n v="4.16"/>
        <n v="2.69"/>
        <n v="0.22"/>
        <n v="7.8"/>
        <n v="1.56"/>
        <n v="2.6"/>
        <n v="3.57"/>
        <n v="5.84"/>
        <n v="3.2"/>
        <n v="2.2799999999999998"/>
        <n v="2.63"/>
        <n v="5.26"/>
        <n v="3.51"/>
        <n v="4.3899999999999997"/>
        <n v="0.7"/>
        <n v="7.02"/>
        <n v="4.21"/>
        <n v="1.05"/>
        <n v="1.9"/>
        <n v="10.130000000000001"/>
        <n v="6.96"/>
        <n v="3.16"/>
        <n v="6.76"/>
        <n v="4.05"/>
        <n v="5.41"/>
        <n v="3.38"/>
        <n v="0.68"/>
        <n v="3.24"/>
        <n v="3.75"/>
        <n v="10"/>
        <n v="6.25"/>
        <n v="3.02"/>
        <n v="4.3099999999999996"/>
        <n v="5.6"/>
        <n v="3.88"/>
        <n v="7.76"/>
        <n v="0.43"/>
        <n v="2.59"/>
        <n v="6.5"/>
        <n v="8.94"/>
        <n v="3.25"/>
        <n v="3.7"/>
        <n v="4.32"/>
        <n v="1.23"/>
        <n v="1.85"/>
        <n v="6.09"/>
        <n v="3.48"/>
        <n v="4.3499999999999996"/>
      </sharedItems>
    </cacheField>
    <cacheField name="総数（法人以外の団体）" numFmtId="0" sqlType="4">
      <sharedItems containsSemiMixedTypes="0" containsString="0" containsNumber="1" containsInteger="1" minValue="0" maxValue="4" count="4">
        <n v="0"/>
        <n v="1"/>
        <n v="4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5">
  <r>
    <x v="0"/>
    <s v="茨城県"/>
    <x v="0"/>
    <x v="0"/>
    <n v="31"/>
    <n v="0.05"/>
    <n v="8"/>
    <n v="0.02"/>
    <n v="23"/>
    <n v="0.08"/>
    <x v="0"/>
  </r>
  <r>
    <x v="0"/>
    <s v="茨城県"/>
    <x v="0"/>
    <x v="1"/>
    <n v="11715"/>
    <n v="18.38"/>
    <n v="4749"/>
    <n v="13.65"/>
    <n v="6965"/>
    <n v="24.48"/>
    <x v="1"/>
  </r>
  <r>
    <x v="0"/>
    <s v="茨城県"/>
    <x v="0"/>
    <x v="2"/>
    <n v="5766"/>
    <n v="9.0500000000000007"/>
    <n v="2340"/>
    <n v="6.72"/>
    <n v="3425"/>
    <n v="12.04"/>
    <x v="1"/>
  </r>
  <r>
    <x v="0"/>
    <s v="茨城県"/>
    <x v="0"/>
    <x v="3"/>
    <n v="199"/>
    <n v="0.31"/>
    <n v="3"/>
    <n v="0.01"/>
    <n v="184"/>
    <n v="0.65"/>
    <x v="1"/>
  </r>
  <r>
    <x v="0"/>
    <s v="茨城県"/>
    <x v="0"/>
    <x v="4"/>
    <n v="449"/>
    <n v="0.7"/>
    <n v="33"/>
    <n v="0.09"/>
    <n v="416"/>
    <n v="1.46"/>
    <x v="0"/>
  </r>
  <r>
    <x v="0"/>
    <s v="茨城県"/>
    <x v="0"/>
    <x v="5"/>
    <n v="690"/>
    <n v="1.08"/>
    <n v="95"/>
    <n v="0.27"/>
    <n v="588"/>
    <n v="2.0699999999999998"/>
    <x v="2"/>
  </r>
  <r>
    <x v="0"/>
    <s v="茨城県"/>
    <x v="0"/>
    <x v="6"/>
    <n v="14546"/>
    <n v="22.82"/>
    <n v="7291"/>
    <n v="20.95"/>
    <n v="7240"/>
    <n v="25.44"/>
    <x v="3"/>
  </r>
  <r>
    <x v="0"/>
    <s v="茨城県"/>
    <x v="0"/>
    <x v="7"/>
    <n v="382"/>
    <n v="0.6"/>
    <n v="62"/>
    <n v="0.18"/>
    <n v="319"/>
    <n v="1.1200000000000001"/>
    <x v="0"/>
  </r>
  <r>
    <x v="0"/>
    <s v="茨城県"/>
    <x v="0"/>
    <x v="8"/>
    <n v="4765"/>
    <n v="7.48"/>
    <n v="2066"/>
    <n v="5.94"/>
    <n v="2690"/>
    <n v="9.4499999999999993"/>
    <x v="4"/>
  </r>
  <r>
    <x v="0"/>
    <s v="茨城県"/>
    <x v="0"/>
    <x v="9"/>
    <n v="2877"/>
    <n v="4.51"/>
    <n v="1462"/>
    <n v="4.2"/>
    <n v="1381"/>
    <n v="4.8499999999999996"/>
    <x v="5"/>
  </r>
  <r>
    <x v="0"/>
    <s v="茨城県"/>
    <x v="0"/>
    <x v="10"/>
    <n v="6421"/>
    <n v="10.08"/>
    <n v="5205"/>
    <n v="14.96"/>
    <n v="1193"/>
    <n v="4.1900000000000004"/>
    <x v="0"/>
  </r>
  <r>
    <x v="0"/>
    <s v="茨城県"/>
    <x v="0"/>
    <x v="11"/>
    <n v="8333"/>
    <n v="13.08"/>
    <n v="6795"/>
    <n v="19.53"/>
    <n v="1497"/>
    <n v="5.26"/>
    <x v="6"/>
  </r>
  <r>
    <x v="0"/>
    <s v="茨城県"/>
    <x v="0"/>
    <x v="12"/>
    <n v="2029"/>
    <n v="3.18"/>
    <n v="1373"/>
    <n v="3.95"/>
    <n v="487"/>
    <n v="1.71"/>
    <x v="6"/>
  </r>
  <r>
    <x v="0"/>
    <s v="茨城県"/>
    <x v="0"/>
    <x v="13"/>
    <n v="2619"/>
    <n v="4.1100000000000003"/>
    <n v="1801"/>
    <n v="5.18"/>
    <n v="733"/>
    <n v="2.58"/>
    <x v="7"/>
  </r>
  <r>
    <x v="0"/>
    <s v="茨城県"/>
    <x v="0"/>
    <x v="14"/>
    <n v="2908"/>
    <n v="4.5599999999999996"/>
    <n v="1517"/>
    <n v="4.3600000000000003"/>
    <n v="1314"/>
    <n v="4.62"/>
    <x v="8"/>
  </r>
  <r>
    <x v="0"/>
    <s v="水戸市"/>
    <x v="1"/>
    <x v="0"/>
    <n v="0"/>
    <n v="0"/>
    <n v="0"/>
    <n v="0"/>
    <n v="0"/>
    <n v="0"/>
    <x v="0"/>
  </r>
  <r>
    <x v="0"/>
    <s v="水戸市"/>
    <x v="1"/>
    <x v="1"/>
    <n v="883"/>
    <n v="13.53"/>
    <n v="218"/>
    <n v="7.01"/>
    <n v="664"/>
    <n v="19.7"/>
    <x v="1"/>
  </r>
  <r>
    <x v="0"/>
    <s v="水戸市"/>
    <x v="1"/>
    <x v="2"/>
    <n v="284"/>
    <n v="4.3499999999999996"/>
    <n v="112"/>
    <n v="3.6"/>
    <n v="172"/>
    <n v="5.0999999999999996"/>
    <x v="0"/>
  </r>
  <r>
    <x v="0"/>
    <s v="水戸市"/>
    <x v="1"/>
    <x v="3"/>
    <n v="15"/>
    <n v="0.23"/>
    <n v="0"/>
    <n v="0"/>
    <n v="15"/>
    <n v="0.45"/>
    <x v="0"/>
  </r>
  <r>
    <x v="0"/>
    <s v="水戸市"/>
    <x v="1"/>
    <x v="4"/>
    <n v="59"/>
    <n v="0.9"/>
    <n v="0"/>
    <n v="0"/>
    <n v="59"/>
    <n v="1.75"/>
    <x v="0"/>
  </r>
  <r>
    <x v="0"/>
    <s v="水戸市"/>
    <x v="1"/>
    <x v="5"/>
    <n v="23"/>
    <n v="0.35"/>
    <n v="3"/>
    <n v="0.1"/>
    <n v="20"/>
    <n v="0.59"/>
    <x v="0"/>
  </r>
  <r>
    <x v="0"/>
    <s v="水戸市"/>
    <x v="1"/>
    <x v="6"/>
    <n v="1515"/>
    <n v="23.22"/>
    <n v="538"/>
    <n v="17.29"/>
    <n v="976"/>
    <n v="28.96"/>
    <x v="1"/>
  </r>
  <r>
    <x v="0"/>
    <s v="水戸市"/>
    <x v="1"/>
    <x v="7"/>
    <n v="77"/>
    <n v="1.18"/>
    <n v="3"/>
    <n v="0.1"/>
    <n v="74"/>
    <n v="2.2000000000000002"/>
    <x v="0"/>
  </r>
  <r>
    <x v="0"/>
    <s v="水戸市"/>
    <x v="1"/>
    <x v="8"/>
    <n v="767"/>
    <n v="11.75"/>
    <n v="324"/>
    <n v="10.41"/>
    <n v="442"/>
    <n v="13.12"/>
    <x v="1"/>
  </r>
  <r>
    <x v="0"/>
    <s v="水戸市"/>
    <x v="1"/>
    <x v="9"/>
    <n v="465"/>
    <n v="7.13"/>
    <n v="211"/>
    <n v="6.78"/>
    <n v="251"/>
    <n v="7.45"/>
    <x v="0"/>
  </r>
  <r>
    <x v="0"/>
    <s v="水戸市"/>
    <x v="1"/>
    <x v="10"/>
    <n v="736"/>
    <n v="11.28"/>
    <n v="606"/>
    <n v="19.47"/>
    <n v="130"/>
    <n v="3.86"/>
    <x v="0"/>
  </r>
  <r>
    <x v="0"/>
    <s v="水戸市"/>
    <x v="1"/>
    <x v="11"/>
    <n v="819"/>
    <n v="12.55"/>
    <n v="603"/>
    <n v="19.38"/>
    <n v="215"/>
    <n v="6.38"/>
    <x v="0"/>
  </r>
  <r>
    <x v="0"/>
    <s v="水戸市"/>
    <x v="1"/>
    <x v="12"/>
    <n v="246"/>
    <n v="3.77"/>
    <n v="159"/>
    <n v="5.1100000000000003"/>
    <n v="58"/>
    <n v="1.72"/>
    <x v="1"/>
  </r>
  <r>
    <x v="0"/>
    <s v="水戸市"/>
    <x v="1"/>
    <x v="13"/>
    <n v="301"/>
    <n v="4.6100000000000003"/>
    <n v="205"/>
    <n v="6.59"/>
    <n v="92"/>
    <n v="2.73"/>
    <x v="5"/>
  </r>
  <r>
    <x v="0"/>
    <s v="水戸市"/>
    <x v="1"/>
    <x v="14"/>
    <n v="335"/>
    <n v="5.13"/>
    <n v="130"/>
    <n v="4.18"/>
    <n v="202"/>
    <n v="5.99"/>
    <x v="5"/>
  </r>
  <r>
    <x v="0"/>
    <s v="日立市"/>
    <x v="2"/>
    <x v="0"/>
    <n v="4"/>
    <n v="0.11"/>
    <n v="2"/>
    <n v="0.1"/>
    <n v="2"/>
    <n v="0.13"/>
    <x v="0"/>
  </r>
  <r>
    <x v="0"/>
    <s v="日立市"/>
    <x v="2"/>
    <x v="1"/>
    <n v="501"/>
    <n v="14.19"/>
    <n v="160"/>
    <n v="7.9"/>
    <n v="341"/>
    <n v="22.81"/>
    <x v="0"/>
  </r>
  <r>
    <x v="0"/>
    <s v="日立市"/>
    <x v="2"/>
    <x v="2"/>
    <n v="352"/>
    <n v="9.9700000000000006"/>
    <n v="117"/>
    <n v="5.78"/>
    <n v="235"/>
    <n v="15.72"/>
    <x v="0"/>
  </r>
  <r>
    <x v="0"/>
    <s v="日立市"/>
    <x v="2"/>
    <x v="3"/>
    <n v="13"/>
    <n v="0.37"/>
    <n v="0"/>
    <n v="0"/>
    <n v="13"/>
    <n v="0.87"/>
    <x v="0"/>
  </r>
  <r>
    <x v="0"/>
    <s v="日立市"/>
    <x v="2"/>
    <x v="4"/>
    <n v="30"/>
    <n v="0.85"/>
    <n v="2"/>
    <n v="0.1"/>
    <n v="28"/>
    <n v="1.87"/>
    <x v="0"/>
  </r>
  <r>
    <x v="0"/>
    <s v="日立市"/>
    <x v="2"/>
    <x v="5"/>
    <n v="19"/>
    <n v="0.54"/>
    <n v="1"/>
    <n v="0.05"/>
    <n v="18"/>
    <n v="1.2"/>
    <x v="0"/>
  </r>
  <r>
    <x v="0"/>
    <s v="日立市"/>
    <x v="2"/>
    <x v="6"/>
    <n v="819"/>
    <n v="23.19"/>
    <n v="412"/>
    <n v="20.350000000000001"/>
    <n v="407"/>
    <n v="27.22"/>
    <x v="0"/>
  </r>
  <r>
    <x v="0"/>
    <s v="日立市"/>
    <x v="2"/>
    <x v="7"/>
    <n v="10"/>
    <n v="0.28000000000000003"/>
    <n v="1"/>
    <n v="0.05"/>
    <n v="9"/>
    <n v="0.6"/>
    <x v="0"/>
  </r>
  <r>
    <x v="0"/>
    <s v="日立市"/>
    <x v="2"/>
    <x v="8"/>
    <n v="237"/>
    <n v="6.71"/>
    <n v="110"/>
    <n v="5.43"/>
    <n v="127"/>
    <n v="8.49"/>
    <x v="0"/>
  </r>
  <r>
    <x v="0"/>
    <s v="日立市"/>
    <x v="2"/>
    <x v="9"/>
    <n v="139"/>
    <n v="3.94"/>
    <n v="80"/>
    <n v="3.95"/>
    <n v="57"/>
    <n v="3.81"/>
    <x v="0"/>
  </r>
  <r>
    <x v="0"/>
    <s v="日立市"/>
    <x v="2"/>
    <x v="10"/>
    <n v="468"/>
    <n v="13.25"/>
    <n v="400"/>
    <n v="19.75"/>
    <n v="67"/>
    <n v="4.4800000000000004"/>
    <x v="0"/>
  </r>
  <r>
    <x v="0"/>
    <s v="日立市"/>
    <x v="2"/>
    <x v="11"/>
    <n v="566"/>
    <n v="16.03"/>
    <n v="484"/>
    <n v="23.9"/>
    <n v="81"/>
    <n v="5.42"/>
    <x v="0"/>
  </r>
  <r>
    <x v="0"/>
    <s v="日立市"/>
    <x v="2"/>
    <x v="12"/>
    <n v="137"/>
    <n v="3.88"/>
    <n v="99"/>
    <n v="4.8899999999999997"/>
    <n v="36"/>
    <n v="2.41"/>
    <x v="0"/>
  </r>
  <r>
    <x v="0"/>
    <s v="日立市"/>
    <x v="2"/>
    <x v="13"/>
    <n v="138"/>
    <n v="3.91"/>
    <n v="109"/>
    <n v="5.38"/>
    <n v="24"/>
    <n v="1.61"/>
    <x v="1"/>
  </r>
  <r>
    <x v="0"/>
    <s v="日立市"/>
    <x v="2"/>
    <x v="14"/>
    <n v="98"/>
    <n v="2.78"/>
    <n v="48"/>
    <n v="2.37"/>
    <n v="50"/>
    <n v="3.34"/>
    <x v="0"/>
  </r>
  <r>
    <x v="0"/>
    <s v="土浦市"/>
    <x v="3"/>
    <x v="0"/>
    <n v="1"/>
    <n v="0.03"/>
    <n v="0"/>
    <n v="0"/>
    <n v="1"/>
    <n v="0.06"/>
    <x v="0"/>
  </r>
  <r>
    <x v="0"/>
    <s v="土浦市"/>
    <x v="3"/>
    <x v="1"/>
    <n v="492"/>
    <n v="15.63"/>
    <n v="146"/>
    <n v="9.5500000000000007"/>
    <n v="346"/>
    <n v="21.56"/>
    <x v="0"/>
  </r>
  <r>
    <x v="0"/>
    <s v="土浦市"/>
    <x v="3"/>
    <x v="2"/>
    <n v="193"/>
    <n v="6.13"/>
    <n v="74"/>
    <n v="4.84"/>
    <n v="119"/>
    <n v="7.41"/>
    <x v="0"/>
  </r>
  <r>
    <x v="0"/>
    <s v="土浦市"/>
    <x v="3"/>
    <x v="3"/>
    <n v="11"/>
    <n v="0.35"/>
    <n v="1"/>
    <n v="7.0000000000000007E-2"/>
    <n v="9"/>
    <n v="0.56000000000000005"/>
    <x v="1"/>
  </r>
  <r>
    <x v="0"/>
    <s v="土浦市"/>
    <x v="3"/>
    <x v="4"/>
    <n v="23"/>
    <n v="0.73"/>
    <n v="1"/>
    <n v="7.0000000000000007E-2"/>
    <n v="22"/>
    <n v="1.37"/>
    <x v="0"/>
  </r>
  <r>
    <x v="0"/>
    <s v="土浦市"/>
    <x v="3"/>
    <x v="5"/>
    <n v="27"/>
    <n v="0.86"/>
    <n v="2"/>
    <n v="0.13"/>
    <n v="25"/>
    <n v="1.56"/>
    <x v="0"/>
  </r>
  <r>
    <x v="0"/>
    <s v="土浦市"/>
    <x v="3"/>
    <x v="6"/>
    <n v="732"/>
    <n v="23.26"/>
    <n v="276"/>
    <n v="18.05"/>
    <n v="456"/>
    <n v="28.41"/>
    <x v="0"/>
  </r>
  <r>
    <x v="0"/>
    <s v="土浦市"/>
    <x v="3"/>
    <x v="7"/>
    <n v="22"/>
    <n v="0.7"/>
    <n v="2"/>
    <n v="0.13"/>
    <n v="20"/>
    <n v="1.25"/>
    <x v="0"/>
  </r>
  <r>
    <x v="0"/>
    <s v="土浦市"/>
    <x v="3"/>
    <x v="8"/>
    <n v="348"/>
    <n v="11.06"/>
    <n v="140"/>
    <n v="9.16"/>
    <n v="208"/>
    <n v="12.96"/>
    <x v="0"/>
  </r>
  <r>
    <x v="0"/>
    <s v="土浦市"/>
    <x v="3"/>
    <x v="9"/>
    <n v="172"/>
    <n v="5.47"/>
    <n v="80"/>
    <n v="5.23"/>
    <n v="90"/>
    <n v="5.61"/>
    <x v="0"/>
  </r>
  <r>
    <x v="0"/>
    <s v="土浦市"/>
    <x v="3"/>
    <x v="10"/>
    <n v="354"/>
    <n v="11.25"/>
    <n v="285"/>
    <n v="18.64"/>
    <n v="69"/>
    <n v="4.3"/>
    <x v="0"/>
  </r>
  <r>
    <x v="0"/>
    <s v="土浦市"/>
    <x v="3"/>
    <x v="11"/>
    <n v="388"/>
    <n v="12.33"/>
    <n v="292"/>
    <n v="19.100000000000001"/>
    <n v="94"/>
    <n v="5.86"/>
    <x v="0"/>
  </r>
  <r>
    <x v="0"/>
    <s v="土浦市"/>
    <x v="3"/>
    <x v="12"/>
    <n v="80"/>
    <n v="2.54"/>
    <n v="54"/>
    <n v="3.53"/>
    <n v="22"/>
    <n v="1.37"/>
    <x v="0"/>
  </r>
  <r>
    <x v="0"/>
    <s v="土浦市"/>
    <x v="3"/>
    <x v="13"/>
    <n v="149"/>
    <n v="4.7300000000000004"/>
    <n v="104"/>
    <n v="6.8"/>
    <n v="43"/>
    <n v="2.68"/>
    <x v="0"/>
  </r>
  <r>
    <x v="0"/>
    <s v="土浦市"/>
    <x v="3"/>
    <x v="14"/>
    <n v="155"/>
    <n v="4.93"/>
    <n v="72"/>
    <n v="4.71"/>
    <n v="81"/>
    <n v="5.05"/>
    <x v="0"/>
  </r>
  <r>
    <x v="0"/>
    <s v="古河市"/>
    <x v="4"/>
    <x v="0"/>
    <n v="0"/>
    <n v="0"/>
    <n v="0"/>
    <n v="0"/>
    <n v="0"/>
    <n v="0"/>
    <x v="0"/>
  </r>
  <r>
    <x v="0"/>
    <s v="古河市"/>
    <x v="4"/>
    <x v="1"/>
    <n v="661"/>
    <n v="18.53"/>
    <n v="270"/>
    <n v="13.82"/>
    <n v="391"/>
    <n v="24.64"/>
    <x v="0"/>
  </r>
  <r>
    <x v="0"/>
    <s v="古河市"/>
    <x v="4"/>
    <x v="2"/>
    <n v="393"/>
    <n v="11.02"/>
    <n v="139"/>
    <n v="7.11"/>
    <n v="254"/>
    <n v="16.010000000000002"/>
    <x v="0"/>
  </r>
  <r>
    <x v="0"/>
    <s v="古河市"/>
    <x v="4"/>
    <x v="3"/>
    <n v="4"/>
    <n v="0.11"/>
    <n v="0"/>
    <n v="0"/>
    <n v="4"/>
    <n v="0.25"/>
    <x v="0"/>
  </r>
  <r>
    <x v="0"/>
    <s v="古河市"/>
    <x v="4"/>
    <x v="4"/>
    <n v="15"/>
    <n v="0.42"/>
    <n v="2"/>
    <n v="0.1"/>
    <n v="13"/>
    <n v="0.82"/>
    <x v="0"/>
  </r>
  <r>
    <x v="0"/>
    <s v="古河市"/>
    <x v="4"/>
    <x v="5"/>
    <n v="56"/>
    <n v="1.57"/>
    <n v="4"/>
    <n v="0.2"/>
    <n v="52"/>
    <n v="3.28"/>
    <x v="0"/>
  </r>
  <r>
    <x v="0"/>
    <s v="古河市"/>
    <x v="4"/>
    <x v="6"/>
    <n v="768"/>
    <n v="21.53"/>
    <n v="371"/>
    <n v="18.989999999999998"/>
    <n v="394"/>
    <n v="24.83"/>
    <x v="4"/>
  </r>
  <r>
    <x v="0"/>
    <s v="古河市"/>
    <x v="4"/>
    <x v="7"/>
    <n v="22"/>
    <n v="0.62"/>
    <n v="5"/>
    <n v="0.26"/>
    <n v="17"/>
    <n v="1.07"/>
    <x v="0"/>
  </r>
  <r>
    <x v="0"/>
    <s v="古河市"/>
    <x v="4"/>
    <x v="8"/>
    <n v="307"/>
    <n v="8.61"/>
    <n v="167"/>
    <n v="8.5500000000000007"/>
    <n v="140"/>
    <n v="8.82"/>
    <x v="0"/>
  </r>
  <r>
    <x v="0"/>
    <s v="古河市"/>
    <x v="4"/>
    <x v="9"/>
    <n v="130"/>
    <n v="3.64"/>
    <n v="75"/>
    <n v="3.84"/>
    <n v="54"/>
    <n v="3.4"/>
    <x v="0"/>
  </r>
  <r>
    <x v="0"/>
    <s v="古河市"/>
    <x v="4"/>
    <x v="10"/>
    <n v="382"/>
    <n v="10.71"/>
    <n v="302"/>
    <n v="15.46"/>
    <n v="76"/>
    <n v="4.79"/>
    <x v="0"/>
  </r>
  <r>
    <x v="0"/>
    <s v="古河市"/>
    <x v="4"/>
    <x v="11"/>
    <n v="470"/>
    <n v="13.18"/>
    <n v="392"/>
    <n v="20.059999999999999"/>
    <n v="77"/>
    <n v="4.8499999999999996"/>
    <x v="1"/>
  </r>
  <r>
    <x v="0"/>
    <s v="古河市"/>
    <x v="4"/>
    <x v="12"/>
    <n v="108"/>
    <n v="3.03"/>
    <n v="72"/>
    <n v="3.68"/>
    <n v="22"/>
    <n v="1.39"/>
    <x v="0"/>
  </r>
  <r>
    <x v="0"/>
    <s v="古河市"/>
    <x v="4"/>
    <x v="13"/>
    <n v="134"/>
    <n v="3.76"/>
    <n v="99"/>
    <n v="5.07"/>
    <n v="34"/>
    <n v="2.14"/>
    <x v="0"/>
  </r>
  <r>
    <x v="0"/>
    <s v="古河市"/>
    <x v="4"/>
    <x v="14"/>
    <n v="117"/>
    <n v="3.28"/>
    <n v="56"/>
    <n v="2.87"/>
    <n v="59"/>
    <n v="3.72"/>
    <x v="0"/>
  </r>
  <r>
    <x v="0"/>
    <s v="石岡市"/>
    <x v="5"/>
    <x v="0"/>
    <n v="0"/>
    <n v="0"/>
    <n v="0"/>
    <n v="0"/>
    <n v="0"/>
    <n v="0"/>
    <x v="0"/>
  </r>
  <r>
    <x v="0"/>
    <s v="石岡市"/>
    <x v="5"/>
    <x v="1"/>
    <n v="348"/>
    <n v="19.739999999999998"/>
    <n v="181"/>
    <n v="17.52"/>
    <n v="167"/>
    <n v="23.03"/>
    <x v="0"/>
  </r>
  <r>
    <x v="0"/>
    <s v="石岡市"/>
    <x v="5"/>
    <x v="2"/>
    <n v="173"/>
    <n v="9.81"/>
    <n v="71"/>
    <n v="6.87"/>
    <n v="102"/>
    <n v="14.07"/>
    <x v="0"/>
  </r>
  <r>
    <x v="0"/>
    <s v="石岡市"/>
    <x v="5"/>
    <x v="3"/>
    <n v="4"/>
    <n v="0.23"/>
    <n v="0"/>
    <n v="0"/>
    <n v="4"/>
    <n v="0.55000000000000004"/>
    <x v="0"/>
  </r>
  <r>
    <x v="0"/>
    <s v="石岡市"/>
    <x v="5"/>
    <x v="4"/>
    <n v="8"/>
    <n v="0.45"/>
    <n v="0"/>
    <n v="0"/>
    <n v="8"/>
    <n v="1.1000000000000001"/>
    <x v="0"/>
  </r>
  <r>
    <x v="0"/>
    <s v="石岡市"/>
    <x v="5"/>
    <x v="5"/>
    <n v="15"/>
    <n v="0.85"/>
    <n v="1"/>
    <n v="0.1"/>
    <n v="14"/>
    <n v="1.93"/>
    <x v="0"/>
  </r>
  <r>
    <x v="0"/>
    <s v="石岡市"/>
    <x v="5"/>
    <x v="6"/>
    <n v="382"/>
    <n v="21.67"/>
    <n v="228"/>
    <n v="22.07"/>
    <n v="154"/>
    <n v="21.24"/>
    <x v="0"/>
  </r>
  <r>
    <x v="0"/>
    <s v="石岡市"/>
    <x v="5"/>
    <x v="7"/>
    <n v="15"/>
    <n v="0.85"/>
    <n v="2"/>
    <n v="0.19"/>
    <n v="13"/>
    <n v="1.79"/>
    <x v="0"/>
  </r>
  <r>
    <x v="0"/>
    <s v="石岡市"/>
    <x v="5"/>
    <x v="8"/>
    <n v="118"/>
    <n v="6.69"/>
    <n v="31"/>
    <n v="3"/>
    <n v="86"/>
    <n v="11.86"/>
    <x v="0"/>
  </r>
  <r>
    <x v="0"/>
    <s v="石岡市"/>
    <x v="5"/>
    <x v="9"/>
    <n v="82"/>
    <n v="4.6500000000000004"/>
    <n v="48"/>
    <n v="4.6500000000000004"/>
    <n v="34"/>
    <n v="4.6900000000000004"/>
    <x v="0"/>
  </r>
  <r>
    <x v="0"/>
    <s v="石岡市"/>
    <x v="5"/>
    <x v="10"/>
    <n v="164"/>
    <n v="9.3000000000000007"/>
    <n v="134"/>
    <n v="12.97"/>
    <n v="29"/>
    <n v="4"/>
    <x v="0"/>
  </r>
  <r>
    <x v="0"/>
    <s v="石岡市"/>
    <x v="5"/>
    <x v="11"/>
    <n v="242"/>
    <n v="13.73"/>
    <n v="198"/>
    <n v="19.170000000000002"/>
    <n v="42"/>
    <n v="5.79"/>
    <x v="0"/>
  </r>
  <r>
    <x v="0"/>
    <s v="石岡市"/>
    <x v="5"/>
    <x v="12"/>
    <n v="44"/>
    <n v="2.5"/>
    <n v="35"/>
    <n v="3.39"/>
    <n v="9"/>
    <n v="1.24"/>
    <x v="0"/>
  </r>
  <r>
    <x v="0"/>
    <s v="石岡市"/>
    <x v="5"/>
    <x v="13"/>
    <n v="73"/>
    <n v="4.1399999999999997"/>
    <n v="50"/>
    <n v="4.84"/>
    <n v="23"/>
    <n v="3.17"/>
    <x v="0"/>
  </r>
  <r>
    <x v="0"/>
    <s v="石岡市"/>
    <x v="5"/>
    <x v="14"/>
    <n v="95"/>
    <n v="5.39"/>
    <n v="54"/>
    <n v="5.23"/>
    <n v="40"/>
    <n v="5.52"/>
    <x v="0"/>
  </r>
  <r>
    <x v="0"/>
    <s v="結城市"/>
    <x v="6"/>
    <x v="0"/>
    <n v="0"/>
    <n v="0"/>
    <n v="0"/>
    <n v="0"/>
    <n v="0"/>
    <n v="0"/>
    <x v="0"/>
  </r>
  <r>
    <x v="0"/>
    <s v="結城市"/>
    <x v="6"/>
    <x v="1"/>
    <n v="268"/>
    <n v="19.690000000000001"/>
    <n v="128"/>
    <n v="17.18"/>
    <n v="140"/>
    <n v="22.99"/>
    <x v="0"/>
  </r>
  <r>
    <x v="0"/>
    <s v="結城市"/>
    <x v="6"/>
    <x v="2"/>
    <n v="188"/>
    <n v="13.81"/>
    <n v="74"/>
    <n v="9.93"/>
    <n v="114"/>
    <n v="18.72"/>
    <x v="0"/>
  </r>
  <r>
    <x v="0"/>
    <s v="結城市"/>
    <x v="6"/>
    <x v="3"/>
    <n v="2"/>
    <n v="0.15"/>
    <n v="1"/>
    <n v="0.13"/>
    <n v="1"/>
    <n v="0.16"/>
    <x v="0"/>
  </r>
  <r>
    <x v="0"/>
    <s v="結城市"/>
    <x v="6"/>
    <x v="4"/>
    <n v="3"/>
    <n v="0.22"/>
    <n v="1"/>
    <n v="0.13"/>
    <n v="2"/>
    <n v="0.33"/>
    <x v="0"/>
  </r>
  <r>
    <x v="0"/>
    <s v="結城市"/>
    <x v="6"/>
    <x v="5"/>
    <n v="10"/>
    <n v="0.73"/>
    <n v="2"/>
    <n v="0.27"/>
    <n v="8"/>
    <n v="1.31"/>
    <x v="0"/>
  </r>
  <r>
    <x v="0"/>
    <s v="結城市"/>
    <x v="6"/>
    <x v="6"/>
    <n v="325"/>
    <n v="23.88"/>
    <n v="155"/>
    <n v="20.81"/>
    <n v="169"/>
    <n v="27.75"/>
    <x v="1"/>
  </r>
  <r>
    <x v="0"/>
    <s v="結城市"/>
    <x v="6"/>
    <x v="7"/>
    <n v="3"/>
    <n v="0.22"/>
    <n v="1"/>
    <n v="0.13"/>
    <n v="2"/>
    <n v="0.33"/>
    <x v="0"/>
  </r>
  <r>
    <x v="0"/>
    <s v="結城市"/>
    <x v="6"/>
    <x v="8"/>
    <n v="90"/>
    <n v="6.61"/>
    <n v="43"/>
    <n v="5.77"/>
    <n v="47"/>
    <n v="7.72"/>
    <x v="0"/>
  </r>
  <r>
    <x v="0"/>
    <s v="結城市"/>
    <x v="6"/>
    <x v="9"/>
    <n v="62"/>
    <n v="4.5599999999999996"/>
    <n v="31"/>
    <n v="4.16"/>
    <n v="30"/>
    <n v="4.93"/>
    <x v="1"/>
  </r>
  <r>
    <x v="0"/>
    <s v="結城市"/>
    <x v="6"/>
    <x v="10"/>
    <n v="123"/>
    <n v="9.0399999999999991"/>
    <n v="97"/>
    <n v="13.02"/>
    <n v="26"/>
    <n v="4.2699999999999996"/>
    <x v="0"/>
  </r>
  <r>
    <x v="0"/>
    <s v="結城市"/>
    <x v="6"/>
    <x v="11"/>
    <n v="163"/>
    <n v="11.98"/>
    <n v="138"/>
    <n v="18.52"/>
    <n v="24"/>
    <n v="3.94"/>
    <x v="0"/>
  </r>
  <r>
    <x v="0"/>
    <s v="結城市"/>
    <x v="6"/>
    <x v="12"/>
    <n v="32"/>
    <n v="2.35"/>
    <n v="20"/>
    <n v="2.68"/>
    <n v="10"/>
    <n v="1.64"/>
    <x v="0"/>
  </r>
  <r>
    <x v="0"/>
    <s v="結城市"/>
    <x v="6"/>
    <x v="13"/>
    <n v="48"/>
    <n v="3.53"/>
    <n v="29"/>
    <n v="3.89"/>
    <n v="19"/>
    <n v="3.12"/>
    <x v="0"/>
  </r>
  <r>
    <x v="0"/>
    <s v="結城市"/>
    <x v="6"/>
    <x v="14"/>
    <n v="44"/>
    <n v="3.23"/>
    <n v="25"/>
    <n v="3.36"/>
    <n v="17"/>
    <n v="2.79"/>
    <x v="0"/>
  </r>
  <r>
    <x v="0"/>
    <s v="龍ケ崎市"/>
    <x v="7"/>
    <x v="0"/>
    <n v="0"/>
    <n v="0"/>
    <n v="0"/>
    <n v="0"/>
    <n v="0"/>
    <n v="0"/>
    <x v="0"/>
  </r>
  <r>
    <x v="0"/>
    <s v="龍ケ崎市"/>
    <x v="7"/>
    <x v="1"/>
    <n v="213"/>
    <n v="15.33"/>
    <n v="59"/>
    <n v="8.23"/>
    <n v="154"/>
    <n v="23.23"/>
    <x v="0"/>
  </r>
  <r>
    <x v="0"/>
    <s v="龍ケ崎市"/>
    <x v="7"/>
    <x v="2"/>
    <n v="82"/>
    <n v="5.9"/>
    <n v="21"/>
    <n v="2.93"/>
    <n v="61"/>
    <n v="9.1999999999999993"/>
    <x v="0"/>
  </r>
  <r>
    <x v="0"/>
    <s v="龍ケ崎市"/>
    <x v="7"/>
    <x v="3"/>
    <n v="2"/>
    <n v="0.14000000000000001"/>
    <n v="0"/>
    <n v="0"/>
    <n v="2"/>
    <n v="0.3"/>
    <x v="0"/>
  </r>
  <r>
    <x v="0"/>
    <s v="龍ケ崎市"/>
    <x v="7"/>
    <x v="4"/>
    <n v="11"/>
    <n v="0.79"/>
    <n v="1"/>
    <n v="0.14000000000000001"/>
    <n v="10"/>
    <n v="1.51"/>
    <x v="0"/>
  </r>
  <r>
    <x v="0"/>
    <s v="龍ケ崎市"/>
    <x v="7"/>
    <x v="5"/>
    <n v="6"/>
    <n v="0.43"/>
    <n v="1"/>
    <n v="0.14000000000000001"/>
    <n v="5"/>
    <n v="0.75"/>
    <x v="0"/>
  </r>
  <r>
    <x v="0"/>
    <s v="龍ケ崎市"/>
    <x v="7"/>
    <x v="6"/>
    <n v="312"/>
    <n v="22.46"/>
    <n v="125"/>
    <n v="17.43"/>
    <n v="186"/>
    <n v="28.05"/>
    <x v="0"/>
  </r>
  <r>
    <x v="0"/>
    <s v="龍ケ崎市"/>
    <x v="7"/>
    <x v="7"/>
    <n v="4"/>
    <n v="0.28999999999999998"/>
    <n v="1"/>
    <n v="0.14000000000000001"/>
    <n v="3"/>
    <n v="0.45"/>
    <x v="0"/>
  </r>
  <r>
    <x v="0"/>
    <s v="龍ケ崎市"/>
    <x v="7"/>
    <x v="8"/>
    <n v="114"/>
    <n v="8.2100000000000009"/>
    <n v="57"/>
    <n v="7.95"/>
    <n v="57"/>
    <n v="8.6"/>
    <x v="0"/>
  </r>
  <r>
    <x v="0"/>
    <s v="龍ケ崎市"/>
    <x v="7"/>
    <x v="9"/>
    <n v="75"/>
    <n v="5.4"/>
    <n v="31"/>
    <n v="4.32"/>
    <n v="43"/>
    <n v="6.49"/>
    <x v="0"/>
  </r>
  <r>
    <x v="0"/>
    <s v="龍ケ崎市"/>
    <x v="7"/>
    <x v="10"/>
    <n v="157"/>
    <n v="11.3"/>
    <n v="132"/>
    <n v="18.41"/>
    <n v="24"/>
    <n v="3.62"/>
    <x v="0"/>
  </r>
  <r>
    <x v="0"/>
    <s v="龍ケ崎市"/>
    <x v="7"/>
    <x v="11"/>
    <n v="204"/>
    <n v="14.69"/>
    <n v="157"/>
    <n v="21.9"/>
    <n v="47"/>
    <n v="7.09"/>
    <x v="0"/>
  </r>
  <r>
    <x v="0"/>
    <s v="龍ケ崎市"/>
    <x v="7"/>
    <x v="12"/>
    <n v="59"/>
    <n v="4.25"/>
    <n v="41"/>
    <n v="5.72"/>
    <n v="17"/>
    <n v="2.56"/>
    <x v="0"/>
  </r>
  <r>
    <x v="0"/>
    <s v="龍ケ崎市"/>
    <x v="7"/>
    <x v="13"/>
    <n v="80"/>
    <n v="5.76"/>
    <n v="61"/>
    <n v="8.51"/>
    <n v="17"/>
    <n v="2.56"/>
    <x v="0"/>
  </r>
  <r>
    <x v="0"/>
    <s v="龍ケ崎市"/>
    <x v="7"/>
    <x v="14"/>
    <n v="70"/>
    <n v="5.04"/>
    <n v="30"/>
    <n v="4.18"/>
    <n v="37"/>
    <n v="5.58"/>
    <x v="1"/>
  </r>
  <r>
    <x v="0"/>
    <s v="下妻市"/>
    <x v="8"/>
    <x v="0"/>
    <n v="0"/>
    <n v="0"/>
    <n v="0"/>
    <n v="0"/>
    <n v="0"/>
    <n v="0"/>
    <x v="0"/>
  </r>
  <r>
    <x v="0"/>
    <s v="下妻市"/>
    <x v="8"/>
    <x v="1"/>
    <n v="254"/>
    <n v="20.52"/>
    <n v="108"/>
    <n v="16.14"/>
    <n v="146"/>
    <n v="26.45"/>
    <x v="0"/>
  </r>
  <r>
    <x v="0"/>
    <s v="下妻市"/>
    <x v="8"/>
    <x v="2"/>
    <n v="135"/>
    <n v="10.9"/>
    <n v="57"/>
    <n v="8.52"/>
    <n v="78"/>
    <n v="14.13"/>
    <x v="0"/>
  </r>
  <r>
    <x v="0"/>
    <s v="下妻市"/>
    <x v="8"/>
    <x v="3"/>
    <n v="5"/>
    <n v="0.4"/>
    <n v="0"/>
    <n v="0"/>
    <n v="5"/>
    <n v="0.91"/>
    <x v="0"/>
  </r>
  <r>
    <x v="0"/>
    <s v="下妻市"/>
    <x v="8"/>
    <x v="4"/>
    <n v="7"/>
    <n v="0.56999999999999995"/>
    <n v="2"/>
    <n v="0.3"/>
    <n v="5"/>
    <n v="0.91"/>
    <x v="0"/>
  </r>
  <r>
    <x v="0"/>
    <s v="下妻市"/>
    <x v="8"/>
    <x v="5"/>
    <n v="17"/>
    <n v="1.37"/>
    <n v="1"/>
    <n v="0.15"/>
    <n v="16"/>
    <n v="2.9"/>
    <x v="0"/>
  </r>
  <r>
    <x v="0"/>
    <s v="下妻市"/>
    <x v="8"/>
    <x v="6"/>
    <n v="295"/>
    <n v="23.83"/>
    <n v="152"/>
    <n v="22.72"/>
    <n v="142"/>
    <n v="25.72"/>
    <x v="1"/>
  </r>
  <r>
    <x v="0"/>
    <s v="下妻市"/>
    <x v="8"/>
    <x v="7"/>
    <n v="5"/>
    <n v="0.4"/>
    <n v="0"/>
    <n v="0"/>
    <n v="5"/>
    <n v="0.91"/>
    <x v="0"/>
  </r>
  <r>
    <x v="0"/>
    <s v="下妻市"/>
    <x v="8"/>
    <x v="8"/>
    <n v="98"/>
    <n v="7.92"/>
    <n v="53"/>
    <n v="7.92"/>
    <n v="45"/>
    <n v="8.15"/>
    <x v="0"/>
  </r>
  <r>
    <x v="0"/>
    <s v="下妻市"/>
    <x v="8"/>
    <x v="9"/>
    <n v="42"/>
    <n v="3.39"/>
    <n v="24"/>
    <n v="3.59"/>
    <n v="18"/>
    <n v="3.26"/>
    <x v="0"/>
  </r>
  <r>
    <x v="0"/>
    <s v="下妻市"/>
    <x v="8"/>
    <x v="10"/>
    <n v="96"/>
    <n v="7.75"/>
    <n v="73"/>
    <n v="10.91"/>
    <n v="23"/>
    <n v="4.17"/>
    <x v="0"/>
  </r>
  <r>
    <x v="0"/>
    <s v="下妻市"/>
    <x v="8"/>
    <x v="11"/>
    <n v="143"/>
    <n v="11.55"/>
    <n v="113"/>
    <n v="16.89"/>
    <n v="27"/>
    <n v="4.8899999999999997"/>
    <x v="1"/>
  </r>
  <r>
    <x v="0"/>
    <s v="下妻市"/>
    <x v="8"/>
    <x v="12"/>
    <n v="36"/>
    <n v="2.91"/>
    <n v="21"/>
    <n v="3.14"/>
    <n v="10"/>
    <n v="1.81"/>
    <x v="0"/>
  </r>
  <r>
    <x v="0"/>
    <s v="下妻市"/>
    <x v="8"/>
    <x v="13"/>
    <n v="36"/>
    <n v="2.91"/>
    <n v="24"/>
    <n v="3.59"/>
    <n v="11"/>
    <n v="1.99"/>
    <x v="1"/>
  </r>
  <r>
    <x v="0"/>
    <s v="下妻市"/>
    <x v="8"/>
    <x v="14"/>
    <n v="69"/>
    <n v="5.57"/>
    <n v="41"/>
    <n v="6.13"/>
    <n v="21"/>
    <n v="3.8"/>
    <x v="0"/>
  </r>
  <r>
    <x v="0"/>
    <s v="常総市"/>
    <x v="9"/>
    <x v="0"/>
    <n v="0"/>
    <n v="0"/>
    <n v="0"/>
    <n v="0"/>
    <n v="0"/>
    <n v="0"/>
    <x v="0"/>
  </r>
  <r>
    <x v="0"/>
    <s v="常総市"/>
    <x v="9"/>
    <x v="1"/>
    <n v="337"/>
    <n v="21.44"/>
    <n v="144"/>
    <n v="17.12"/>
    <n v="193"/>
    <n v="26.77"/>
    <x v="0"/>
  </r>
  <r>
    <x v="0"/>
    <s v="常総市"/>
    <x v="9"/>
    <x v="2"/>
    <n v="224"/>
    <n v="14.25"/>
    <n v="74"/>
    <n v="8.8000000000000007"/>
    <n v="150"/>
    <n v="20.8"/>
    <x v="0"/>
  </r>
  <r>
    <x v="0"/>
    <s v="常総市"/>
    <x v="9"/>
    <x v="3"/>
    <n v="5"/>
    <n v="0.32"/>
    <n v="0"/>
    <n v="0"/>
    <n v="5"/>
    <n v="0.69"/>
    <x v="0"/>
  </r>
  <r>
    <x v="0"/>
    <s v="常総市"/>
    <x v="9"/>
    <x v="4"/>
    <n v="7"/>
    <n v="0.45"/>
    <n v="0"/>
    <n v="0"/>
    <n v="7"/>
    <n v="0.97"/>
    <x v="0"/>
  </r>
  <r>
    <x v="0"/>
    <s v="常総市"/>
    <x v="9"/>
    <x v="5"/>
    <n v="23"/>
    <n v="1.46"/>
    <n v="1"/>
    <n v="0.12"/>
    <n v="22"/>
    <n v="3.05"/>
    <x v="0"/>
  </r>
  <r>
    <x v="0"/>
    <s v="常総市"/>
    <x v="9"/>
    <x v="6"/>
    <n v="370"/>
    <n v="23.54"/>
    <n v="188"/>
    <n v="22.35"/>
    <n v="182"/>
    <n v="25.24"/>
    <x v="0"/>
  </r>
  <r>
    <x v="0"/>
    <s v="常総市"/>
    <x v="9"/>
    <x v="7"/>
    <n v="3"/>
    <n v="0.19"/>
    <n v="1"/>
    <n v="0.12"/>
    <n v="2"/>
    <n v="0.28000000000000003"/>
    <x v="0"/>
  </r>
  <r>
    <x v="0"/>
    <s v="常総市"/>
    <x v="9"/>
    <x v="8"/>
    <n v="67"/>
    <n v="4.26"/>
    <n v="20"/>
    <n v="2.38"/>
    <n v="46"/>
    <n v="6.38"/>
    <x v="0"/>
  </r>
  <r>
    <x v="0"/>
    <s v="常総市"/>
    <x v="9"/>
    <x v="9"/>
    <n v="57"/>
    <n v="3.63"/>
    <n v="31"/>
    <n v="3.69"/>
    <n v="24"/>
    <n v="3.33"/>
    <x v="0"/>
  </r>
  <r>
    <x v="0"/>
    <s v="常総市"/>
    <x v="9"/>
    <x v="10"/>
    <n v="137"/>
    <n v="8.7200000000000006"/>
    <n v="107"/>
    <n v="12.72"/>
    <n v="28"/>
    <n v="3.88"/>
    <x v="0"/>
  </r>
  <r>
    <x v="0"/>
    <s v="常総市"/>
    <x v="9"/>
    <x v="11"/>
    <n v="193"/>
    <n v="12.28"/>
    <n v="170"/>
    <n v="20.21"/>
    <n v="23"/>
    <n v="3.19"/>
    <x v="0"/>
  </r>
  <r>
    <x v="0"/>
    <s v="常総市"/>
    <x v="9"/>
    <x v="12"/>
    <n v="35"/>
    <n v="2.23"/>
    <n v="33"/>
    <n v="3.92"/>
    <n v="2"/>
    <n v="0.28000000000000003"/>
    <x v="0"/>
  </r>
  <r>
    <x v="0"/>
    <s v="常総市"/>
    <x v="9"/>
    <x v="13"/>
    <n v="59"/>
    <n v="3.75"/>
    <n v="43"/>
    <n v="5.1100000000000003"/>
    <n v="13"/>
    <n v="1.8"/>
    <x v="0"/>
  </r>
  <r>
    <x v="0"/>
    <s v="常総市"/>
    <x v="9"/>
    <x v="14"/>
    <n v="55"/>
    <n v="3.5"/>
    <n v="29"/>
    <n v="3.45"/>
    <n v="24"/>
    <n v="3.33"/>
    <x v="0"/>
  </r>
  <r>
    <x v="0"/>
    <s v="常陸太田市"/>
    <x v="10"/>
    <x v="0"/>
    <n v="1"/>
    <n v="0.09"/>
    <n v="0"/>
    <n v="0"/>
    <n v="1"/>
    <n v="0.28000000000000003"/>
    <x v="0"/>
  </r>
  <r>
    <x v="0"/>
    <s v="常陸太田市"/>
    <x v="10"/>
    <x v="1"/>
    <n v="210"/>
    <n v="19.89"/>
    <n v="119"/>
    <n v="17.89"/>
    <n v="91"/>
    <n v="25.28"/>
    <x v="0"/>
  </r>
  <r>
    <x v="0"/>
    <s v="常陸太田市"/>
    <x v="10"/>
    <x v="2"/>
    <n v="124"/>
    <n v="11.74"/>
    <n v="60"/>
    <n v="9.02"/>
    <n v="64"/>
    <n v="17.78"/>
    <x v="0"/>
  </r>
  <r>
    <x v="0"/>
    <s v="常陸太田市"/>
    <x v="10"/>
    <x v="3"/>
    <n v="1"/>
    <n v="0.09"/>
    <n v="0"/>
    <n v="0"/>
    <n v="1"/>
    <n v="0.28000000000000003"/>
    <x v="0"/>
  </r>
  <r>
    <x v="0"/>
    <s v="常陸太田市"/>
    <x v="10"/>
    <x v="4"/>
    <n v="7"/>
    <n v="0.66"/>
    <n v="1"/>
    <n v="0.15"/>
    <n v="6"/>
    <n v="1.67"/>
    <x v="0"/>
  </r>
  <r>
    <x v="0"/>
    <s v="常陸太田市"/>
    <x v="10"/>
    <x v="5"/>
    <n v="8"/>
    <n v="0.76"/>
    <n v="2"/>
    <n v="0.3"/>
    <n v="6"/>
    <n v="1.67"/>
    <x v="0"/>
  </r>
  <r>
    <x v="0"/>
    <s v="常陸太田市"/>
    <x v="10"/>
    <x v="6"/>
    <n v="237"/>
    <n v="22.44"/>
    <n v="165"/>
    <n v="24.81"/>
    <n v="72"/>
    <n v="20"/>
    <x v="0"/>
  </r>
  <r>
    <x v="0"/>
    <s v="常陸太田市"/>
    <x v="10"/>
    <x v="7"/>
    <n v="7"/>
    <n v="0.66"/>
    <n v="2"/>
    <n v="0.3"/>
    <n v="5"/>
    <n v="1.39"/>
    <x v="0"/>
  </r>
  <r>
    <x v="0"/>
    <s v="常陸太田市"/>
    <x v="10"/>
    <x v="8"/>
    <n v="33"/>
    <n v="3.13"/>
    <n v="15"/>
    <n v="2.2599999999999998"/>
    <n v="18"/>
    <n v="5"/>
    <x v="0"/>
  </r>
  <r>
    <x v="0"/>
    <s v="常陸太田市"/>
    <x v="10"/>
    <x v="9"/>
    <n v="35"/>
    <n v="3.31"/>
    <n v="16"/>
    <n v="2.41"/>
    <n v="18"/>
    <n v="5"/>
    <x v="0"/>
  </r>
  <r>
    <x v="0"/>
    <s v="常陸太田市"/>
    <x v="10"/>
    <x v="10"/>
    <n v="110"/>
    <n v="10.42"/>
    <n v="90"/>
    <n v="13.53"/>
    <n v="20"/>
    <n v="5.56"/>
    <x v="0"/>
  </r>
  <r>
    <x v="0"/>
    <s v="常陸太田市"/>
    <x v="10"/>
    <x v="11"/>
    <n v="152"/>
    <n v="14.39"/>
    <n v="127"/>
    <n v="19.100000000000001"/>
    <n v="22"/>
    <n v="6.11"/>
    <x v="0"/>
  </r>
  <r>
    <x v="0"/>
    <s v="常陸太田市"/>
    <x v="10"/>
    <x v="12"/>
    <n v="36"/>
    <n v="3.41"/>
    <n v="13"/>
    <n v="1.95"/>
    <n v="8"/>
    <n v="2.2200000000000002"/>
    <x v="1"/>
  </r>
  <r>
    <x v="0"/>
    <s v="常陸太田市"/>
    <x v="10"/>
    <x v="13"/>
    <n v="42"/>
    <n v="3.98"/>
    <n v="23"/>
    <n v="3.46"/>
    <n v="12"/>
    <n v="3.33"/>
    <x v="5"/>
  </r>
  <r>
    <x v="0"/>
    <s v="常陸太田市"/>
    <x v="10"/>
    <x v="14"/>
    <n v="53"/>
    <n v="5.0199999999999996"/>
    <n v="32"/>
    <n v="4.8099999999999996"/>
    <n v="16"/>
    <n v="4.4400000000000004"/>
    <x v="0"/>
  </r>
  <r>
    <x v="0"/>
    <s v="高萩市"/>
    <x v="11"/>
    <x v="0"/>
    <n v="1"/>
    <n v="0.15"/>
    <n v="0"/>
    <n v="0"/>
    <n v="1"/>
    <n v="0.5"/>
    <x v="0"/>
  </r>
  <r>
    <x v="0"/>
    <s v="高萩市"/>
    <x v="11"/>
    <x v="1"/>
    <n v="89"/>
    <n v="13.28"/>
    <n v="48"/>
    <n v="10.62"/>
    <n v="41"/>
    <n v="20.3"/>
    <x v="0"/>
  </r>
  <r>
    <x v="0"/>
    <s v="高萩市"/>
    <x v="11"/>
    <x v="2"/>
    <n v="31"/>
    <n v="4.63"/>
    <n v="17"/>
    <n v="3.76"/>
    <n v="14"/>
    <n v="6.93"/>
    <x v="0"/>
  </r>
  <r>
    <x v="0"/>
    <s v="高萩市"/>
    <x v="11"/>
    <x v="3"/>
    <n v="3"/>
    <n v="0.45"/>
    <n v="0"/>
    <n v="0"/>
    <n v="1"/>
    <n v="0.5"/>
    <x v="0"/>
  </r>
  <r>
    <x v="0"/>
    <s v="高萩市"/>
    <x v="11"/>
    <x v="4"/>
    <n v="0"/>
    <n v="0"/>
    <n v="0"/>
    <n v="0"/>
    <n v="0"/>
    <n v="0"/>
    <x v="0"/>
  </r>
  <r>
    <x v="0"/>
    <s v="高萩市"/>
    <x v="11"/>
    <x v="5"/>
    <n v="6"/>
    <n v="0.9"/>
    <n v="1"/>
    <n v="0.22"/>
    <n v="5"/>
    <n v="2.48"/>
    <x v="0"/>
  </r>
  <r>
    <x v="0"/>
    <s v="高萩市"/>
    <x v="11"/>
    <x v="6"/>
    <n v="162"/>
    <n v="24.18"/>
    <n v="101"/>
    <n v="22.35"/>
    <n v="61"/>
    <n v="30.2"/>
    <x v="0"/>
  </r>
  <r>
    <x v="0"/>
    <s v="高萩市"/>
    <x v="11"/>
    <x v="7"/>
    <n v="3"/>
    <n v="0.45"/>
    <n v="1"/>
    <n v="0.22"/>
    <n v="2"/>
    <n v="0.99"/>
    <x v="0"/>
  </r>
  <r>
    <x v="0"/>
    <s v="高萩市"/>
    <x v="11"/>
    <x v="8"/>
    <n v="49"/>
    <n v="7.31"/>
    <n v="27"/>
    <n v="5.97"/>
    <n v="22"/>
    <n v="10.89"/>
    <x v="0"/>
  </r>
  <r>
    <x v="0"/>
    <s v="高萩市"/>
    <x v="11"/>
    <x v="9"/>
    <n v="28"/>
    <n v="4.18"/>
    <n v="22"/>
    <n v="4.87"/>
    <n v="6"/>
    <n v="2.97"/>
    <x v="0"/>
  </r>
  <r>
    <x v="0"/>
    <s v="高萩市"/>
    <x v="11"/>
    <x v="10"/>
    <n v="85"/>
    <n v="12.69"/>
    <n v="74"/>
    <n v="16.37"/>
    <n v="11"/>
    <n v="5.45"/>
    <x v="0"/>
  </r>
  <r>
    <x v="0"/>
    <s v="高萩市"/>
    <x v="11"/>
    <x v="11"/>
    <n v="126"/>
    <n v="18.809999999999999"/>
    <n v="106"/>
    <n v="23.45"/>
    <n v="16"/>
    <n v="7.92"/>
    <x v="0"/>
  </r>
  <r>
    <x v="0"/>
    <s v="高萩市"/>
    <x v="11"/>
    <x v="12"/>
    <n v="37"/>
    <n v="5.52"/>
    <n v="28"/>
    <n v="6.19"/>
    <n v="7"/>
    <n v="3.47"/>
    <x v="0"/>
  </r>
  <r>
    <x v="0"/>
    <s v="高萩市"/>
    <x v="11"/>
    <x v="13"/>
    <n v="31"/>
    <n v="4.63"/>
    <n v="18"/>
    <n v="3.98"/>
    <n v="8"/>
    <n v="3.96"/>
    <x v="0"/>
  </r>
  <r>
    <x v="0"/>
    <s v="高萩市"/>
    <x v="11"/>
    <x v="14"/>
    <n v="19"/>
    <n v="2.84"/>
    <n v="9"/>
    <n v="1.99"/>
    <n v="7"/>
    <n v="3.47"/>
    <x v="0"/>
  </r>
  <r>
    <x v="0"/>
    <s v="北茨城市"/>
    <x v="12"/>
    <x v="0"/>
    <n v="0"/>
    <n v="0"/>
    <n v="0"/>
    <n v="0"/>
    <n v="0"/>
    <n v="0"/>
    <x v="0"/>
  </r>
  <r>
    <x v="0"/>
    <s v="北茨城市"/>
    <x v="12"/>
    <x v="1"/>
    <n v="161"/>
    <n v="17.239999999999998"/>
    <n v="76"/>
    <n v="13.33"/>
    <n v="85"/>
    <n v="24.71"/>
    <x v="0"/>
  </r>
  <r>
    <x v="0"/>
    <s v="北茨城市"/>
    <x v="12"/>
    <x v="2"/>
    <n v="114"/>
    <n v="12.21"/>
    <n v="56"/>
    <n v="9.82"/>
    <n v="58"/>
    <n v="16.86"/>
    <x v="0"/>
  </r>
  <r>
    <x v="0"/>
    <s v="北茨城市"/>
    <x v="12"/>
    <x v="3"/>
    <n v="5"/>
    <n v="0.54"/>
    <n v="0"/>
    <n v="0"/>
    <n v="2"/>
    <n v="0.57999999999999996"/>
    <x v="0"/>
  </r>
  <r>
    <x v="0"/>
    <s v="北茨城市"/>
    <x v="12"/>
    <x v="4"/>
    <n v="3"/>
    <n v="0.32"/>
    <n v="0"/>
    <n v="0"/>
    <n v="3"/>
    <n v="0.87"/>
    <x v="0"/>
  </r>
  <r>
    <x v="0"/>
    <s v="北茨城市"/>
    <x v="12"/>
    <x v="5"/>
    <n v="13"/>
    <n v="1.39"/>
    <n v="2"/>
    <n v="0.35"/>
    <n v="11"/>
    <n v="3.2"/>
    <x v="0"/>
  </r>
  <r>
    <x v="0"/>
    <s v="北茨城市"/>
    <x v="12"/>
    <x v="6"/>
    <n v="219"/>
    <n v="23.45"/>
    <n v="136"/>
    <n v="23.86"/>
    <n v="83"/>
    <n v="24.13"/>
    <x v="0"/>
  </r>
  <r>
    <x v="0"/>
    <s v="北茨城市"/>
    <x v="12"/>
    <x v="7"/>
    <n v="6"/>
    <n v="0.64"/>
    <n v="1"/>
    <n v="0.18"/>
    <n v="5"/>
    <n v="1.45"/>
    <x v="0"/>
  </r>
  <r>
    <x v="0"/>
    <s v="北茨城市"/>
    <x v="12"/>
    <x v="8"/>
    <n v="61"/>
    <n v="6.53"/>
    <n v="36"/>
    <n v="6.32"/>
    <n v="25"/>
    <n v="7.27"/>
    <x v="0"/>
  </r>
  <r>
    <x v="0"/>
    <s v="北茨城市"/>
    <x v="12"/>
    <x v="9"/>
    <n v="34"/>
    <n v="3.64"/>
    <n v="22"/>
    <n v="3.86"/>
    <n v="11"/>
    <n v="3.2"/>
    <x v="0"/>
  </r>
  <r>
    <x v="0"/>
    <s v="北茨城市"/>
    <x v="12"/>
    <x v="10"/>
    <n v="84"/>
    <n v="8.99"/>
    <n v="70"/>
    <n v="12.28"/>
    <n v="14"/>
    <n v="4.07"/>
    <x v="0"/>
  </r>
  <r>
    <x v="0"/>
    <s v="北茨城市"/>
    <x v="12"/>
    <x v="11"/>
    <n v="121"/>
    <n v="12.96"/>
    <n v="104"/>
    <n v="18.25"/>
    <n v="16"/>
    <n v="4.6500000000000004"/>
    <x v="0"/>
  </r>
  <r>
    <x v="0"/>
    <s v="北茨城市"/>
    <x v="12"/>
    <x v="12"/>
    <n v="36"/>
    <n v="3.85"/>
    <n v="19"/>
    <n v="3.33"/>
    <n v="6"/>
    <n v="1.74"/>
    <x v="0"/>
  </r>
  <r>
    <x v="0"/>
    <s v="北茨城市"/>
    <x v="12"/>
    <x v="13"/>
    <n v="45"/>
    <n v="4.82"/>
    <n v="26"/>
    <n v="4.5599999999999996"/>
    <n v="18"/>
    <n v="5.23"/>
    <x v="0"/>
  </r>
  <r>
    <x v="0"/>
    <s v="北茨城市"/>
    <x v="12"/>
    <x v="14"/>
    <n v="32"/>
    <n v="3.43"/>
    <n v="22"/>
    <n v="3.86"/>
    <n v="7"/>
    <n v="2.0299999999999998"/>
    <x v="0"/>
  </r>
  <r>
    <x v="0"/>
    <s v="笠間市"/>
    <x v="13"/>
    <x v="0"/>
    <n v="1"/>
    <n v="0.05"/>
    <n v="1"/>
    <n v="7.0000000000000007E-2"/>
    <n v="0"/>
    <n v="0"/>
    <x v="0"/>
  </r>
  <r>
    <x v="0"/>
    <s v="笠間市"/>
    <x v="13"/>
    <x v="1"/>
    <n v="367"/>
    <n v="17.93"/>
    <n v="221"/>
    <n v="16.47"/>
    <n v="146"/>
    <n v="20.92"/>
    <x v="0"/>
  </r>
  <r>
    <x v="0"/>
    <s v="笠間市"/>
    <x v="13"/>
    <x v="2"/>
    <n v="288"/>
    <n v="14.07"/>
    <n v="163"/>
    <n v="12.15"/>
    <n v="125"/>
    <n v="17.91"/>
    <x v="0"/>
  </r>
  <r>
    <x v="0"/>
    <s v="笠間市"/>
    <x v="13"/>
    <x v="3"/>
    <n v="8"/>
    <n v="0.39"/>
    <n v="0"/>
    <n v="0"/>
    <n v="8"/>
    <n v="1.1499999999999999"/>
    <x v="0"/>
  </r>
  <r>
    <x v="0"/>
    <s v="笠間市"/>
    <x v="13"/>
    <x v="4"/>
    <n v="7"/>
    <n v="0.34"/>
    <n v="2"/>
    <n v="0.15"/>
    <n v="5"/>
    <n v="0.72"/>
    <x v="0"/>
  </r>
  <r>
    <x v="0"/>
    <s v="笠間市"/>
    <x v="13"/>
    <x v="5"/>
    <n v="18"/>
    <n v="0.88"/>
    <n v="4"/>
    <n v="0.3"/>
    <n v="13"/>
    <n v="1.86"/>
    <x v="1"/>
  </r>
  <r>
    <x v="0"/>
    <s v="笠間市"/>
    <x v="13"/>
    <x v="6"/>
    <n v="474"/>
    <n v="23.16"/>
    <n v="280"/>
    <n v="20.86"/>
    <n v="193"/>
    <n v="27.65"/>
    <x v="1"/>
  </r>
  <r>
    <x v="0"/>
    <s v="笠間市"/>
    <x v="13"/>
    <x v="7"/>
    <n v="12"/>
    <n v="0.59"/>
    <n v="4"/>
    <n v="0.3"/>
    <n v="8"/>
    <n v="1.1499999999999999"/>
    <x v="0"/>
  </r>
  <r>
    <x v="0"/>
    <s v="笠間市"/>
    <x v="13"/>
    <x v="8"/>
    <n v="143"/>
    <n v="6.99"/>
    <n v="96"/>
    <n v="7.15"/>
    <n v="46"/>
    <n v="6.59"/>
    <x v="1"/>
  </r>
  <r>
    <x v="0"/>
    <s v="笠間市"/>
    <x v="13"/>
    <x v="9"/>
    <n v="93"/>
    <n v="4.54"/>
    <n v="64"/>
    <n v="4.7699999999999996"/>
    <n v="28"/>
    <n v="4.01"/>
    <x v="0"/>
  </r>
  <r>
    <x v="0"/>
    <s v="笠間市"/>
    <x v="13"/>
    <x v="10"/>
    <n v="188"/>
    <n v="9.18"/>
    <n v="155"/>
    <n v="11.55"/>
    <n v="31"/>
    <n v="4.4400000000000004"/>
    <x v="0"/>
  </r>
  <r>
    <x v="0"/>
    <s v="笠間市"/>
    <x v="13"/>
    <x v="11"/>
    <n v="237"/>
    <n v="11.58"/>
    <n v="202"/>
    <n v="15.05"/>
    <n v="35"/>
    <n v="5.01"/>
    <x v="0"/>
  </r>
  <r>
    <x v="0"/>
    <s v="笠間市"/>
    <x v="13"/>
    <x v="12"/>
    <n v="68"/>
    <n v="3.32"/>
    <n v="52"/>
    <n v="3.87"/>
    <n v="16"/>
    <n v="2.29"/>
    <x v="0"/>
  </r>
  <r>
    <x v="0"/>
    <s v="笠間市"/>
    <x v="13"/>
    <x v="13"/>
    <n v="65"/>
    <n v="3.18"/>
    <n v="44"/>
    <n v="3.28"/>
    <n v="20"/>
    <n v="2.87"/>
    <x v="1"/>
  </r>
  <r>
    <x v="0"/>
    <s v="笠間市"/>
    <x v="13"/>
    <x v="14"/>
    <n v="78"/>
    <n v="3.81"/>
    <n v="54"/>
    <n v="4.0199999999999996"/>
    <n v="24"/>
    <n v="3.44"/>
    <x v="0"/>
  </r>
  <r>
    <x v="0"/>
    <s v="取手市"/>
    <x v="14"/>
    <x v="0"/>
    <n v="0"/>
    <n v="0"/>
    <n v="0"/>
    <n v="0"/>
    <n v="0"/>
    <n v="0"/>
    <x v="0"/>
  </r>
  <r>
    <x v="0"/>
    <s v="取手市"/>
    <x v="14"/>
    <x v="1"/>
    <n v="224"/>
    <n v="13.15"/>
    <n v="60"/>
    <n v="6.7"/>
    <n v="164"/>
    <n v="20.87"/>
    <x v="0"/>
  </r>
  <r>
    <x v="0"/>
    <s v="取手市"/>
    <x v="14"/>
    <x v="2"/>
    <n v="81"/>
    <n v="4.76"/>
    <n v="37"/>
    <n v="4.13"/>
    <n v="44"/>
    <n v="5.6"/>
    <x v="0"/>
  </r>
  <r>
    <x v="0"/>
    <s v="取手市"/>
    <x v="14"/>
    <x v="3"/>
    <n v="1"/>
    <n v="0.06"/>
    <n v="0"/>
    <n v="0"/>
    <n v="1"/>
    <n v="0.13"/>
    <x v="0"/>
  </r>
  <r>
    <x v="0"/>
    <s v="取手市"/>
    <x v="14"/>
    <x v="4"/>
    <n v="18"/>
    <n v="1.06"/>
    <n v="1"/>
    <n v="0.11"/>
    <n v="17"/>
    <n v="2.16"/>
    <x v="0"/>
  </r>
  <r>
    <x v="0"/>
    <s v="取手市"/>
    <x v="14"/>
    <x v="5"/>
    <n v="13"/>
    <n v="0.76"/>
    <n v="2"/>
    <n v="0.22"/>
    <n v="11"/>
    <n v="1.4"/>
    <x v="0"/>
  </r>
  <r>
    <x v="0"/>
    <s v="取手市"/>
    <x v="14"/>
    <x v="6"/>
    <n v="401"/>
    <n v="23.55"/>
    <n v="184"/>
    <n v="20.56"/>
    <n v="217"/>
    <n v="27.61"/>
    <x v="0"/>
  </r>
  <r>
    <x v="0"/>
    <s v="取手市"/>
    <x v="14"/>
    <x v="7"/>
    <n v="12"/>
    <n v="0.7"/>
    <n v="3"/>
    <n v="0.34"/>
    <n v="9"/>
    <n v="1.1499999999999999"/>
    <x v="0"/>
  </r>
  <r>
    <x v="0"/>
    <s v="取手市"/>
    <x v="14"/>
    <x v="8"/>
    <n v="154"/>
    <n v="9.0399999999999991"/>
    <n v="42"/>
    <n v="4.6900000000000004"/>
    <n v="111"/>
    <n v="14.12"/>
    <x v="0"/>
  </r>
  <r>
    <x v="0"/>
    <s v="取手市"/>
    <x v="14"/>
    <x v="9"/>
    <n v="101"/>
    <n v="5.93"/>
    <n v="44"/>
    <n v="4.92"/>
    <n v="54"/>
    <n v="6.87"/>
    <x v="1"/>
  </r>
  <r>
    <x v="0"/>
    <s v="取手市"/>
    <x v="14"/>
    <x v="10"/>
    <n v="195"/>
    <n v="11.45"/>
    <n v="161"/>
    <n v="17.989999999999998"/>
    <n v="34"/>
    <n v="4.33"/>
    <x v="0"/>
  </r>
  <r>
    <x v="0"/>
    <s v="取手市"/>
    <x v="14"/>
    <x v="11"/>
    <n v="241"/>
    <n v="14.15"/>
    <n v="191"/>
    <n v="21.34"/>
    <n v="47"/>
    <n v="5.98"/>
    <x v="0"/>
  </r>
  <r>
    <x v="0"/>
    <s v="取手市"/>
    <x v="14"/>
    <x v="12"/>
    <n v="91"/>
    <n v="5.34"/>
    <n v="67"/>
    <n v="7.49"/>
    <n v="15"/>
    <n v="1.91"/>
    <x v="0"/>
  </r>
  <r>
    <x v="0"/>
    <s v="取手市"/>
    <x v="14"/>
    <x v="13"/>
    <n v="105"/>
    <n v="6.17"/>
    <n v="76"/>
    <n v="8.49"/>
    <n v="24"/>
    <n v="3.05"/>
    <x v="0"/>
  </r>
  <r>
    <x v="0"/>
    <s v="取手市"/>
    <x v="14"/>
    <x v="14"/>
    <n v="66"/>
    <n v="3.88"/>
    <n v="27"/>
    <n v="3.02"/>
    <n v="38"/>
    <n v="4.83"/>
    <x v="0"/>
  </r>
  <r>
    <x v="0"/>
    <s v="牛久市"/>
    <x v="15"/>
    <x v="0"/>
    <n v="0"/>
    <n v="0"/>
    <n v="0"/>
    <n v="0"/>
    <n v="0"/>
    <n v="0"/>
    <x v="0"/>
  </r>
  <r>
    <x v="0"/>
    <s v="牛久市"/>
    <x v="15"/>
    <x v="1"/>
    <n v="201"/>
    <n v="14.52"/>
    <n v="63"/>
    <n v="8.75"/>
    <n v="138"/>
    <n v="20.85"/>
    <x v="0"/>
  </r>
  <r>
    <x v="0"/>
    <s v="牛久市"/>
    <x v="15"/>
    <x v="2"/>
    <n v="66"/>
    <n v="4.7699999999999996"/>
    <n v="27"/>
    <n v="3.75"/>
    <n v="39"/>
    <n v="5.89"/>
    <x v="0"/>
  </r>
  <r>
    <x v="0"/>
    <s v="牛久市"/>
    <x v="15"/>
    <x v="3"/>
    <n v="3"/>
    <n v="0.22"/>
    <n v="1"/>
    <n v="0.14000000000000001"/>
    <n v="2"/>
    <n v="0.3"/>
    <x v="0"/>
  </r>
  <r>
    <x v="0"/>
    <s v="牛久市"/>
    <x v="15"/>
    <x v="4"/>
    <n v="16"/>
    <n v="1.1599999999999999"/>
    <n v="2"/>
    <n v="0.28000000000000003"/>
    <n v="14"/>
    <n v="2.11"/>
    <x v="0"/>
  </r>
  <r>
    <x v="0"/>
    <s v="牛久市"/>
    <x v="15"/>
    <x v="5"/>
    <n v="7"/>
    <n v="0.51"/>
    <n v="4"/>
    <n v="0.56000000000000005"/>
    <n v="3"/>
    <n v="0.45"/>
    <x v="0"/>
  </r>
  <r>
    <x v="0"/>
    <s v="牛久市"/>
    <x v="15"/>
    <x v="6"/>
    <n v="316"/>
    <n v="22.83"/>
    <n v="144"/>
    <n v="20"/>
    <n v="172"/>
    <n v="25.98"/>
    <x v="0"/>
  </r>
  <r>
    <x v="0"/>
    <s v="牛久市"/>
    <x v="15"/>
    <x v="7"/>
    <n v="10"/>
    <n v="0.72"/>
    <n v="3"/>
    <n v="0.42"/>
    <n v="7"/>
    <n v="1.06"/>
    <x v="0"/>
  </r>
  <r>
    <x v="0"/>
    <s v="牛久市"/>
    <x v="15"/>
    <x v="8"/>
    <n v="145"/>
    <n v="10.48"/>
    <n v="44"/>
    <n v="6.11"/>
    <n v="100"/>
    <n v="15.11"/>
    <x v="0"/>
  </r>
  <r>
    <x v="0"/>
    <s v="牛久市"/>
    <x v="15"/>
    <x v="9"/>
    <n v="87"/>
    <n v="6.29"/>
    <n v="44"/>
    <n v="6.11"/>
    <n v="43"/>
    <n v="6.5"/>
    <x v="0"/>
  </r>
  <r>
    <x v="0"/>
    <s v="牛久市"/>
    <x v="15"/>
    <x v="10"/>
    <n v="137"/>
    <n v="9.9"/>
    <n v="100"/>
    <n v="13.89"/>
    <n v="37"/>
    <n v="5.59"/>
    <x v="0"/>
  </r>
  <r>
    <x v="0"/>
    <s v="牛久市"/>
    <x v="15"/>
    <x v="11"/>
    <n v="225"/>
    <n v="16.260000000000002"/>
    <n v="175"/>
    <n v="24.31"/>
    <n v="49"/>
    <n v="7.4"/>
    <x v="0"/>
  </r>
  <r>
    <x v="0"/>
    <s v="牛久市"/>
    <x v="15"/>
    <x v="12"/>
    <n v="57"/>
    <n v="4.12"/>
    <n v="45"/>
    <n v="6.25"/>
    <n v="12"/>
    <n v="1.81"/>
    <x v="0"/>
  </r>
  <r>
    <x v="0"/>
    <s v="牛久市"/>
    <x v="15"/>
    <x v="13"/>
    <n v="78"/>
    <n v="5.64"/>
    <n v="54"/>
    <n v="7.5"/>
    <n v="24"/>
    <n v="3.63"/>
    <x v="0"/>
  </r>
  <r>
    <x v="0"/>
    <s v="牛久市"/>
    <x v="15"/>
    <x v="14"/>
    <n v="36"/>
    <n v="2.6"/>
    <n v="14"/>
    <n v="1.94"/>
    <n v="22"/>
    <n v="3.32"/>
    <x v="0"/>
  </r>
  <r>
    <x v="0"/>
    <s v="つくば市"/>
    <x v="16"/>
    <x v="0"/>
    <n v="0"/>
    <n v="0"/>
    <n v="0"/>
    <n v="0"/>
    <n v="0"/>
    <n v="0"/>
    <x v="0"/>
  </r>
  <r>
    <x v="0"/>
    <s v="つくば市"/>
    <x v="16"/>
    <x v="1"/>
    <n v="719"/>
    <n v="17.309999999999999"/>
    <n v="217"/>
    <n v="13.02"/>
    <n v="502"/>
    <n v="20.5"/>
    <x v="0"/>
  </r>
  <r>
    <x v="0"/>
    <s v="つくば市"/>
    <x v="16"/>
    <x v="2"/>
    <n v="247"/>
    <n v="5.95"/>
    <n v="64"/>
    <n v="3.84"/>
    <n v="183"/>
    <n v="7.47"/>
    <x v="0"/>
  </r>
  <r>
    <x v="0"/>
    <s v="つくば市"/>
    <x v="16"/>
    <x v="3"/>
    <n v="12"/>
    <n v="0.28999999999999998"/>
    <n v="0"/>
    <n v="0"/>
    <n v="12"/>
    <n v="0.49"/>
    <x v="0"/>
  </r>
  <r>
    <x v="0"/>
    <s v="つくば市"/>
    <x v="16"/>
    <x v="4"/>
    <n v="81"/>
    <n v="1.95"/>
    <n v="5"/>
    <n v="0.3"/>
    <n v="76"/>
    <n v="3.1"/>
    <x v="0"/>
  </r>
  <r>
    <x v="0"/>
    <s v="つくば市"/>
    <x v="16"/>
    <x v="5"/>
    <n v="42"/>
    <n v="1.01"/>
    <n v="7"/>
    <n v="0.42"/>
    <n v="35"/>
    <n v="1.43"/>
    <x v="0"/>
  </r>
  <r>
    <x v="0"/>
    <s v="つくば市"/>
    <x v="16"/>
    <x v="6"/>
    <n v="950"/>
    <n v="22.88"/>
    <n v="335"/>
    <n v="20.100000000000001"/>
    <n v="615"/>
    <n v="25.11"/>
    <x v="0"/>
  </r>
  <r>
    <x v="0"/>
    <s v="つくば市"/>
    <x v="16"/>
    <x v="7"/>
    <n v="39"/>
    <n v="0.94"/>
    <n v="4"/>
    <n v="0.24"/>
    <n v="35"/>
    <n v="1.43"/>
    <x v="0"/>
  </r>
  <r>
    <x v="0"/>
    <s v="つくば市"/>
    <x v="16"/>
    <x v="8"/>
    <n v="360"/>
    <n v="8.67"/>
    <n v="51"/>
    <n v="3.06"/>
    <n v="309"/>
    <n v="12.62"/>
    <x v="0"/>
  </r>
  <r>
    <x v="0"/>
    <s v="つくば市"/>
    <x v="16"/>
    <x v="9"/>
    <n v="292"/>
    <n v="7.03"/>
    <n v="97"/>
    <n v="5.82"/>
    <n v="195"/>
    <n v="7.96"/>
    <x v="0"/>
  </r>
  <r>
    <x v="0"/>
    <s v="つくば市"/>
    <x v="16"/>
    <x v="10"/>
    <n v="336"/>
    <n v="8.09"/>
    <n v="227"/>
    <n v="13.62"/>
    <n v="107"/>
    <n v="4.37"/>
    <x v="0"/>
  </r>
  <r>
    <x v="0"/>
    <s v="つくば市"/>
    <x v="16"/>
    <x v="11"/>
    <n v="513"/>
    <n v="12.35"/>
    <n v="377"/>
    <n v="22.62"/>
    <n v="136"/>
    <n v="5.55"/>
    <x v="0"/>
  </r>
  <r>
    <x v="0"/>
    <s v="つくば市"/>
    <x v="16"/>
    <x v="12"/>
    <n v="151"/>
    <n v="3.64"/>
    <n v="72"/>
    <n v="4.32"/>
    <n v="60"/>
    <n v="2.4500000000000002"/>
    <x v="0"/>
  </r>
  <r>
    <x v="0"/>
    <s v="つくば市"/>
    <x v="16"/>
    <x v="13"/>
    <n v="187"/>
    <n v="4.5"/>
    <n v="129"/>
    <n v="7.74"/>
    <n v="47"/>
    <n v="1.92"/>
    <x v="0"/>
  </r>
  <r>
    <x v="0"/>
    <s v="つくば市"/>
    <x v="16"/>
    <x v="14"/>
    <n v="224"/>
    <n v="5.39"/>
    <n v="82"/>
    <n v="4.92"/>
    <n v="137"/>
    <n v="5.59"/>
    <x v="0"/>
  </r>
  <r>
    <x v="0"/>
    <s v="ひたちなか市"/>
    <x v="17"/>
    <x v="0"/>
    <n v="0"/>
    <n v="0"/>
    <n v="0"/>
    <n v="0"/>
    <n v="0"/>
    <n v="0"/>
    <x v="0"/>
  </r>
  <r>
    <x v="0"/>
    <s v="ひたちなか市"/>
    <x v="17"/>
    <x v="1"/>
    <n v="423"/>
    <n v="14.65"/>
    <n v="129"/>
    <n v="8.02"/>
    <n v="294"/>
    <n v="23.08"/>
    <x v="0"/>
  </r>
  <r>
    <x v="0"/>
    <s v="ひたちなか市"/>
    <x v="17"/>
    <x v="2"/>
    <n v="211"/>
    <n v="7.31"/>
    <n v="77"/>
    <n v="4.79"/>
    <n v="134"/>
    <n v="10.52"/>
    <x v="0"/>
  </r>
  <r>
    <x v="0"/>
    <s v="ひたちなか市"/>
    <x v="17"/>
    <x v="3"/>
    <n v="6"/>
    <n v="0.21"/>
    <n v="0"/>
    <n v="0"/>
    <n v="6"/>
    <n v="0.47"/>
    <x v="0"/>
  </r>
  <r>
    <x v="0"/>
    <s v="ひたちなか市"/>
    <x v="17"/>
    <x v="4"/>
    <n v="33"/>
    <n v="1.1399999999999999"/>
    <n v="4"/>
    <n v="0.25"/>
    <n v="29"/>
    <n v="2.2799999999999998"/>
    <x v="0"/>
  </r>
  <r>
    <x v="0"/>
    <s v="ひたちなか市"/>
    <x v="17"/>
    <x v="5"/>
    <n v="32"/>
    <n v="1.1100000000000001"/>
    <n v="1"/>
    <n v="0.06"/>
    <n v="30"/>
    <n v="2.35"/>
    <x v="1"/>
  </r>
  <r>
    <x v="0"/>
    <s v="ひたちなか市"/>
    <x v="17"/>
    <x v="6"/>
    <n v="662"/>
    <n v="22.92"/>
    <n v="331"/>
    <n v="20.57"/>
    <n v="331"/>
    <n v="25.98"/>
    <x v="0"/>
  </r>
  <r>
    <x v="0"/>
    <s v="ひたちなか市"/>
    <x v="17"/>
    <x v="7"/>
    <n v="15"/>
    <n v="0.52"/>
    <n v="2"/>
    <n v="0.12"/>
    <n v="13"/>
    <n v="1.02"/>
    <x v="0"/>
  </r>
  <r>
    <x v="0"/>
    <s v="ひたちなか市"/>
    <x v="17"/>
    <x v="8"/>
    <n v="202"/>
    <n v="6.99"/>
    <n v="77"/>
    <n v="4.79"/>
    <n v="124"/>
    <n v="9.73"/>
    <x v="1"/>
  </r>
  <r>
    <x v="0"/>
    <s v="ひたちなか市"/>
    <x v="17"/>
    <x v="9"/>
    <n v="110"/>
    <n v="3.81"/>
    <n v="59"/>
    <n v="3.67"/>
    <n v="51"/>
    <n v="4"/>
    <x v="0"/>
  </r>
  <r>
    <x v="0"/>
    <s v="ひたちなか市"/>
    <x v="17"/>
    <x v="10"/>
    <n v="393"/>
    <n v="13.61"/>
    <n v="323"/>
    <n v="20.07"/>
    <n v="70"/>
    <n v="5.49"/>
    <x v="0"/>
  </r>
  <r>
    <x v="0"/>
    <s v="ひたちなか市"/>
    <x v="17"/>
    <x v="11"/>
    <n v="445"/>
    <n v="15.41"/>
    <n v="364"/>
    <n v="22.62"/>
    <n v="81"/>
    <n v="6.36"/>
    <x v="0"/>
  </r>
  <r>
    <x v="0"/>
    <s v="ひたちなか市"/>
    <x v="17"/>
    <x v="12"/>
    <n v="135"/>
    <n v="4.67"/>
    <n v="108"/>
    <n v="6.71"/>
    <n v="27"/>
    <n v="2.12"/>
    <x v="0"/>
  </r>
  <r>
    <x v="0"/>
    <s v="ひたちなか市"/>
    <x v="17"/>
    <x v="13"/>
    <n v="126"/>
    <n v="4.3600000000000003"/>
    <n v="91"/>
    <n v="5.66"/>
    <n v="33"/>
    <n v="2.59"/>
    <x v="1"/>
  </r>
  <r>
    <x v="0"/>
    <s v="ひたちなか市"/>
    <x v="17"/>
    <x v="14"/>
    <n v="95"/>
    <n v="3.29"/>
    <n v="43"/>
    <n v="2.67"/>
    <n v="51"/>
    <n v="4"/>
    <x v="1"/>
  </r>
  <r>
    <x v="0"/>
    <s v="鹿嶋市"/>
    <x v="18"/>
    <x v="0"/>
    <n v="3"/>
    <n v="0.24"/>
    <n v="0"/>
    <n v="0"/>
    <n v="3"/>
    <n v="0.48"/>
    <x v="0"/>
  </r>
  <r>
    <x v="0"/>
    <s v="鹿嶋市"/>
    <x v="18"/>
    <x v="1"/>
    <n v="270"/>
    <n v="21.29"/>
    <n v="84"/>
    <n v="13.29"/>
    <n v="186"/>
    <n v="29.57"/>
    <x v="0"/>
  </r>
  <r>
    <x v="0"/>
    <s v="鹿嶋市"/>
    <x v="18"/>
    <x v="2"/>
    <n v="66"/>
    <n v="5.21"/>
    <n v="23"/>
    <n v="3.64"/>
    <n v="43"/>
    <n v="6.84"/>
    <x v="0"/>
  </r>
  <r>
    <x v="0"/>
    <s v="鹿嶋市"/>
    <x v="18"/>
    <x v="3"/>
    <n v="14"/>
    <n v="1.1000000000000001"/>
    <n v="0"/>
    <n v="0"/>
    <n v="13"/>
    <n v="2.0699999999999998"/>
    <x v="0"/>
  </r>
  <r>
    <x v="0"/>
    <s v="鹿嶋市"/>
    <x v="18"/>
    <x v="4"/>
    <n v="10"/>
    <n v="0.79"/>
    <n v="0"/>
    <n v="0"/>
    <n v="10"/>
    <n v="1.59"/>
    <x v="0"/>
  </r>
  <r>
    <x v="0"/>
    <s v="鹿嶋市"/>
    <x v="18"/>
    <x v="5"/>
    <n v="12"/>
    <n v="0.95"/>
    <n v="1"/>
    <n v="0.16"/>
    <n v="10"/>
    <n v="1.59"/>
    <x v="1"/>
  </r>
  <r>
    <x v="0"/>
    <s v="鹿嶋市"/>
    <x v="18"/>
    <x v="6"/>
    <n v="269"/>
    <n v="21.21"/>
    <n v="119"/>
    <n v="18.829999999999998"/>
    <n v="150"/>
    <n v="23.85"/>
    <x v="0"/>
  </r>
  <r>
    <x v="0"/>
    <s v="鹿嶋市"/>
    <x v="18"/>
    <x v="7"/>
    <n v="5"/>
    <n v="0.39"/>
    <n v="0"/>
    <n v="0"/>
    <n v="5"/>
    <n v="0.79"/>
    <x v="0"/>
  </r>
  <r>
    <x v="0"/>
    <s v="鹿嶋市"/>
    <x v="18"/>
    <x v="8"/>
    <n v="103"/>
    <n v="8.1199999999999992"/>
    <n v="42"/>
    <n v="6.65"/>
    <n v="60"/>
    <n v="9.5399999999999991"/>
    <x v="0"/>
  </r>
  <r>
    <x v="0"/>
    <s v="鹿嶋市"/>
    <x v="18"/>
    <x v="9"/>
    <n v="54"/>
    <n v="4.26"/>
    <n v="28"/>
    <n v="4.43"/>
    <n v="24"/>
    <n v="3.82"/>
    <x v="0"/>
  </r>
  <r>
    <x v="0"/>
    <s v="鹿嶋市"/>
    <x v="18"/>
    <x v="10"/>
    <n v="162"/>
    <n v="12.78"/>
    <n v="126"/>
    <n v="19.940000000000001"/>
    <n v="36"/>
    <n v="5.72"/>
    <x v="0"/>
  </r>
  <r>
    <x v="0"/>
    <s v="鹿嶋市"/>
    <x v="18"/>
    <x v="11"/>
    <n v="170"/>
    <n v="13.41"/>
    <n v="136"/>
    <n v="21.52"/>
    <n v="33"/>
    <n v="5.25"/>
    <x v="0"/>
  </r>
  <r>
    <x v="0"/>
    <s v="鹿嶋市"/>
    <x v="18"/>
    <x v="12"/>
    <n v="23"/>
    <n v="1.81"/>
    <n v="13"/>
    <n v="2.06"/>
    <n v="10"/>
    <n v="1.59"/>
    <x v="0"/>
  </r>
  <r>
    <x v="0"/>
    <s v="鹿嶋市"/>
    <x v="18"/>
    <x v="13"/>
    <n v="55"/>
    <n v="4.34"/>
    <n v="32"/>
    <n v="5.0599999999999996"/>
    <n v="23"/>
    <n v="3.66"/>
    <x v="0"/>
  </r>
  <r>
    <x v="0"/>
    <s v="鹿嶋市"/>
    <x v="18"/>
    <x v="14"/>
    <n v="52"/>
    <n v="4.0999999999999996"/>
    <n v="28"/>
    <n v="4.43"/>
    <n v="23"/>
    <n v="3.66"/>
    <x v="0"/>
  </r>
  <r>
    <x v="0"/>
    <s v="潮来市"/>
    <x v="19"/>
    <x v="0"/>
    <n v="2"/>
    <n v="0.27"/>
    <n v="2"/>
    <n v="0.4"/>
    <n v="0"/>
    <n v="0"/>
    <x v="0"/>
  </r>
  <r>
    <x v="0"/>
    <s v="潮来市"/>
    <x v="19"/>
    <x v="1"/>
    <n v="136"/>
    <n v="18.48"/>
    <n v="69"/>
    <n v="13.64"/>
    <n v="67"/>
    <n v="29.52"/>
    <x v="0"/>
  </r>
  <r>
    <x v="0"/>
    <s v="潮来市"/>
    <x v="19"/>
    <x v="2"/>
    <n v="50"/>
    <n v="6.79"/>
    <n v="22"/>
    <n v="4.3499999999999996"/>
    <n v="28"/>
    <n v="12.33"/>
    <x v="0"/>
  </r>
  <r>
    <x v="0"/>
    <s v="潮来市"/>
    <x v="19"/>
    <x v="3"/>
    <n v="3"/>
    <n v="0.41"/>
    <n v="0"/>
    <n v="0"/>
    <n v="3"/>
    <n v="1.32"/>
    <x v="0"/>
  </r>
  <r>
    <x v="0"/>
    <s v="潮来市"/>
    <x v="19"/>
    <x v="4"/>
    <n v="0"/>
    <n v="0"/>
    <n v="0"/>
    <n v="0"/>
    <n v="0"/>
    <n v="0"/>
    <x v="0"/>
  </r>
  <r>
    <x v="0"/>
    <s v="潮来市"/>
    <x v="19"/>
    <x v="5"/>
    <n v="6"/>
    <n v="0.82"/>
    <n v="0"/>
    <n v="0"/>
    <n v="5"/>
    <n v="2.2000000000000002"/>
    <x v="1"/>
  </r>
  <r>
    <x v="0"/>
    <s v="潮来市"/>
    <x v="19"/>
    <x v="6"/>
    <n v="178"/>
    <n v="24.18"/>
    <n v="123"/>
    <n v="24.31"/>
    <n v="55"/>
    <n v="24.23"/>
    <x v="0"/>
  </r>
  <r>
    <x v="0"/>
    <s v="潮来市"/>
    <x v="19"/>
    <x v="7"/>
    <n v="8"/>
    <n v="1.0900000000000001"/>
    <n v="1"/>
    <n v="0.2"/>
    <n v="7"/>
    <n v="3.08"/>
    <x v="0"/>
  </r>
  <r>
    <x v="0"/>
    <s v="潮来市"/>
    <x v="19"/>
    <x v="8"/>
    <n v="45"/>
    <n v="6.11"/>
    <n v="28"/>
    <n v="5.53"/>
    <n v="17"/>
    <n v="7.49"/>
    <x v="0"/>
  </r>
  <r>
    <x v="0"/>
    <s v="潮来市"/>
    <x v="19"/>
    <x v="9"/>
    <n v="28"/>
    <n v="3.8"/>
    <n v="13"/>
    <n v="2.57"/>
    <n v="15"/>
    <n v="6.61"/>
    <x v="0"/>
  </r>
  <r>
    <x v="0"/>
    <s v="潮来市"/>
    <x v="19"/>
    <x v="10"/>
    <n v="109"/>
    <n v="14.81"/>
    <n v="103"/>
    <n v="20.36"/>
    <n v="5"/>
    <n v="2.2000000000000002"/>
    <x v="0"/>
  </r>
  <r>
    <x v="0"/>
    <s v="潮来市"/>
    <x v="19"/>
    <x v="11"/>
    <n v="94"/>
    <n v="12.77"/>
    <n v="84"/>
    <n v="16.600000000000001"/>
    <n v="10"/>
    <n v="4.41"/>
    <x v="0"/>
  </r>
  <r>
    <x v="0"/>
    <s v="潮来市"/>
    <x v="19"/>
    <x v="12"/>
    <n v="16"/>
    <n v="2.17"/>
    <n v="12"/>
    <n v="2.37"/>
    <n v="4"/>
    <n v="1.76"/>
    <x v="0"/>
  </r>
  <r>
    <x v="0"/>
    <s v="潮来市"/>
    <x v="19"/>
    <x v="13"/>
    <n v="25"/>
    <n v="3.4"/>
    <n v="22"/>
    <n v="4.3499999999999996"/>
    <n v="3"/>
    <n v="1.32"/>
    <x v="0"/>
  </r>
  <r>
    <x v="0"/>
    <s v="潮来市"/>
    <x v="19"/>
    <x v="14"/>
    <n v="36"/>
    <n v="4.8899999999999997"/>
    <n v="27"/>
    <n v="5.34"/>
    <n v="8"/>
    <n v="3.52"/>
    <x v="0"/>
  </r>
  <r>
    <x v="0"/>
    <s v="守谷市"/>
    <x v="20"/>
    <x v="0"/>
    <n v="0"/>
    <n v="0"/>
    <n v="0"/>
    <n v="0"/>
    <n v="0"/>
    <n v="0"/>
    <x v="0"/>
  </r>
  <r>
    <x v="0"/>
    <s v="守谷市"/>
    <x v="20"/>
    <x v="1"/>
    <n v="173"/>
    <n v="14.23"/>
    <n v="48"/>
    <n v="8"/>
    <n v="125"/>
    <n v="20.39"/>
    <x v="0"/>
  </r>
  <r>
    <x v="0"/>
    <s v="守谷市"/>
    <x v="20"/>
    <x v="2"/>
    <n v="64"/>
    <n v="5.26"/>
    <n v="17"/>
    <n v="2.83"/>
    <n v="47"/>
    <n v="7.67"/>
    <x v="0"/>
  </r>
  <r>
    <x v="0"/>
    <s v="守谷市"/>
    <x v="20"/>
    <x v="3"/>
    <n v="4"/>
    <n v="0.33"/>
    <n v="0"/>
    <n v="0"/>
    <n v="4"/>
    <n v="0.65"/>
    <x v="0"/>
  </r>
  <r>
    <x v="0"/>
    <s v="守谷市"/>
    <x v="20"/>
    <x v="4"/>
    <n v="15"/>
    <n v="1.23"/>
    <n v="1"/>
    <n v="0.17"/>
    <n v="14"/>
    <n v="2.2799999999999998"/>
    <x v="0"/>
  </r>
  <r>
    <x v="0"/>
    <s v="守谷市"/>
    <x v="20"/>
    <x v="5"/>
    <n v="8"/>
    <n v="0.66"/>
    <n v="3"/>
    <n v="0.5"/>
    <n v="5"/>
    <n v="0.82"/>
    <x v="0"/>
  </r>
  <r>
    <x v="0"/>
    <s v="守谷市"/>
    <x v="20"/>
    <x v="6"/>
    <n v="220"/>
    <n v="18.09"/>
    <n v="96"/>
    <n v="16"/>
    <n v="124"/>
    <n v="20.23"/>
    <x v="0"/>
  </r>
  <r>
    <x v="0"/>
    <s v="守谷市"/>
    <x v="20"/>
    <x v="7"/>
    <n v="7"/>
    <n v="0.57999999999999996"/>
    <n v="0"/>
    <n v="0"/>
    <n v="7"/>
    <n v="1.1399999999999999"/>
    <x v="0"/>
  </r>
  <r>
    <x v="0"/>
    <s v="守谷市"/>
    <x v="20"/>
    <x v="8"/>
    <n v="117"/>
    <n v="9.6199999999999992"/>
    <n v="17"/>
    <n v="2.83"/>
    <n v="100"/>
    <n v="16.309999999999999"/>
    <x v="0"/>
  </r>
  <r>
    <x v="0"/>
    <s v="守谷市"/>
    <x v="20"/>
    <x v="9"/>
    <n v="105"/>
    <n v="8.6300000000000008"/>
    <n v="60"/>
    <n v="10"/>
    <n v="44"/>
    <n v="7.18"/>
    <x v="0"/>
  </r>
  <r>
    <x v="0"/>
    <s v="守谷市"/>
    <x v="20"/>
    <x v="10"/>
    <n v="95"/>
    <n v="7.81"/>
    <n v="67"/>
    <n v="11.17"/>
    <n v="28"/>
    <n v="4.57"/>
    <x v="0"/>
  </r>
  <r>
    <x v="0"/>
    <s v="守谷市"/>
    <x v="20"/>
    <x v="11"/>
    <n v="177"/>
    <n v="14.56"/>
    <n v="129"/>
    <n v="21.5"/>
    <n v="48"/>
    <n v="7.83"/>
    <x v="0"/>
  </r>
  <r>
    <x v="0"/>
    <s v="守谷市"/>
    <x v="20"/>
    <x v="12"/>
    <n v="116"/>
    <n v="9.5399999999999991"/>
    <n v="85"/>
    <n v="14.17"/>
    <n v="30"/>
    <n v="4.8899999999999997"/>
    <x v="1"/>
  </r>
  <r>
    <x v="0"/>
    <s v="守谷市"/>
    <x v="20"/>
    <x v="13"/>
    <n v="71"/>
    <n v="5.84"/>
    <n v="56"/>
    <n v="9.33"/>
    <n v="15"/>
    <n v="2.4500000000000002"/>
    <x v="0"/>
  </r>
  <r>
    <x v="0"/>
    <s v="守谷市"/>
    <x v="20"/>
    <x v="14"/>
    <n v="44"/>
    <n v="3.62"/>
    <n v="21"/>
    <n v="3.5"/>
    <n v="22"/>
    <n v="3.59"/>
    <x v="0"/>
  </r>
  <r>
    <x v="0"/>
    <s v="常陸大宮市"/>
    <x v="21"/>
    <x v="0"/>
    <n v="3"/>
    <n v="0.31"/>
    <n v="0"/>
    <n v="0"/>
    <n v="3"/>
    <n v="0.93"/>
    <x v="0"/>
  </r>
  <r>
    <x v="0"/>
    <s v="常陸大宮市"/>
    <x v="21"/>
    <x v="1"/>
    <n v="213"/>
    <n v="22.05"/>
    <n v="125"/>
    <n v="19.649999999999999"/>
    <n v="88"/>
    <n v="27.41"/>
    <x v="0"/>
  </r>
  <r>
    <x v="0"/>
    <s v="常陸大宮市"/>
    <x v="21"/>
    <x v="2"/>
    <n v="111"/>
    <n v="11.49"/>
    <n v="58"/>
    <n v="9.1199999999999992"/>
    <n v="53"/>
    <n v="16.510000000000002"/>
    <x v="0"/>
  </r>
  <r>
    <x v="0"/>
    <s v="常陸大宮市"/>
    <x v="21"/>
    <x v="3"/>
    <n v="1"/>
    <n v="0.1"/>
    <n v="0"/>
    <n v="0"/>
    <n v="1"/>
    <n v="0.31"/>
    <x v="0"/>
  </r>
  <r>
    <x v="0"/>
    <s v="常陸大宮市"/>
    <x v="21"/>
    <x v="4"/>
    <n v="6"/>
    <n v="0.62"/>
    <n v="0"/>
    <n v="0"/>
    <n v="6"/>
    <n v="1.87"/>
    <x v="0"/>
  </r>
  <r>
    <x v="0"/>
    <s v="常陸大宮市"/>
    <x v="21"/>
    <x v="5"/>
    <n v="6"/>
    <n v="0.62"/>
    <n v="3"/>
    <n v="0.47"/>
    <n v="3"/>
    <n v="0.93"/>
    <x v="0"/>
  </r>
  <r>
    <x v="0"/>
    <s v="常陸大宮市"/>
    <x v="21"/>
    <x v="6"/>
    <n v="242"/>
    <n v="25.05"/>
    <n v="163"/>
    <n v="25.63"/>
    <n v="78"/>
    <n v="24.3"/>
    <x v="1"/>
  </r>
  <r>
    <x v="0"/>
    <s v="常陸大宮市"/>
    <x v="21"/>
    <x v="7"/>
    <n v="3"/>
    <n v="0.31"/>
    <n v="1"/>
    <n v="0.16"/>
    <n v="2"/>
    <n v="0.62"/>
    <x v="0"/>
  </r>
  <r>
    <x v="0"/>
    <s v="常陸大宮市"/>
    <x v="21"/>
    <x v="8"/>
    <n v="43"/>
    <n v="4.45"/>
    <n v="26"/>
    <n v="4.09"/>
    <n v="17"/>
    <n v="5.3"/>
    <x v="0"/>
  </r>
  <r>
    <x v="0"/>
    <s v="常陸大宮市"/>
    <x v="21"/>
    <x v="9"/>
    <n v="30"/>
    <n v="3.11"/>
    <n v="17"/>
    <n v="2.67"/>
    <n v="12"/>
    <n v="3.74"/>
    <x v="0"/>
  </r>
  <r>
    <x v="0"/>
    <s v="常陸大宮市"/>
    <x v="21"/>
    <x v="10"/>
    <n v="80"/>
    <n v="8.2799999999999994"/>
    <n v="67"/>
    <n v="10.53"/>
    <n v="12"/>
    <n v="3.74"/>
    <x v="0"/>
  </r>
  <r>
    <x v="0"/>
    <s v="常陸大宮市"/>
    <x v="21"/>
    <x v="11"/>
    <n v="129"/>
    <n v="13.35"/>
    <n v="113"/>
    <n v="17.77"/>
    <n v="16"/>
    <n v="4.9800000000000004"/>
    <x v="0"/>
  </r>
  <r>
    <x v="0"/>
    <s v="常陸大宮市"/>
    <x v="21"/>
    <x v="12"/>
    <n v="20"/>
    <n v="2.0699999999999998"/>
    <n v="10"/>
    <n v="1.57"/>
    <n v="7"/>
    <n v="2.1800000000000002"/>
    <x v="0"/>
  </r>
  <r>
    <x v="0"/>
    <s v="常陸大宮市"/>
    <x v="21"/>
    <x v="13"/>
    <n v="37"/>
    <n v="3.83"/>
    <n v="24"/>
    <n v="3.77"/>
    <n v="11"/>
    <n v="3.43"/>
    <x v="0"/>
  </r>
  <r>
    <x v="0"/>
    <s v="常陸大宮市"/>
    <x v="21"/>
    <x v="14"/>
    <n v="42"/>
    <n v="4.3499999999999996"/>
    <n v="29"/>
    <n v="4.5599999999999996"/>
    <n v="12"/>
    <n v="3.74"/>
    <x v="0"/>
  </r>
  <r>
    <x v="0"/>
    <s v="那珂市"/>
    <x v="22"/>
    <x v="0"/>
    <n v="0"/>
    <n v="0"/>
    <n v="0"/>
    <n v="0"/>
    <n v="0"/>
    <n v="0"/>
    <x v="0"/>
  </r>
  <r>
    <x v="0"/>
    <s v="那珂市"/>
    <x v="22"/>
    <x v="1"/>
    <n v="225"/>
    <n v="20.76"/>
    <n v="96"/>
    <n v="14.48"/>
    <n v="129"/>
    <n v="31.39"/>
    <x v="0"/>
  </r>
  <r>
    <x v="0"/>
    <s v="那珂市"/>
    <x v="22"/>
    <x v="2"/>
    <n v="93"/>
    <n v="8.58"/>
    <n v="53"/>
    <n v="7.99"/>
    <n v="40"/>
    <n v="9.73"/>
    <x v="0"/>
  </r>
  <r>
    <x v="0"/>
    <s v="那珂市"/>
    <x v="22"/>
    <x v="3"/>
    <n v="3"/>
    <n v="0.28000000000000003"/>
    <n v="0"/>
    <n v="0"/>
    <n v="2"/>
    <n v="0.49"/>
    <x v="0"/>
  </r>
  <r>
    <x v="0"/>
    <s v="那珂市"/>
    <x v="22"/>
    <x v="4"/>
    <n v="9"/>
    <n v="0.83"/>
    <n v="1"/>
    <n v="0.15"/>
    <n v="8"/>
    <n v="1.95"/>
    <x v="0"/>
  </r>
  <r>
    <x v="0"/>
    <s v="那珂市"/>
    <x v="22"/>
    <x v="5"/>
    <n v="11"/>
    <n v="1.01"/>
    <n v="3"/>
    <n v="0.45"/>
    <n v="8"/>
    <n v="1.95"/>
    <x v="0"/>
  </r>
  <r>
    <x v="0"/>
    <s v="那珂市"/>
    <x v="22"/>
    <x v="6"/>
    <n v="248"/>
    <n v="22.88"/>
    <n v="144"/>
    <n v="21.72"/>
    <n v="104"/>
    <n v="25.3"/>
    <x v="0"/>
  </r>
  <r>
    <x v="0"/>
    <s v="那珂市"/>
    <x v="22"/>
    <x v="7"/>
    <n v="4"/>
    <n v="0.37"/>
    <n v="1"/>
    <n v="0.15"/>
    <n v="3"/>
    <n v="0.73"/>
    <x v="0"/>
  </r>
  <r>
    <x v="0"/>
    <s v="那珂市"/>
    <x v="22"/>
    <x v="8"/>
    <n v="56"/>
    <n v="5.17"/>
    <n v="34"/>
    <n v="5.13"/>
    <n v="22"/>
    <n v="5.35"/>
    <x v="0"/>
  </r>
  <r>
    <x v="0"/>
    <s v="那珂市"/>
    <x v="22"/>
    <x v="9"/>
    <n v="42"/>
    <n v="3.87"/>
    <n v="24"/>
    <n v="3.62"/>
    <n v="18"/>
    <n v="4.38"/>
    <x v="0"/>
  </r>
  <r>
    <x v="0"/>
    <s v="那珂市"/>
    <x v="22"/>
    <x v="10"/>
    <n v="101"/>
    <n v="9.32"/>
    <n v="89"/>
    <n v="13.42"/>
    <n v="12"/>
    <n v="2.92"/>
    <x v="0"/>
  </r>
  <r>
    <x v="0"/>
    <s v="那珂市"/>
    <x v="22"/>
    <x v="11"/>
    <n v="147"/>
    <n v="13.56"/>
    <n v="122"/>
    <n v="18.399999999999999"/>
    <n v="24"/>
    <n v="5.84"/>
    <x v="0"/>
  </r>
  <r>
    <x v="0"/>
    <s v="那珂市"/>
    <x v="22"/>
    <x v="12"/>
    <n v="24"/>
    <n v="2.21"/>
    <n v="17"/>
    <n v="2.56"/>
    <n v="6"/>
    <n v="1.46"/>
    <x v="1"/>
  </r>
  <r>
    <x v="0"/>
    <s v="那珂市"/>
    <x v="22"/>
    <x v="13"/>
    <n v="61"/>
    <n v="5.63"/>
    <n v="42"/>
    <n v="6.33"/>
    <n v="17"/>
    <n v="4.1399999999999997"/>
    <x v="0"/>
  </r>
  <r>
    <x v="0"/>
    <s v="那珂市"/>
    <x v="22"/>
    <x v="14"/>
    <n v="60"/>
    <n v="5.54"/>
    <n v="37"/>
    <n v="5.58"/>
    <n v="18"/>
    <n v="4.38"/>
    <x v="1"/>
  </r>
  <r>
    <x v="0"/>
    <s v="筑西市"/>
    <x v="23"/>
    <x v="0"/>
    <n v="2"/>
    <n v="7.0000000000000007E-2"/>
    <n v="0"/>
    <n v="0"/>
    <n v="2"/>
    <n v="0.18"/>
    <x v="0"/>
  </r>
  <r>
    <x v="0"/>
    <s v="筑西市"/>
    <x v="23"/>
    <x v="1"/>
    <n v="507"/>
    <n v="18.61"/>
    <n v="202"/>
    <n v="12.76"/>
    <n v="305"/>
    <n v="27.28"/>
    <x v="0"/>
  </r>
  <r>
    <x v="0"/>
    <s v="筑西市"/>
    <x v="23"/>
    <x v="2"/>
    <n v="358"/>
    <n v="13.14"/>
    <n v="154"/>
    <n v="9.73"/>
    <n v="204"/>
    <n v="18.25"/>
    <x v="0"/>
  </r>
  <r>
    <x v="0"/>
    <s v="筑西市"/>
    <x v="23"/>
    <x v="3"/>
    <n v="13"/>
    <n v="0.48"/>
    <n v="0"/>
    <n v="0"/>
    <n v="13"/>
    <n v="1.1599999999999999"/>
    <x v="0"/>
  </r>
  <r>
    <x v="0"/>
    <s v="筑西市"/>
    <x v="23"/>
    <x v="4"/>
    <n v="15"/>
    <n v="0.55000000000000004"/>
    <n v="3"/>
    <n v="0.19"/>
    <n v="12"/>
    <n v="1.07"/>
    <x v="0"/>
  </r>
  <r>
    <x v="0"/>
    <s v="筑西市"/>
    <x v="23"/>
    <x v="5"/>
    <n v="24"/>
    <n v="0.88"/>
    <n v="1"/>
    <n v="0.06"/>
    <n v="23"/>
    <n v="2.06"/>
    <x v="0"/>
  </r>
  <r>
    <x v="0"/>
    <s v="筑西市"/>
    <x v="23"/>
    <x v="6"/>
    <n v="657"/>
    <n v="24.11"/>
    <n v="363"/>
    <n v="22.93"/>
    <n v="294"/>
    <n v="26.3"/>
    <x v="0"/>
  </r>
  <r>
    <x v="0"/>
    <s v="筑西市"/>
    <x v="23"/>
    <x v="7"/>
    <n v="23"/>
    <n v="0.84"/>
    <n v="7"/>
    <n v="0.44"/>
    <n v="16"/>
    <n v="1.43"/>
    <x v="0"/>
  </r>
  <r>
    <x v="0"/>
    <s v="筑西市"/>
    <x v="23"/>
    <x v="8"/>
    <n v="158"/>
    <n v="5.8"/>
    <n v="96"/>
    <n v="6.06"/>
    <n v="62"/>
    <n v="5.55"/>
    <x v="0"/>
  </r>
  <r>
    <x v="0"/>
    <s v="筑西市"/>
    <x v="23"/>
    <x v="9"/>
    <n v="90"/>
    <n v="3.3"/>
    <n v="60"/>
    <n v="3.79"/>
    <n v="28"/>
    <n v="2.5"/>
    <x v="0"/>
  </r>
  <r>
    <x v="0"/>
    <s v="筑西市"/>
    <x v="23"/>
    <x v="10"/>
    <n v="247"/>
    <n v="9.06"/>
    <n v="202"/>
    <n v="12.76"/>
    <n v="44"/>
    <n v="3.94"/>
    <x v="0"/>
  </r>
  <r>
    <x v="0"/>
    <s v="筑西市"/>
    <x v="23"/>
    <x v="11"/>
    <n v="340"/>
    <n v="12.48"/>
    <n v="296"/>
    <n v="18.7"/>
    <n v="41"/>
    <n v="3.67"/>
    <x v="0"/>
  </r>
  <r>
    <x v="0"/>
    <s v="筑西市"/>
    <x v="23"/>
    <x v="12"/>
    <n v="76"/>
    <n v="2.79"/>
    <n v="50"/>
    <n v="3.16"/>
    <n v="11"/>
    <n v="0.98"/>
    <x v="0"/>
  </r>
  <r>
    <x v="0"/>
    <s v="筑西市"/>
    <x v="23"/>
    <x v="13"/>
    <n v="93"/>
    <n v="3.41"/>
    <n v="72"/>
    <n v="4.55"/>
    <n v="20"/>
    <n v="1.79"/>
    <x v="0"/>
  </r>
  <r>
    <x v="0"/>
    <s v="筑西市"/>
    <x v="23"/>
    <x v="14"/>
    <n v="122"/>
    <n v="4.4800000000000004"/>
    <n v="77"/>
    <n v="4.8600000000000003"/>
    <n v="43"/>
    <n v="3.85"/>
    <x v="1"/>
  </r>
  <r>
    <x v="0"/>
    <s v="坂東市"/>
    <x v="24"/>
    <x v="0"/>
    <n v="0"/>
    <n v="0"/>
    <n v="0"/>
    <n v="0"/>
    <n v="0"/>
    <n v="0"/>
    <x v="0"/>
  </r>
  <r>
    <x v="0"/>
    <s v="坂東市"/>
    <x v="24"/>
    <x v="1"/>
    <n v="417"/>
    <n v="25.77"/>
    <n v="209"/>
    <n v="22.42"/>
    <n v="208"/>
    <n v="30.86"/>
    <x v="0"/>
  </r>
  <r>
    <x v="0"/>
    <s v="坂東市"/>
    <x v="24"/>
    <x v="2"/>
    <n v="249"/>
    <n v="15.39"/>
    <n v="101"/>
    <n v="10.84"/>
    <n v="148"/>
    <n v="21.96"/>
    <x v="0"/>
  </r>
  <r>
    <x v="0"/>
    <s v="坂東市"/>
    <x v="24"/>
    <x v="3"/>
    <n v="2"/>
    <n v="0.12"/>
    <n v="0"/>
    <n v="0"/>
    <n v="2"/>
    <n v="0.3"/>
    <x v="0"/>
  </r>
  <r>
    <x v="0"/>
    <s v="坂東市"/>
    <x v="24"/>
    <x v="4"/>
    <n v="2"/>
    <n v="0.12"/>
    <n v="0"/>
    <n v="0"/>
    <n v="2"/>
    <n v="0.3"/>
    <x v="0"/>
  </r>
  <r>
    <x v="0"/>
    <s v="坂東市"/>
    <x v="24"/>
    <x v="5"/>
    <n v="24"/>
    <n v="1.48"/>
    <n v="3"/>
    <n v="0.32"/>
    <n v="21"/>
    <n v="3.12"/>
    <x v="0"/>
  </r>
  <r>
    <x v="0"/>
    <s v="坂東市"/>
    <x v="24"/>
    <x v="6"/>
    <n v="333"/>
    <n v="20.58"/>
    <n v="176"/>
    <n v="18.88"/>
    <n v="156"/>
    <n v="23.15"/>
    <x v="1"/>
  </r>
  <r>
    <x v="0"/>
    <s v="坂東市"/>
    <x v="24"/>
    <x v="7"/>
    <n v="9"/>
    <n v="0.56000000000000005"/>
    <n v="0"/>
    <n v="0"/>
    <n v="9"/>
    <n v="1.34"/>
    <x v="0"/>
  </r>
  <r>
    <x v="0"/>
    <s v="坂東市"/>
    <x v="24"/>
    <x v="8"/>
    <n v="83"/>
    <n v="5.13"/>
    <n v="45"/>
    <n v="4.83"/>
    <n v="38"/>
    <n v="5.64"/>
    <x v="0"/>
  </r>
  <r>
    <x v="0"/>
    <s v="坂東市"/>
    <x v="24"/>
    <x v="9"/>
    <n v="46"/>
    <n v="2.84"/>
    <n v="35"/>
    <n v="3.76"/>
    <n v="11"/>
    <n v="1.63"/>
    <x v="0"/>
  </r>
  <r>
    <x v="0"/>
    <s v="坂東市"/>
    <x v="24"/>
    <x v="10"/>
    <n v="122"/>
    <n v="7.54"/>
    <n v="105"/>
    <n v="11.27"/>
    <n v="17"/>
    <n v="2.52"/>
    <x v="0"/>
  </r>
  <r>
    <x v="0"/>
    <s v="坂東市"/>
    <x v="24"/>
    <x v="11"/>
    <n v="172"/>
    <n v="10.63"/>
    <n v="148"/>
    <n v="15.88"/>
    <n v="23"/>
    <n v="3.41"/>
    <x v="0"/>
  </r>
  <r>
    <x v="0"/>
    <s v="坂東市"/>
    <x v="24"/>
    <x v="12"/>
    <n v="25"/>
    <n v="1.55"/>
    <n v="20"/>
    <n v="2.15"/>
    <n v="2"/>
    <n v="0.3"/>
    <x v="0"/>
  </r>
  <r>
    <x v="0"/>
    <s v="坂東市"/>
    <x v="24"/>
    <x v="13"/>
    <n v="60"/>
    <n v="3.71"/>
    <n v="40"/>
    <n v="4.29"/>
    <n v="14"/>
    <n v="2.08"/>
    <x v="0"/>
  </r>
  <r>
    <x v="0"/>
    <s v="坂東市"/>
    <x v="24"/>
    <x v="14"/>
    <n v="74"/>
    <n v="4.57"/>
    <n v="50"/>
    <n v="5.36"/>
    <n v="23"/>
    <n v="3.41"/>
    <x v="1"/>
  </r>
  <r>
    <x v="0"/>
    <s v="稲敷市"/>
    <x v="25"/>
    <x v="0"/>
    <n v="0"/>
    <n v="0"/>
    <n v="0"/>
    <n v="0"/>
    <n v="0"/>
    <n v="0"/>
    <x v="0"/>
  </r>
  <r>
    <x v="0"/>
    <s v="稲敷市"/>
    <x v="25"/>
    <x v="1"/>
    <n v="210"/>
    <n v="22.06"/>
    <n v="110"/>
    <n v="19.89"/>
    <n v="100"/>
    <n v="25.25"/>
    <x v="0"/>
  </r>
  <r>
    <x v="0"/>
    <s v="稲敷市"/>
    <x v="25"/>
    <x v="2"/>
    <n v="107"/>
    <n v="11.24"/>
    <n v="30"/>
    <n v="5.42"/>
    <n v="77"/>
    <n v="19.440000000000001"/>
    <x v="0"/>
  </r>
  <r>
    <x v="0"/>
    <s v="稲敷市"/>
    <x v="25"/>
    <x v="3"/>
    <n v="2"/>
    <n v="0.21"/>
    <n v="0"/>
    <n v="0"/>
    <n v="2"/>
    <n v="0.51"/>
    <x v="0"/>
  </r>
  <r>
    <x v="0"/>
    <s v="稲敷市"/>
    <x v="25"/>
    <x v="4"/>
    <n v="0"/>
    <n v="0"/>
    <n v="0"/>
    <n v="0"/>
    <n v="0"/>
    <n v="0"/>
    <x v="0"/>
  </r>
  <r>
    <x v="0"/>
    <s v="稲敷市"/>
    <x v="25"/>
    <x v="5"/>
    <n v="9"/>
    <n v="0.95"/>
    <n v="2"/>
    <n v="0.36"/>
    <n v="7"/>
    <n v="1.77"/>
    <x v="0"/>
  </r>
  <r>
    <x v="0"/>
    <s v="稲敷市"/>
    <x v="25"/>
    <x v="6"/>
    <n v="257"/>
    <n v="27"/>
    <n v="149"/>
    <n v="26.94"/>
    <n v="108"/>
    <n v="27.27"/>
    <x v="0"/>
  </r>
  <r>
    <x v="0"/>
    <s v="稲敷市"/>
    <x v="25"/>
    <x v="7"/>
    <n v="1"/>
    <n v="0.11"/>
    <n v="0"/>
    <n v="0"/>
    <n v="1"/>
    <n v="0.25"/>
    <x v="0"/>
  </r>
  <r>
    <x v="0"/>
    <s v="稲敷市"/>
    <x v="25"/>
    <x v="8"/>
    <n v="36"/>
    <n v="3.78"/>
    <n v="20"/>
    <n v="3.62"/>
    <n v="16"/>
    <n v="4.04"/>
    <x v="0"/>
  </r>
  <r>
    <x v="0"/>
    <s v="稲敷市"/>
    <x v="25"/>
    <x v="9"/>
    <n v="26"/>
    <n v="2.73"/>
    <n v="16"/>
    <n v="2.89"/>
    <n v="10"/>
    <n v="2.5299999999999998"/>
    <x v="0"/>
  </r>
  <r>
    <x v="0"/>
    <s v="稲敷市"/>
    <x v="25"/>
    <x v="10"/>
    <n v="63"/>
    <n v="6.62"/>
    <n v="51"/>
    <n v="9.2200000000000006"/>
    <n v="10"/>
    <n v="2.5299999999999998"/>
    <x v="0"/>
  </r>
  <r>
    <x v="0"/>
    <s v="稲敷市"/>
    <x v="25"/>
    <x v="11"/>
    <n v="125"/>
    <n v="13.13"/>
    <n v="101"/>
    <n v="18.260000000000002"/>
    <n v="24"/>
    <n v="6.06"/>
    <x v="0"/>
  </r>
  <r>
    <x v="0"/>
    <s v="稲敷市"/>
    <x v="25"/>
    <x v="12"/>
    <n v="18"/>
    <n v="1.89"/>
    <n v="11"/>
    <n v="1.99"/>
    <n v="7"/>
    <n v="1.77"/>
    <x v="0"/>
  </r>
  <r>
    <x v="0"/>
    <s v="稲敷市"/>
    <x v="25"/>
    <x v="13"/>
    <n v="39"/>
    <n v="4.0999999999999996"/>
    <n v="26"/>
    <n v="4.7"/>
    <n v="13"/>
    <n v="3.28"/>
    <x v="0"/>
  </r>
  <r>
    <x v="0"/>
    <s v="稲敷市"/>
    <x v="25"/>
    <x v="14"/>
    <n v="59"/>
    <n v="6.2"/>
    <n v="37"/>
    <n v="6.69"/>
    <n v="21"/>
    <n v="5.3"/>
    <x v="0"/>
  </r>
  <r>
    <x v="0"/>
    <s v="かすみがうら市"/>
    <x v="26"/>
    <x v="0"/>
    <n v="0"/>
    <n v="0"/>
    <n v="0"/>
    <n v="0"/>
    <n v="0"/>
    <n v="0"/>
    <x v="0"/>
  </r>
  <r>
    <x v="0"/>
    <s v="かすみがうら市"/>
    <x v="26"/>
    <x v="1"/>
    <n v="199"/>
    <n v="23.8"/>
    <n v="83"/>
    <n v="17.850000000000001"/>
    <n v="116"/>
    <n v="31.78"/>
    <x v="0"/>
  </r>
  <r>
    <x v="0"/>
    <s v="かすみがうら市"/>
    <x v="26"/>
    <x v="2"/>
    <n v="69"/>
    <n v="8.25"/>
    <n v="27"/>
    <n v="5.81"/>
    <n v="42"/>
    <n v="11.51"/>
    <x v="0"/>
  </r>
  <r>
    <x v="0"/>
    <s v="かすみがうら市"/>
    <x v="26"/>
    <x v="3"/>
    <n v="3"/>
    <n v="0.36"/>
    <n v="0"/>
    <n v="0"/>
    <n v="3"/>
    <n v="0.82"/>
    <x v="0"/>
  </r>
  <r>
    <x v="0"/>
    <s v="かすみがうら市"/>
    <x v="26"/>
    <x v="4"/>
    <n v="3"/>
    <n v="0.36"/>
    <n v="1"/>
    <n v="0.22"/>
    <n v="2"/>
    <n v="0.55000000000000004"/>
    <x v="0"/>
  </r>
  <r>
    <x v="0"/>
    <s v="かすみがうら市"/>
    <x v="26"/>
    <x v="5"/>
    <n v="11"/>
    <n v="1.32"/>
    <n v="0"/>
    <n v="0"/>
    <n v="10"/>
    <n v="2.74"/>
    <x v="1"/>
  </r>
  <r>
    <x v="0"/>
    <s v="かすみがうら市"/>
    <x v="26"/>
    <x v="6"/>
    <n v="154"/>
    <n v="18.420000000000002"/>
    <n v="85"/>
    <n v="18.28"/>
    <n v="68"/>
    <n v="18.63"/>
    <x v="1"/>
  </r>
  <r>
    <x v="0"/>
    <s v="かすみがうら市"/>
    <x v="26"/>
    <x v="7"/>
    <n v="2"/>
    <n v="0.24"/>
    <n v="0"/>
    <n v="0"/>
    <n v="2"/>
    <n v="0.55000000000000004"/>
    <x v="0"/>
  </r>
  <r>
    <x v="0"/>
    <s v="かすみがうら市"/>
    <x v="26"/>
    <x v="8"/>
    <n v="108"/>
    <n v="12.92"/>
    <n v="72"/>
    <n v="15.48"/>
    <n v="36"/>
    <n v="9.86"/>
    <x v="0"/>
  </r>
  <r>
    <x v="0"/>
    <s v="かすみがうら市"/>
    <x v="26"/>
    <x v="9"/>
    <n v="22"/>
    <n v="2.63"/>
    <n v="12"/>
    <n v="2.58"/>
    <n v="10"/>
    <n v="2.74"/>
    <x v="0"/>
  </r>
  <r>
    <x v="0"/>
    <s v="かすみがうら市"/>
    <x v="26"/>
    <x v="10"/>
    <n v="57"/>
    <n v="6.82"/>
    <n v="44"/>
    <n v="9.4600000000000009"/>
    <n v="13"/>
    <n v="3.56"/>
    <x v="0"/>
  </r>
  <r>
    <x v="0"/>
    <s v="かすみがうら市"/>
    <x v="26"/>
    <x v="11"/>
    <n v="95"/>
    <n v="11.36"/>
    <n v="82"/>
    <n v="17.63"/>
    <n v="13"/>
    <n v="3.56"/>
    <x v="0"/>
  </r>
  <r>
    <x v="0"/>
    <s v="かすみがうら市"/>
    <x v="26"/>
    <x v="12"/>
    <n v="18"/>
    <n v="2.15"/>
    <n v="11"/>
    <n v="2.37"/>
    <n v="5"/>
    <n v="1.37"/>
    <x v="0"/>
  </r>
  <r>
    <x v="0"/>
    <s v="かすみがうら市"/>
    <x v="26"/>
    <x v="13"/>
    <n v="34"/>
    <n v="4.07"/>
    <n v="14"/>
    <n v="3.01"/>
    <n v="19"/>
    <n v="5.21"/>
    <x v="0"/>
  </r>
  <r>
    <x v="0"/>
    <s v="かすみがうら市"/>
    <x v="26"/>
    <x v="14"/>
    <n v="61"/>
    <n v="7.3"/>
    <n v="34"/>
    <n v="7.31"/>
    <n v="26"/>
    <n v="7.12"/>
    <x v="0"/>
  </r>
  <r>
    <x v="0"/>
    <s v="桜川市"/>
    <x v="27"/>
    <x v="0"/>
    <n v="1"/>
    <n v="0.08"/>
    <n v="1"/>
    <n v="0.13"/>
    <n v="0"/>
    <n v="0"/>
    <x v="0"/>
  </r>
  <r>
    <x v="0"/>
    <s v="桜川市"/>
    <x v="27"/>
    <x v="1"/>
    <n v="235"/>
    <n v="18.190000000000001"/>
    <n v="125"/>
    <n v="16.13"/>
    <n v="110"/>
    <n v="21.65"/>
    <x v="0"/>
  </r>
  <r>
    <x v="0"/>
    <s v="桜川市"/>
    <x v="27"/>
    <x v="2"/>
    <n v="337"/>
    <n v="26.08"/>
    <n v="162"/>
    <n v="20.9"/>
    <n v="175"/>
    <n v="34.450000000000003"/>
    <x v="0"/>
  </r>
  <r>
    <x v="0"/>
    <s v="桜川市"/>
    <x v="27"/>
    <x v="3"/>
    <n v="3"/>
    <n v="0.23"/>
    <n v="0"/>
    <n v="0"/>
    <n v="3"/>
    <n v="0.59"/>
    <x v="0"/>
  </r>
  <r>
    <x v="0"/>
    <s v="桜川市"/>
    <x v="27"/>
    <x v="4"/>
    <n v="0"/>
    <n v="0"/>
    <n v="0"/>
    <n v="0"/>
    <n v="0"/>
    <n v="0"/>
    <x v="0"/>
  </r>
  <r>
    <x v="0"/>
    <s v="桜川市"/>
    <x v="27"/>
    <x v="5"/>
    <n v="9"/>
    <n v="0.7"/>
    <n v="1"/>
    <n v="0.13"/>
    <n v="8"/>
    <n v="1.57"/>
    <x v="0"/>
  </r>
  <r>
    <x v="0"/>
    <s v="桜川市"/>
    <x v="27"/>
    <x v="6"/>
    <n v="315"/>
    <n v="24.38"/>
    <n v="186"/>
    <n v="24"/>
    <n v="129"/>
    <n v="25.39"/>
    <x v="0"/>
  </r>
  <r>
    <x v="0"/>
    <s v="桜川市"/>
    <x v="27"/>
    <x v="7"/>
    <n v="1"/>
    <n v="0.08"/>
    <n v="1"/>
    <n v="0.13"/>
    <n v="0"/>
    <n v="0"/>
    <x v="0"/>
  </r>
  <r>
    <x v="0"/>
    <s v="桜川市"/>
    <x v="27"/>
    <x v="8"/>
    <n v="30"/>
    <n v="2.3199999999999998"/>
    <n v="10"/>
    <n v="1.29"/>
    <n v="20"/>
    <n v="3.94"/>
    <x v="0"/>
  </r>
  <r>
    <x v="0"/>
    <s v="桜川市"/>
    <x v="27"/>
    <x v="9"/>
    <n v="42"/>
    <n v="3.25"/>
    <n v="25"/>
    <n v="3.23"/>
    <n v="16"/>
    <n v="3.15"/>
    <x v="0"/>
  </r>
  <r>
    <x v="0"/>
    <s v="桜川市"/>
    <x v="27"/>
    <x v="10"/>
    <n v="85"/>
    <n v="6.58"/>
    <n v="79"/>
    <n v="10.19"/>
    <n v="5"/>
    <n v="0.98"/>
    <x v="0"/>
  </r>
  <r>
    <x v="0"/>
    <s v="桜川市"/>
    <x v="27"/>
    <x v="11"/>
    <n v="124"/>
    <n v="9.6"/>
    <n v="112"/>
    <n v="14.45"/>
    <n v="12"/>
    <n v="2.36"/>
    <x v="0"/>
  </r>
  <r>
    <x v="0"/>
    <s v="桜川市"/>
    <x v="27"/>
    <x v="12"/>
    <n v="15"/>
    <n v="1.1599999999999999"/>
    <n v="11"/>
    <n v="1.42"/>
    <n v="4"/>
    <n v="0.79"/>
    <x v="0"/>
  </r>
  <r>
    <x v="0"/>
    <s v="桜川市"/>
    <x v="27"/>
    <x v="13"/>
    <n v="41"/>
    <n v="3.17"/>
    <n v="26"/>
    <n v="3.35"/>
    <n v="9"/>
    <n v="1.77"/>
    <x v="0"/>
  </r>
  <r>
    <x v="0"/>
    <s v="桜川市"/>
    <x v="27"/>
    <x v="14"/>
    <n v="54"/>
    <n v="4.18"/>
    <n v="36"/>
    <n v="4.6500000000000004"/>
    <n v="17"/>
    <n v="3.35"/>
    <x v="0"/>
  </r>
  <r>
    <x v="0"/>
    <s v="神栖市"/>
    <x v="28"/>
    <x v="0"/>
    <n v="4"/>
    <n v="0.18"/>
    <n v="0"/>
    <n v="0"/>
    <n v="4"/>
    <n v="0.36"/>
    <x v="0"/>
  </r>
  <r>
    <x v="0"/>
    <s v="神栖市"/>
    <x v="28"/>
    <x v="1"/>
    <n v="495"/>
    <n v="21.8"/>
    <n v="107"/>
    <n v="9.35"/>
    <n v="388"/>
    <n v="34.950000000000003"/>
    <x v="0"/>
  </r>
  <r>
    <x v="0"/>
    <s v="神栖市"/>
    <x v="28"/>
    <x v="2"/>
    <n v="121"/>
    <n v="5.33"/>
    <n v="40"/>
    <n v="3.5"/>
    <n v="81"/>
    <n v="7.3"/>
    <x v="0"/>
  </r>
  <r>
    <x v="0"/>
    <s v="神栖市"/>
    <x v="28"/>
    <x v="3"/>
    <n v="16"/>
    <n v="0.7"/>
    <n v="0"/>
    <n v="0"/>
    <n v="16"/>
    <n v="1.44"/>
    <x v="0"/>
  </r>
  <r>
    <x v="0"/>
    <s v="神栖市"/>
    <x v="28"/>
    <x v="4"/>
    <n v="10"/>
    <n v="0.44"/>
    <n v="1"/>
    <n v="0.09"/>
    <n v="9"/>
    <n v="0.81"/>
    <x v="0"/>
  </r>
  <r>
    <x v="0"/>
    <s v="神栖市"/>
    <x v="28"/>
    <x v="5"/>
    <n v="80"/>
    <n v="3.52"/>
    <n v="9"/>
    <n v="0.79"/>
    <n v="71"/>
    <n v="6.4"/>
    <x v="0"/>
  </r>
  <r>
    <x v="0"/>
    <s v="神栖市"/>
    <x v="28"/>
    <x v="6"/>
    <n v="403"/>
    <n v="17.75"/>
    <n v="199"/>
    <n v="17.399999999999999"/>
    <n v="203"/>
    <n v="18.29"/>
    <x v="1"/>
  </r>
  <r>
    <x v="0"/>
    <s v="神栖市"/>
    <x v="28"/>
    <x v="7"/>
    <n v="11"/>
    <n v="0.48"/>
    <n v="5"/>
    <n v="0.44"/>
    <n v="6"/>
    <n v="0.54"/>
    <x v="0"/>
  </r>
  <r>
    <x v="0"/>
    <s v="神栖市"/>
    <x v="28"/>
    <x v="8"/>
    <n v="257"/>
    <n v="11.32"/>
    <n v="156"/>
    <n v="13.64"/>
    <n v="101"/>
    <n v="9.1"/>
    <x v="0"/>
  </r>
  <r>
    <x v="0"/>
    <s v="神栖市"/>
    <x v="28"/>
    <x v="9"/>
    <n v="67"/>
    <n v="2.95"/>
    <n v="29"/>
    <n v="2.5299999999999998"/>
    <n v="37"/>
    <n v="3.33"/>
    <x v="0"/>
  </r>
  <r>
    <x v="0"/>
    <s v="神栖市"/>
    <x v="28"/>
    <x v="10"/>
    <n v="283"/>
    <n v="12.46"/>
    <n v="226"/>
    <n v="19.760000000000002"/>
    <n v="56"/>
    <n v="5.05"/>
    <x v="0"/>
  </r>
  <r>
    <x v="0"/>
    <s v="神栖市"/>
    <x v="28"/>
    <x v="11"/>
    <n v="287"/>
    <n v="12.64"/>
    <n v="237"/>
    <n v="20.72"/>
    <n v="48"/>
    <n v="4.32"/>
    <x v="0"/>
  </r>
  <r>
    <x v="0"/>
    <s v="神栖市"/>
    <x v="28"/>
    <x v="12"/>
    <n v="62"/>
    <n v="2.73"/>
    <n v="41"/>
    <n v="3.58"/>
    <n v="18"/>
    <n v="1.62"/>
    <x v="0"/>
  </r>
  <r>
    <x v="0"/>
    <s v="神栖市"/>
    <x v="28"/>
    <x v="13"/>
    <n v="65"/>
    <n v="2.86"/>
    <n v="46"/>
    <n v="4.0199999999999996"/>
    <n v="16"/>
    <n v="1.44"/>
    <x v="0"/>
  </r>
  <r>
    <x v="0"/>
    <s v="神栖市"/>
    <x v="28"/>
    <x v="14"/>
    <n v="110"/>
    <n v="4.84"/>
    <n v="48"/>
    <n v="4.2"/>
    <n v="56"/>
    <n v="5.05"/>
    <x v="0"/>
  </r>
  <r>
    <x v="0"/>
    <s v="行方市"/>
    <x v="29"/>
    <x v="0"/>
    <n v="3"/>
    <n v="0.32"/>
    <n v="1"/>
    <n v="0.15"/>
    <n v="2"/>
    <n v="0.71"/>
    <x v="0"/>
  </r>
  <r>
    <x v="0"/>
    <s v="行方市"/>
    <x v="29"/>
    <x v="1"/>
    <n v="249"/>
    <n v="26.32"/>
    <n v="160"/>
    <n v="24.35"/>
    <n v="89"/>
    <n v="31.56"/>
    <x v="0"/>
  </r>
  <r>
    <x v="0"/>
    <s v="行方市"/>
    <x v="29"/>
    <x v="2"/>
    <n v="112"/>
    <n v="11.84"/>
    <n v="69"/>
    <n v="10.5"/>
    <n v="43"/>
    <n v="15.25"/>
    <x v="0"/>
  </r>
  <r>
    <x v="0"/>
    <s v="行方市"/>
    <x v="29"/>
    <x v="3"/>
    <n v="1"/>
    <n v="0.11"/>
    <n v="0"/>
    <n v="0"/>
    <n v="1"/>
    <n v="0.35"/>
    <x v="0"/>
  </r>
  <r>
    <x v="0"/>
    <s v="行方市"/>
    <x v="29"/>
    <x v="4"/>
    <n v="1"/>
    <n v="0.11"/>
    <n v="0"/>
    <n v="0"/>
    <n v="1"/>
    <n v="0.35"/>
    <x v="0"/>
  </r>
  <r>
    <x v="0"/>
    <s v="行方市"/>
    <x v="29"/>
    <x v="5"/>
    <n v="16"/>
    <n v="1.69"/>
    <n v="1"/>
    <n v="0.15"/>
    <n v="15"/>
    <n v="5.32"/>
    <x v="0"/>
  </r>
  <r>
    <x v="0"/>
    <s v="行方市"/>
    <x v="29"/>
    <x v="6"/>
    <n v="248"/>
    <n v="26.22"/>
    <n v="178"/>
    <n v="27.09"/>
    <n v="69"/>
    <n v="24.47"/>
    <x v="1"/>
  </r>
  <r>
    <x v="0"/>
    <s v="行方市"/>
    <x v="29"/>
    <x v="7"/>
    <n v="5"/>
    <n v="0.53"/>
    <n v="1"/>
    <n v="0.15"/>
    <n v="4"/>
    <n v="1.42"/>
    <x v="0"/>
  </r>
  <r>
    <x v="0"/>
    <s v="行方市"/>
    <x v="29"/>
    <x v="8"/>
    <n v="19"/>
    <n v="2.0099999999999998"/>
    <n v="9"/>
    <n v="1.37"/>
    <n v="10"/>
    <n v="3.55"/>
    <x v="0"/>
  </r>
  <r>
    <x v="0"/>
    <s v="行方市"/>
    <x v="29"/>
    <x v="9"/>
    <n v="25"/>
    <n v="2.64"/>
    <n v="17"/>
    <n v="2.59"/>
    <n v="6"/>
    <n v="2.13"/>
    <x v="0"/>
  </r>
  <r>
    <x v="0"/>
    <s v="行方市"/>
    <x v="29"/>
    <x v="10"/>
    <n v="63"/>
    <n v="6.66"/>
    <n v="56"/>
    <n v="8.52"/>
    <n v="5"/>
    <n v="1.77"/>
    <x v="0"/>
  </r>
  <r>
    <x v="0"/>
    <s v="行方市"/>
    <x v="29"/>
    <x v="11"/>
    <n v="101"/>
    <n v="10.68"/>
    <n v="90"/>
    <n v="13.7"/>
    <n v="11"/>
    <n v="3.9"/>
    <x v="0"/>
  </r>
  <r>
    <x v="0"/>
    <s v="行方市"/>
    <x v="29"/>
    <x v="12"/>
    <n v="15"/>
    <n v="1.59"/>
    <n v="12"/>
    <n v="1.83"/>
    <n v="1"/>
    <n v="0.35"/>
    <x v="0"/>
  </r>
  <r>
    <x v="0"/>
    <s v="行方市"/>
    <x v="29"/>
    <x v="13"/>
    <n v="32"/>
    <n v="3.38"/>
    <n v="19"/>
    <n v="2.89"/>
    <n v="13"/>
    <n v="4.6100000000000003"/>
    <x v="0"/>
  </r>
  <r>
    <x v="0"/>
    <s v="行方市"/>
    <x v="29"/>
    <x v="14"/>
    <n v="56"/>
    <n v="5.92"/>
    <n v="44"/>
    <n v="6.7"/>
    <n v="12"/>
    <n v="4.26"/>
    <x v="0"/>
  </r>
  <r>
    <x v="0"/>
    <s v="鉾田市"/>
    <x v="30"/>
    <x v="0"/>
    <n v="2"/>
    <n v="0.19"/>
    <n v="1"/>
    <n v="0.15"/>
    <n v="1"/>
    <n v="0.3"/>
    <x v="0"/>
  </r>
  <r>
    <x v="0"/>
    <s v="鉾田市"/>
    <x v="30"/>
    <x v="1"/>
    <n v="241"/>
    <n v="23.4"/>
    <n v="148"/>
    <n v="21.57"/>
    <n v="93"/>
    <n v="27.84"/>
    <x v="0"/>
  </r>
  <r>
    <x v="0"/>
    <s v="鉾田市"/>
    <x v="30"/>
    <x v="2"/>
    <n v="74"/>
    <n v="7.18"/>
    <n v="38"/>
    <n v="5.54"/>
    <n v="36"/>
    <n v="10.78"/>
    <x v="0"/>
  </r>
  <r>
    <x v="0"/>
    <s v="鉾田市"/>
    <x v="30"/>
    <x v="3"/>
    <n v="3"/>
    <n v="0.28999999999999998"/>
    <n v="0"/>
    <n v="0"/>
    <n v="3"/>
    <n v="0.9"/>
    <x v="0"/>
  </r>
  <r>
    <x v="0"/>
    <s v="鉾田市"/>
    <x v="30"/>
    <x v="4"/>
    <n v="3"/>
    <n v="0.28999999999999998"/>
    <n v="0"/>
    <n v="0"/>
    <n v="3"/>
    <n v="0.9"/>
    <x v="0"/>
  </r>
  <r>
    <x v="0"/>
    <s v="鉾田市"/>
    <x v="30"/>
    <x v="5"/>
    <n v="10"/>
    <n v="0.97"/>
    <n v="1"/>
    <n v="0.15"/>
    <n v="9"/>
    <n v="2.69"/>
    <x v="0"/>
  </r>
  <r>
    <x v="0"/>
    <s v="鉾田市"/>
    <x v="30"/>
    <x v="6"/>
    <n v="257"/>
    <n v="24.95"/>
    <n v="169"/>
    <n v="24.64"/>
    <n v="88"/>
    <n v="26.35"/>
    <x v="0"/>
  </r>
  <r>
    <x v="0"/>
    <s v="鉾田市"/>
    <x v="30"/>
    <x v="7"/>
    <n v="4"/>
    <n v="0.39"/>
    <n v="1"/>
    <n v="0.15"/>
    <n v="3"/>
    <n v="0.9"/>
    <x v="0"/>
  </r>
  <r>
    <x v="0"/>
    <s v="鉾田市"/>
    <x v="30"/>
    <x v="8"/>
    <n v="51"/>
    <n v="4.95"/>
    <n v="25"/>
    <n v="3.64"/>
    <n v="26"/>
    <n v="7.78"/>
    <x v="0"/>
  </r>
  <r>
    <x v="0"/>
    <s v="鉾田市"/>
    <x v="30"/>
    <x v="9"/>
    <n v="37"/>
    <n v="3.59"/>
    <n v="23"/>
    <n v="3.35"/>
    <n v="12"/>
    <n v="3.59"/>
    <x v="0"/>
  </r>
  <r>
    <x v="0"/>
    <s v="鉾田市"/>
    <x v="30"/>
    <x v="10"/>
    <n v="87"/>
    <n v="8.4499999999999993"/>
    <n v="80"/>
    <n v="11.66"/>
    <n v="6"/>
    <n v="1.8"/>
    <x v="0"/>
  </r>
  <r>
    <x v="0"/>
    <s v="鉾田市"/>
    <x v="30"/>
    <x v="11"/>
    <n v="147"/>
    <n v="14.27"/>
    <n v="127"/>
    <n v="18.510000000000002"/>
    <n v="16"/>
    <n v="4.79"/>
    <x v="0"/>
  </r>
  <r>
    <x v="0"/>
    <s v="鉾田市"/>
    <x v="30"/>
    <x v="12"/>
    <n v="21"/>
    <n v="2.04"/>
    <n v="15"/>
    <n v="2.19"/>
    <n v="5"/>
    <n v="1.5"/>
    <x v="0"/>
  </r>
  <r>
    <x v="0"/>
    <s v="鉾田市"/>
    <x v="30"/>
    <x v="13"/>
    <n v="39"/>
    <n v="3.79"/>
    <n v="23"/>
    <n v="3.35"/>
    <n v="16"/>
    <n v="4.79"/>
    <x v="0"/>
  </r>
  <r>
    <x v="0"/>
    <s v="鉾田市"/>
    <x v="30"/>
    <x v="14"/>
    <n v="54"/>
    <n v="5.24"/>
    <n v="35"/>
    <n v="5.0999999999999996"/>
    <n v="17"/>
    <n v="5.09"/>
    <x v="1"/>
  </r>
  <r>
    <x v="0"/>
    <s v="つくばみらい市"/>
    <x v="31"/>
    <x v="0"/>
    <n v="0"/>
    <n v="0"/>
    <n v="0"/>
    <n v="0"/>
    <n v="0"/>
    <n v="0"/>
    <x v="0"/>
  </r>
  <r>
    <x v="0"/>
    <s v="つくばみらい市"/>
    <x v="31"/>
    <x v="1"/>
    <n v="188"/>
    <n v="24.16"/>
    <n v="73"/>
    <n v="19.95"/>
    <n v="115"/>
    <n v="28.12"/>
    <x v="0"/>
  </r>
  <r>
    <x v="0"/>
    <s v="つくばみらい市"/>
    <x v="31"/>
    <x v="2"/>
    <n v="69"/>
    <n v="8.8699999999999992"/>
    <n v="12"/>
    <n v="3.28"/>
    <n v="57"/>
    <n v="13.94"/>
    <x v="0"/>
  </r>
  <r>
    <x v="0"/>
    <s v="つくばみらい市"/>
    <x v="31"/>
    <x v="3"/>
    <n v="1"/>
    <n v="0.13"/>
    <n v="0"/>
    <n v="0"/>
    <n v="1"/>
    <n v="0.24"/>
    <x v="0"/>
  </r>
  <r>
    <x v="0"/>
    <s v="つくばみらい市"/>
    <x v="31"/>
    <x v="4"/>
    <n v="6"/>
    <n v="0.77"/>
    <n v="0"/>
    <n v="0"/>
    <n v="6"/>
    <n v="1.47"/>
    <x v="0"/>
  </r>
  <r>
    <x v="0"/>
    <s v="つくばみらい市"/>
    <x v="31"/>
    <x v="5"/>
    <n v="18"/>
    <n v="2.31"/>
    <n v="4"/>
    <n v="1.0900000000000001"/>
    <n v="14"/>
    <n v="3.42"/>
    <x v="0"/>
  </r>
  <r>
    <x v="0"/>
    <s v="つくばみらい市"/>
    <x v="31"/>
    <x v="6"/>
    <n v="169"/>
    <n v="21.72"/>
    <n v="78"/>
    <n v="21.31"/>
    <n v="91"/>
    <n v="22.25"/>
    <x v="0"/>
  </r>
  <r>
    <x v="0"/>
    <s v="つくばみらい市"/>
    <x v="31"/>
    <x v="7"/>
    <n v="5"/>
    <n v="0.64"/>
    <n v="0"/>
    <n v="0"/>
    <n v="5"/>
    <n v="1.22"/>
    <x v="0"/>
  </r>
  <r>
    <x v="0"/>
    <s v="つくばみらい市"/>
    <x v="31"/>
    <x v="8"/>
    <n v="39"/>
    <n v="5.01"/>
    <n v="6"/>
    <n v="1.64"/>
    <n v="33"/>
    <n v="8.07"/>
    <x v="0"/>
  </r>
  <r>
    <x v="0"/>
    <s v="つくばみらい市"/>
    <x v="31"/>
    <x v="9"/>
    <n v="42"/>
    <n v="5.4"/>
    <n v="14"/>
    <n v="3.83"/>
    <n v="28"/>
    <n v="6.85"/>
    <x v="0"/>
  </r>
  <r>
    <x v="0"/>
    <s v="つくばみらい市"/>
    <x v="31"/>
    <x v="10"/>
    <n v="58"/>
    <n v="7.46"/>
    <n v="47"/>
    <n v="12.84"/>
    <n v="11"/>
    <n v="2.69"/>
    <x v="0"/>
  </r>
  <r>
    <x v="0"/>
    <s v="つくばみらい市"/>
    <x v="31"/>
    <x v="11"/>
    <n v="100"/>
    <n v="12.85"/>
    <n v="81"/>
    <n v="22.13"/>
    <n v="19"/>
    <n v="4.6500000000000004"/>
    <x v="0"/>
  </r>
  <r>
    <x v="0"/>
    <s v="つくばみらい市"/>
    <x v="31"/>
    <x v="12"/>
    <n v="22"/>
    <n v="2.83"/>
    <n v="15"/>
    <n v="4.0999999999999996"/>
    <n v="5"/>
    <n v="1.22"/>
    <x v="0"/>
  </r>
  <r>
    <x v="0"/>
    <s v="つくばみらい市"/>
    <x v="31"/>
    <x v="13"/>
    <n v="28"/>
    <n v="3.6"/>
    <n v="19"/>
    <n v="5.19"/>
    <n v="9"/>
    <n v="2.2000000000000002"/>
    <x v="0"/>
  </r>
  <r>
    <x v="0"/>
    <s v="つくばみらい市"/>
    <x v="31"/>
    <x v="14"/>
    <n v="33"/>
    <n v="4.24"/>
    <n v="17"/>
    <n v="4.6399999999999997"/>
    <n v="15"/>
    <n v="3.67"/>
    <x v="0"/>
  </r>
  <r>
    <x v="0"/>
    <s v="小美玉市"/>
    <x v="32"/>
    <x v="0"/>
    <n v="1"/>
    <n v="0.1"/>
    <n v="0"/>
    <n v="0"/>
    <n v="1"/>
    <n v="0.22"/>
    <x v="0"/>
  </r>
  <r>
    <x v="0"/>
    <s v="小美玉市"/>
    <x v="32"/>
    <x v="1"/>
    <n v="228"/>
    <n v="23.08"/>
    <n v="106"/>
    <n v="19.920000000000002"/>
    <n v="122"/>
    <n v="27.17"/>
    <x v="0"/>
  </r>
  <r>
    <x v="0"/>
    <s v="小美玉市"/>
    <x v="32"/>
    <x v="2"/>
    <n v="91"/>
    <n v="9.2100000000000009"/>
    <n v="25"/>
    <n v="4.7"/>
    <n v="66"/>
    <n v="14.7"/>
    <x v="0"/>
  </r>
  <r>
    <x v="0"/>
    <s v="小美玉市"/>
    <x v="32"/>
    <x v="3"/>
    <n v="7"/>
    <n v="0.71"/>
    <n v="0"/>
    <n v="0"/>
    <n v="7"/>
    <n v="1.56"/>
    <x v="0"/>
  </r>
  <r>
    <x v="0"/>
    <s v="小美玉市"/>
    <x v="32"/>
    <x v="4"/>
    <n v="3"/>
    <n v="0.3"/>
    <n v="1"/>
    <n v="0.19"/>
    <n v="2"/>
    <n v="0.45"/>
    <x v="0"/>
  </r>
  <r>
    <x v="0"/>
    <s v="小美玉市"/>
    <x v="32"/>
    <x v="5"/>
    <n v="18"/>
    <n v="1.82"/>
    <n v="2"/>
    <n v="0.38"/>
    <n v="16"/>
    <n v="3.56"/>
    <x v="0"/>
  </r>
  <r>
    <x v="0"/>
    <s v="小美玉市"/>
    <x v="32"/>
    <x v="6"/>
    <n v="209"/>
    <n v="21.15"/>
    <n v="111"/>
    <n v="20.86"/>
    <n v="98"/>
    <n v="21.83"/>
    <x v="0"/>
  </r>
  <r>
    <x v="0"/>
    <s v="小美玉市"/>
    <x v="32"/>
    <x v="7"/>
    <n v="6"/>
    <n v="0.61"/>
    <n v="3"/>
    <n v="0.56000000000000005"/>
    <n v="3"/>
    <n v="0.67"/>
    <x v="0"/>
  </r>
  <r>
    <x v="0"/>
    <s v="小美玉市"/>
    <x v="32"/>
    <x v="8"/>
    <n v="73"/>
    <n v="7.39"/>
    <n v="34"/>
    <n v="6.39"/>
    <n v="39"/>
    <n v="8.69"/>
    <x v="0"/>
  </r>
  <r>
    <x v="0"/>
    <s v="小美玉市"/>
    <x v="32"/>
    <x v="9"/>
    <n v="36"/>
    <n v="3.64"/>
    <n v="18"/>
    <n v="3.38"/>
    <n v="18"/>
    <n v="4.01"/>
    <x v="0"/>
  </r>
  <r>
    <x v="0"/>
    <s v="小美玉市"/>
    <x v="32"/>
    <x v="10"/>
    <n v="72"/>
    <n v="7.29"/>
    <n v="54"/>
    <n v="10.15"/>
    <n v="18"/>
    <n v="4.01"/>
    <x v="0"/>
  </r>
  <r>
    <x v="0"/>
    <s v="小美玉市"/>
    <x v="32"/>
    <x v="11"/>
    <n v="138"/>
    <n v="13.97"/>
    <n v="118"/>
    <n v="22.18"/>
    <n v="20"/>
    <n v="4.45"/>
    <x v="0"/>
  </r>
  <r>
    <x v="0"/>
    <s v="小美玉市"/>
    <x v="32"/>
    <x v="12"/>
    <n v="25"/>
    <n v="2.5299999999999998"/>
    <n v="15"/>
    <n v="2.82"/>
    <n v="5"/>
    <n v="1.1100000000000001"/>
    <x v="0"/>
  </r>
  <r>
    <x v="0"/>
    <s v="小美玉市"/>
    <x v="32"/>
    <x v="13"/>
    <n v="30"/>
    <n v="3.04"/>
    <n v="14"/>
    <n v="2.63"/>
    <n v="16"/>
    <n v="3.56"/>
    <x v="0"/>
  </r>
  <r>
    <x v="0"/>
    <s v="小美玉市"/>
    <x v="32"/>
    <x v="14"/>
    <n v="51"/>
    <n v="5.16"/>
    <n v="31"/>
    <n v="5.83"/>
    <n v="18"/>
    <n v="4.01"/>
    <x v="0"/>
  </r>
  <r>
    <x v="0"/>
    <s v="東茨城郡茨城町"/>
    <x v="33"/>
    <x v="0"/>
    <n v="1"/>
    <n v="0.14000000000000001"/>
    <n v="0"/>
    <n v="0"/>
    <n v="1"/>
    <n v="0.32"/>
    <x v="0"/>
  </r>
  <r>
    <x v="0"/>
    <s v="東茨城郡茨城町"/>
    <x v="33"/>
    <x v="1"/>
    <n v="197"/>
    <n v="28.06"/>
    <n v="96"/>
    <n v="24.62"/>
    <n v="101"/>
    <n v="32.79"/>
    <x v="0"/>
  </r>
  <r>
    <x v="0"/>
    <s v="東茨城郡茨城町"/>
    <x v="33"/>
    <x v="2"/>
    <n v="61"/>
    <n v="8.69"/>
    <n v="31"/>
    <n v="7.95"/>
    <n v="30"/>
    <n v="9.74"/>
    <x v="0"/>
  </r>
  <r>
    <x v="0"/>
    <s v="東茨城郡茨城町"/>
    <x v="33"/>
    <x v="3"/>
    <n v="5"/>
    <n v="0.71"/>
    <n v="0"/>
    <n v="0"/>
    <n v="5"/>
    <n v="1.62"/>
    <x v="0"/>
  </r>
  <r>
    <x v="0"/>
    <s v="東茨城郡茨城町"/>
    <x v="33"/>
    <x v="4"/>
    <n v="2"/>
    <n v="0.28000000000000003"/>
    <n v="0"/>
    <n v="0"/>
    <n v="2"/>
    <n v="0.65"/>
    <x v="0"/>
  </r>
  <r>
    <x v="0"/>
    <s v="東茨城郡茨城町"/>
    <x v="33"/>
    <x v="5"/>
    <n v="16"/>
    <n v="2.2799999999999998"/>
    <n v="6"/>
    <n v="1.54"/>
    <n v="10"/>
    <n v="3.25"/>
    <x v="0"/>
  </r>
  <r>
    <x v="0"/>
    <s v="東茨城郡茨城町"/>
    <x v="33"/>
    <x v="6"/>
    <n v="150"/>
    <n v="21.37"/>
    <n v="66"/>
    <n v="16.920000000000002"/>
    <n v="82"/>
    <n v="26.62"/>
    <x v="5"/>
  </r>
  <r>
    <x v="0"/>
    <s v="東茨城郡茨城町"/>
    <x v="33"/>
    <x v="7"/>
    <n v="7"/>
    <n v="1"/>
    <n v="1"/>
    <n v="0.26"/>
    <n v="5"/>
    <n v="1.62"/>
    <x v="0"/>
  </r>
  <r>
    <x v="0"/>
    <s v="東茨城郡茨城町"/>
    <x v="33"/>
    <x v="8"/>
    <n v="32"/>
    <n v="4.5599999999999996"/>
    <n v="18"/>
    <n v="4.62"/>
    <n v="14"/>
    <n v="4.55"/>
    <x v="0"/>
  </r>
  <r>
    <x v="0"/>
    <s v="東茨城郡茨城町"/>
    <x v="33"/>
    <x v="9"/>
    <n v="16"/>
    <n v="2.2799999999999998"/>
    <n v="8"/>
    <n v="2.0499999999999998"/>
    <n v="8"/>
    <n v="2.6"/>
    <x v="0"/>
  </r>
  <r>
    <x v="0"/>
    <s v="東茨城郡茨城町"/>
    <x v="33"/>
    <x v="10"/>
    <n v="37"/>
    <n v="5.27"/>
    <n v="30"/>
    <n v="7.69"/>
    <n v="7"/>
    <n v="2.27"/>
    <x v="0"/>
  </r>
  <r>
    <x v="0"/>
    <s v="東茨城郡茨城町"/>
    <x v="33"/>
    <x v="11"/>
    <n v="87"/>
    <n v="12.39"/>
    <n v="77"/>
    <n v="19.739999999999998"/>
    <n v="10"/>
    <n v="3.25"/>
    <x v="0"/>
  </r>
  <r>
    <x v="0"/>
    <s v="東茨城郡茨城町"/>
    <x v="33"/>
    <x v="12"/>
    <n v="16"/>
    <n v="2.2799999999999998"/>
    <n v="9"/>
    <n v="2.31"/>
    <n v="7"/>
    <n v="2.27"/>
    <x v="0"/>
  </r>
  <r>
    <x v="0"/>
    <s v="東茨城郡茨城町"/>
    <x v="33"/>
    <x v="13"/>
    <n v="20"/>
    <n v="2.85"/>
    <n v="11"/>
    <n v="2.82"/>
    <n v="9"/>
    <n v="2.92"/>
    <x v="0"/>
  </r>
  <r>
    <x v="0"/>
    <s v="東茨城郡茨城町"/>
    <x v="33"/>
    <x v="14"/>
    <n v="55"/>
    <n v="7.83"/>
    <n v="37"/>
    <n v="9.49"/>
    <n v="17"/>
    <n v="5.52"/>
    <x v="0"/>
  </r>
  <r>
    <x v="0"/>
    <s v="東茨城郡大洗町"/>
    <x v="34"/>
    <x v="0"/>
    <n v="0"/>
    <n v="0"/>
    <n v="0"/>
    <n v="0"/>
    <n v="0"/>
    <n v="0"/>
    <x v="0"/>
  </r>
  <r>
    <x v="0"/>
    <s v="東茨城郡大洗町"/>
    <x v="34"/>
    <x v="1"/>
    <n v="78"/>
    <n v="14.74"/>
    <n v="28"/>
    <n v="9.06"/>
    <n v="50"/>
    <n v="22.83"/>
    <x v="0"/>
  </r>
  <r>
    <x v="0"/>
    <s v="東茨城郡大洗町"/>
    <x v="34"/>
    <x v="2"/>
    <n v="39"/>
    <n v="7.37"/>
    <n v="19"/>
    <n v="6.15"/>
    <n v="20"/>
    <n v="9.1300000000000008"/>
    <x v="0"/>
  </r>
  <r>
    <x v="0"/>
    <s v="東茨城郡大洗町"/>
    <x v="34"/>
    <x v="3"/>
    <n v="2"/>
    <n v="0.38"/>
    <n v="0"/>
    <n v="0"/>
    <n v="1"/>
    <n v="0.46"/>
    <x v="0"/>
  </r>
  <r>
    <x v="0"/>
    <s v="東茨城郡大洗町"/>
    <x v="34"/>
    <x v="4"/>
    <n v="4"/>
    <n v="0.76"/>
    <n v="1"/>
    <n v="0.32"/>
    <n v="3"/>
    <n v="1.37"/>
    <x v="0"/>
  </r>
  <r>
    <x v="0"/>
    <s v="東茨城郡大洗町"/>
    <x v="34"/>
    <x v="5"/>
    <n v="12"/>
    <n v="2.27"/>
    <n v="0"/>
    <n v="0"/>
    <n v="12"/>
    <n v="5.48"/>
    <x v="0"/>
  </r>
  <r>
    <x v="0"/>
    <s v="東茨城郡大洗町"/>
    <x v="34"/>
    <x v="6"/>
    <n v="172"/>
    <n v="32.51"/>
    <n v="108"/>
    <n v="34.950000000000003"/>
    <n v="64"/>
    <n v="29.22"/>
    <x v="0"/>
  </r>
  <r>
    <x v="0"/>
    <s v="東茨城郡大洗町"/>
    <x v="34"/>
    <x v="7"/>
    <n v="3"/>
    <n v="0.56999999999999995"/>
    <n v="1"/>
    <n v="0.32"/>
    <n v="2"/>
    <n v="0.91"/>
    <x v="0"/>
  </r>
  <r>
    <x v="0"/>
    <s v="東茨城郡大洗町"/>
    <x v="34"/>
    <x v="8"/>
    <n v="13"/>
    <n v="2.46"/>
    <n v="2"/>
    <n v="0.65"/>
    <n v="11"/>
    <n v="5.0199999999999996"/>
    <x v="0"/>
  </r>
  <r>
    <x v="0"/>
    <s v="東茨城郡大洗町"/>
    <x v="34"/>
    <x v="9"/>
    <n v="5"/>
    <n v="0.95"/>
    <n v="5"/>
    <n v="1.62"/>
    <n v="0"/>
    <n v="0"/>
    <x v="0"/>
  </r>
  <r>
    <x v="0"/>
    <s v="東茨城郡大洗町"/>
    <x v="34"/>
    <x v="10"/>
    <n v="96"/>
    <n v="18.149999999999999"/>
    <n v="67"/>
    <n v="21.68"/>
    <n v="29"/>
    <n v="13.24"/>
    <x v="0"/>
  </r>
  <r>
    <x v="0"/>
    <s v="東茨城郡大洗町"/>
    <x v="34"/>
    <x v="11"/>
    <n v="64"/>
    <n v="12.1"/>
    <n v="54"/>
    <n v="17.48"/>
    <n v="10"/>
    <n v="4.57"/>
    <x v="0"/>
  </r>
  <r>
    <x v="0"/>
    <s v="東茨城郡大洗町"/>
    <x v="34"/>
    <x v="12"/>
    <n v="10"/>
    <n v="1.89"/>
    <n v="8"/>
    <n v="2.59"/>
    <n v="2"/>
    <n v="0.91"/>
    <x v="0"/>
  </r>
  <r>
    <x v="0"/>
    <s v="東茨城郡大洗町"/>
    <x v="34"/>
    <x v="13"/>
    <n v="13"/>
    <n v="2.46"/>
    <n v="10"/>
    <n v="3.24"/>
    <n v="3"/>
    <n v="1.37"/>
    <x v="0"/>
  </r>
  <r>
    <x v="0"/>
    <s v="東茨城郡大洗町"/>
    <x v="34"/>
    <x v="14"/>
    <n v="18"/>
    <n v="3.4"/>
    <n v="6"/>
    <n v="1.94"/>
    <n v="12"/>
    <n v="5.48"/>
    <x v="0"/>
  </r>
  <r>
    <x v="0"/>
    <s v="東茨城郡城里町"/>
    <x v="35"/>
    <x v="0"/>
    <n v="1"/>
    <n v="0.24"/>
    <n v="0"/>
    <n v="0"/>
    <n v="1"/>
    <n v="0.88"/>
    <x v="0"/>
  </r>
  <r>
    <x v="0"/>
    <s v="東茨城郡城里町"/>
    <x v="35"/>
    <x v="1"/>
    <n v="107"/>
    <n v="25.42"/>
    <n v="71"/>
    <n v="23.51"/>
    <n v="36"/>
    <n v="31.58"/>
    <x v="0"/>
  </r>
  <r>
    <x v="0"/>
    <s v="東茨城郡城里町"/>
    <x v="35"/>
    <x v="2"/>
    <n v="48"/>
    <n v="11.4"/>
    <n v="32"/>
    <n v="10.6"/>
    <n v="16"/>
    <n v="14.04"/>
    <x v="0"/>
  </r>
  <r>
    <x v="0"/>
    <s v="東茨城郡城里町"/>
    <x v="35"/>
    <x v="3"/>
    <n v="3"/>
    <n v="0.71"/>
    <n v="0"/>
    <n v="0"/>
    <n v="2"/>
    <n v="1.75"/>
    <x v="0"/>
  </r>
  <r>
    <x v="0"/>
    <s v="東茨城郡城里町"/>
    <x v="35"/>
    <x v="4"/>
    <n v="1"/>
    <n v="0.24"/>
    <n v="0"/>
    <n v="0"/>
    <n v="1"/>
    <n v="0.88"/>
    <x v="0"/>
  </r>
  <r>
    <x v="0"/>
    <s v="東茨城郡城里町"/>
    <x v="35"/>
    <x v="5"/>
    <n v="4"/>
    <n v="0.95"/>
    <n v="2"/>
    <n v="0.66"/>
    <n v="2"/>
    <n v="1.75"/>
    <x v="0"/>
  </r>
  <r>
    <x v="0"/>
    <s v="東茨城郡城里町"/>
    <x v="35"/>
    <x v="6"/>
    <n v="98"/>
    <n v="23.28"/>
    <n v="75"/>
    <n v="24.83"/>
    <n v="23"/>
    <n v="20.18"/>
    <x v="0"/>
  </r>
  <r>
    <x v="0"/>
    <s v="東茨城郡城里町"/>
    <x v="35"/>
    <x v="7"/>
    <n v="3"/>
    <n v="0.71"/>
    <n v="2"/>
    <n v="0.66"/>
    <n v="1"/>
    <n v="0.88"/>
    <x v="0"/>
  </r>
  <r>
    <x v="0"/>
    <s v="東茨城郡城里町"/>
    <x v="35"/>
    <x v="8"/>
    <n v="7"/>
    <n v="1.66"/>
    <n v="2"/>
    <n v="0.66"/>
    <n v="5"/>
    <n v="4.3899999999999997"/>
    <x v="0"/>
  </r>
  <r>
    <x v="0"/>
    <s v="東茨城郡城里町"/>
    <x v="35"/>
    <x v="9"/>
    <n v="20"/>
    <n v="4.75"/>
    <n v="12"/>
    <n v="3.97"/>
    <n v="7"/>
    <n v="6.14"/>
    <x v="0"/>
  </r>
  <r>
    <x v="0"/>
    <s v="東茨城郡城里町"/>
    <x v="35"/>
    <x v="10"/>
    <n v="23"/>
    <n v="5.46"/>
    <n v="21"/>
    <n v="6.95"/>
    <n v="2"/>
    <n v="1.75"/>
    <x v="0"/>
  </r>
  <r>
    <x v="0"/>
    <s v="東茨城郡城里町"/>
    <x v="35"/>
    <x v="11"/>
    <n v="55"/>
    <n v="13.06"/>
    <n v="44"/>
    <n v="14.57"/>
    <n v="11"/>
    <n v="9.65"/>
    <x v="0"/>
  </r>
  <r>
    <x v="0"/>
    <s v="東茨城郡城里町"/>
    <x v="35"/>
    <x v="12"/>
    <n v="12"/>
    <n v="2.85"/>
    <n v="10"/>
    <n v="3.31"/>
    <n v="1"/>
    <n v="0.88"/>
    <x v="0"/>
  </r>
  <r>
    <x v="0"/>
    <s v="東茨城郡城里町"/>
    <x v="35"/>
    <x v="13"/>
    <n v="13"/>
    <n v="3.09"/>
    <n v="10"/>
    <n v="3.31"/>
    <n v="1"/>
    <n v="0.88"/>
    <x v="0"/>
  </r>
  <r>
    <x v="0"/>
    <s v="東茨城郡城里町"/>
    <x v="35"/>
    <x v="14"/>
    <n v="26"/>
    <n v="6.18"/>
    <n v="21"/>
    <n v="6.95"/>
    <n v="5"/>
    <n v="4.3899999999999997"/>
    <x v="0"/>
  </r>
  <r>
    <x v="0"/>
    <s v="那珂郡東海村"/>
    <x v="36"/>
    <x v="0"/>
    <n v="0"/>
    <n v="0"/>
    <n v="0"/>
    <n v="0"/>
    <n v="0"/>
    <n v="0"/>
    <x v="0"/>
  </r>
  <r>
    <x v="0"/>
    <s v="那珂郡東海村"/>
    <x v="36"/>
    <x v="1"/>
    <n v="106"/>
    <n v="17.43"/>
    <n v="20"/>
    <n v="6.27"/>
    <n v="86"/>
    <n v="30.18"/>
    <x v="0"/>
  </r>
  <r>
    <x v="0"/>
    <s v="那珂郡東海村"/>
    <x v="36"/>
    <x v="2"/>
    <n v="45"/>
    <n v="7.4"/>
    <n v="18"/>
    <n v="5.64"/>
    <n v="27"/>
    <n v="9.4700000000000006"/>
    <x v="0"/>
  </r>
  <r>
    <x v="0"/>
    <s v="那珂郡東海村"/>
    <x v="36"/>
    <x v="3"/>
    <n v="3"/>
    <n v="0.49"/>
    <n v="0"/>
    <n v="0"/>
    <n v="3"/>
    <n v="1.05"/>
    <x v="0"/>
  </r>
  <r>
    <x v="0"/>
    <s v="那珂郡東海村"/>
    <x v="36"/>
    <x v="4"/>
    <n v="8"/>
    <n v="1.32"/>
    <n v="0"/>
    <n v="0"/>
    <n v="8"/>
    <n v="2.81"/>
    <x v="0"/>
  </r>
  <r>
    <x v="0"/>
    <s v="那珂郡東海村"/>
    <x v="36"/>
    <x v="5"/>
    <n v="11"/>
    <n v="1.81"/>
    <n v="2"/>
    <n v="0.63"/>
    <n v="9"/>
    <n v="3.16"/>
    <x v="0"/>
  </r>
  <r>
    <x v="0"/>
    <s v="那珂郡東海村"/>
    <x v="36"/>
    <x v="6"/>
    <n v="114"/>
    <n v="18.75"/>
    <n v="52"/>
    <n v="16.3"/>
    <n v="62"/>
    <n v="21.75"/>
    <x v="0"/>
  </r>
  <r>
    <x v="0"/>
    <s v="那珂郡東海村"/>
    <x v="36"/>
    <x v="7"/>
    <n v="1"/>
    <n v="0.16"/>
    <n v="0"/>
    <n v="0"/>
    <n v="1"/>
    <n v="0.35"/>
    <x v="0"/>
  </r>
  <r>
    <x v="0"/>
    <s v="那珂郡東海村"/>
    <x v="36"/>
    <x v="8"/>
    <n v="50"/>
    <n v="8.2200000000000006"/>
    <n v="29"/>
    <n v="9.09"/>
    <n v="21"/>
    <n v="7.37"/>
    <x v="0"/>
  </r>
  <r>
    <x v="0"/>
    <s v="那珂郡東海村"/>
    <x v="36"/>
    <x v="9"/>
    <n v="22"/>
    <n v="3.62"/>
    <n v="7"/>
    <n v="2.19"/>
    <n v="14"/>
    <n v="4.91"/>
    <x v="0"/>
  </r>
  <r>
    <x v="0"/>
    <s v="那珂郡東海村"/>
    <x v="36"/>
    <x v="10"/>
    <n v="75"/>
    <n v="12.34"/>
    <n v="60"/>
    <n v="18.809999999999999"/>
    <n v="15"/>
    <n v="5.26"/>
    <x v="0"/>
  </r>
  <r>
    <x v="0"/>
    <s v="那珂郡東海村"/>
    <x v="36"/>
    <x v="11"/>
    <n v="88"/>
    <n v="14.47"/>
    <n v="80"/>
    <n v="25.08"/>
    <n v="8"/>
    <n v="2.81"/>
    <x v="0"/>
  </r>
  <r>
    <x v="0"/>
    <s v="那珂郡東海村"/>
    <x v="36"/>
    <x v="12"/>
    <n v="24"/>
    <n v="3.95"/>
    <n v="13"/>
    <n v="4.08"/>
    <n v="9"/>
    <n v="3.16"/>
    <x v="0"/>
  </r>
  <r>
    <x v="0"/>
    <s v="那珂郡東海村"/>
    <x v="36"/>
    <x v="13"/>
    <n v="26"/>
    <n v="4.28"/>
    <n v="17"/>
    <n v="5.33"/>
    <n v="8"/>
    <n v="2.81"/>
    <x v="0"/>
  </r>
  <r>
    <x v="0"/>
    <s v="那珂郡東海村"/>
    <x v="36"/>
    <x v="14"/>
    <n v="35"/>
    <n v="5.76"/>
    <n v="21"/>
    <n v="6.58"/>
    <n v="14"/>
    <n v="4.91"/>
    <x v="0"/>
  </r>
  <r>
    <x v="0"/>
    <s v="久慈郡大子町"/>
    <x v="37"/>
    <x v="0"/>
    <n v="0"/>
    <n v="0"/>
    <n v="0"/>
    <n v="0"/>
    <n v="0"/>
    <n v="0"/>
    <x v="0"/>
  </r>
  <r>
    <x v="0"/>
    <s v="久慈郡大子町"/>
    <x v="37"/>
    <x v="1"/>
    <n v="136"/>
    <n v="22.15"/>
    <n v="93"/>
    <n v="20.99"/>
    <n v="43"/>
    <n v="27.22"/>
    <x v="0"/>
  </r>
  <r>
    <x v="0"/>
    <s v="久慈郡大子町"/>
    <x v="37"/>
    <x v="2"/>
    <n v="56"/>
    <n v="9.1199999999999992"/>
    <n v="27"/>
    <n v="6.09"/>
    <n v="29"/>
    <n v="18.350000000000001"/>
    <x v="0"/>
  </r>
  <r>
    <x v="0"/>
    <s v="久慈郡大子町"/>
    <x v="37"/>
    <x v="3"/>
    <n v="1"/>
    <n v="0.16"/>
    <n v="0"/>
    <n v="0"/>
    <n v="1"/>
    <n v="0.63"/>
    <x v="0"/>
  </r>
  <r>
    <x v="0"/>
    <s v="久慈郡大子町"/>
    <x v="37"/>
    <x v="4"/>
    <n v="3"/>
    <n v="0.49"/>
    <n v="0"/>
    <n v="0"/>
    <n v="3"/>
    <n v="1.9"/>
    <x v="0"/>
  </r>
  <r>
    <x v="0"/>
    <s v="久慈郡大子町"/>
    <x v="37"/>
    <x v="5"/>
    <n v="2"/>
    <n v="0.33"/>
    <n v="0"/>
    <n v="0"/>
    <n v="1"/>
    <n v="0.63"/>
    <x v="1"/>
  </r>
  <r>
    <x v="0"/>
    <s v="久慈郡大子町"/>
    <x v="37"/>
    <x v="6"/>
    <n v="193"/>
    <n v="31.43"/>
    <n v="144"/>
    <n v="32.51"/>
    <n v="49"/>
    <n v="31.01"/>
    <x v="0"/>
  </r>
  <r>
    <x v="0"/>
    <s v="久慈郡大子町"/>
    <x v="37"/>
    <x v="7"/>
    <n v="1"/>
    <n v="0.16"/>
    <n v="0"/>
    <n v="0"/>
    <n v="1"/>
    <n v="0.63"/>
    <x v="0"/>
  </r>
  <r>
    <x v="0"/>
    <s v="久慈郡大子町"/>
    <x v="37"/>
    <x v="8"/>
    <n v="18"/>
    <n v="2.93"/>
    <n v="16"/>
    <n v="3.61"/>
    <n v="2"/>
    <n v="1.27"/>
    <x v="0"/>
  </r>
  <r>
    <x v="0"/>
    <s v="久慈郡大子町"/>
    <x v="37"/>
    <x v="9"/>
    <n v="13"/>
    <n v="2.12"/>
    <n v="10"/>
    <n v="2.2599999999999998"/>
    <n v="2"/>
    <n v="1.27"/>
    <x v="0"/>
  </r>
  <r>
    <x v="0"/>
    <s v="久慈郡大子町"/>
    <x v="37"/>
    <x v="10"/>
    <n v="70"/>
    <n v="11.4"/>
    <n v="60"/>
    <n v="13.54"/>
    <n v="10"/>
    <n v="6.33"/>
    <x v="0"/>
  </r>
  <r>
    <x v="0"/>
    <s v="久慈郡大子町"/>
    <x v="37"/>
    <x v="11"/>
    <n v="72"/>
    <n v="11.73"/>
    <n v="62"/>
    <n v="14"/>
    <n v="9"/>
    <n v="5.7"/>
    <x v="0"/>
  </r>
  <r>
    <x v="0"/>
    <s v="久慈郡大子町"/>
    <x v="37"/>
    <x v="12"/>
    <n v="17"/>
    <n v="2.77"/>
    <n v="8"/>
    <n v="1.81"/>
    <n v="1"/>
    <n v="0.63"/>
    <x v="0"/>
  </r>
  <r>
    <x v="0"/>
    <s v="久慈郡大子町"/>
    <x v="37"/>
    <x v="13"/>
    <n v="11"/>
    <n v="1.79"/>
    <n v="8"/>
    <n v="1.81"/>
    <n v="3"/>
    <n v="1.9"/>
    <x v="0"/>
  </r>
  <r>
    <x v="0"/>
    <s v="久慈郡大子町"/>
    <x v="37"/>
    <x v="14"/>
    <n v="21"/>
    <n v="3.42"/>
    <n v="15"/>
    <n v="3.39"/>
    <n v="4"/>
    <n v="2.5299999999999998"/>
    <x v="5"/>
  </r>
  <r>
    <x v="0"/>
    <s v="稲敷郡美浦村"/>
    <x v="38"/>
    <x v="0"/>
    <n v="0"/>
    <n v="0"/>
    <n v="0"/>
    <n v="0"/>
    <n v="0"/>
    <n v="0"/>
    <x v="0"/>
  </r>
  <r>
    <x v="0"/>
    <s v="稲敷郡美浦村"/>
    <x v="38"/>
    <x v="1"/>
    <n v="53"/>
    <n v="17.32"/>
    <n v="19"/>
    <n v="12.5"/>
    <n v="34"/>
    <n v="22.97"/>
    <x v="0"/>
  </r>
  <r>
    <x v="0"/>
    <s v="稲敷郡美浦村"/>
    <x v="38"/>
    <x v="2"/>
    <n v="28"/>
    <n v="9.15"/>
    <n v="13"/>
    <n v="8.5500000000000007"/>
    <n v="15"/>
    <n v="10.14"/>
    <x v="0"/>
  </r>
  <r>
    <x v="0"/>
    <s v="稲敷郡美浦村"/>
    <x v="38"/>
    <x v="3"/>
    <n v="1"/>
    <n v="0.33"/>
    <n v="0"/>
    <n v="0"/>
    <n v="1"/>
    <n v="0.68"/>
    <x v="0"/>
  </r>
  <r>
    <x v="0"/>
    <s v="稲敷郡美浦村"/>
    <x v="38"/>
    <x v="4"/>
    <n v="1"/>
    <n v="0.33"/>
    <n v="0"/>
    <n v="0"/>
    <n v="1"/>
    <n v="0.68"/>
    <x v="0"/>
  </r>
  <r>
    <x v="0"/>
    <s v="稲敷郡美浦村"/>
    <x v="38"/>
    <x v="5"/>
    <n v="5"/>
    <n v="1.63"/>
    <n v="0"/>
    <n v="0"/>
    <n v="5"/>
    <n v="3.38"/>
    <x v="0"/>
  </r>
  <r>
    <x v="0"/>
    <s v="稲敷郡美浦村"/>
    <x v="38"/>
    <x v="6"/>
    <n v="67"/>
    <n v="21.9"/>
    <n v="41"/>
    <n v="26.97"/>
    <n v="26"/>
    <n v="17.57"/>
    <x v="0"/>
  </r>
  <r>
    <x v="0"/>
    <s v="稲敷郡美浦村"/>
    <x v="38"/>
    <x v="7"/>
    <n v="2"/>
    <n v="0.65"/>
    <n v="1"/>
    <n v="0.66"/>
    <n v="1"/>
    <n v="0.68"/>
    <x v="0"/>
  </r>
  <r>
    <x v="0"/>
    <s v="稲敷郡美浦村"/>
    <x v="38"/>
    <x v="8"/>
    <n v="16"/>
    <n v="5.23"/>
    <n v="1"/>
    <n v="0.66"/>
    <n v="15"/>
    <n v="10.14"/>
    <x v="0"/>
  </r>
  <r>
    <x v="0"/>
    <s v="稲敷郡美浦村"/>
    <x v="38"/>
    <x v="9"/>
    <n v="13"/>
    <n v="4.25"/>
    <n v="3"/>
    <n v="1.97"/>
    <n v="10"/>
    <n v="6.76"/>
    <x v="0"/>
  </r>
  <r>
    <x v="0"/>
    <s v="稲敷郡美浦村"/>
    <x v="38"/>
    <x v="10"/>
    <n v="40"/>
    <n v="13.07"/>
    <n v="32"/>
    <n v="21.05"/>
    <n v="8"/>
    <n v="5.41"/>
    <x v="0"/>
  </r>
  <r>
    <x v="0"/>
    <s v="稲敷郡美浦村"/>
    <x v="38"/>
    <x v="11"/>
    <n v="26"/>
    <n v="8.5"/>
    <n v="22"/>
    <n v="14.47"/>
    <n v="3"/>
    <n v="2.0299999999999998"/>
    <x v="1"/>
  </r>
  <r>
    <x v="0"/>
    <s v="稲敷郡美浦村"/>
    <x v="38"/>
    <x v="12"/>
    <n v="8"/>
    <n v="2.61"/>
    <n v="5"/>
    <n v="3.29"/>
    <n v="1"/>
    <n v="0.68"/>
    <x v="0"/>
  </r>
  <r>
    <x v="0"/>
    <s v="稲敷郡美浦村"/>
    <x v="38"/>
    <x v="13"/>
    <n v="18"/>
    <n v="5.88"/>
    <n v="7"/>
    <n v="4.6100000000000003"/>
    <n v="9"/>
    <n v="6.08"/>
    <x v="0"/>
  </r>
  <r>
    <x v="0"/>
    <s v="稲敷郡美浦村"/>
    <x v="38"/>
    <x v="14"/>
    <n v="28"/>
    <n v="9.15"/>
    <n v="8"/>
    <n v="5.26"/>
    <n v="19"/>
    <n v="12.84"/>
    <x v="0"/>
  </r>
  <r>
    <x v="0"/>
    <s v="稲敷郡阿見町"/>
    <x v="39"/>
    <x v="0"/>
    <n v="0"/>
    <n v="0"/>
    <n v="0"/>
    <n v="0"/>
    <n v="0"/>
    <n v="0"/>
    <x v="0"/>
  </r>
  <r>
    <x v="0"/>
    <s v="稲敷郡阿見町"/>
    <x v="39"/>
    <x v="1"/>
    <n v="144"/>
    <n v="18.07"/>
    <n v="54"/>
    <n v="13.92"/>
    <n v="90"/>
    <n v="22.44"/>
    <x v="0"/>
  </r>
  <r>
    <x v="0"/>
    <s v="稲敷郡阿見町"/>
    <x v="39"/>
    <x v="2"/>
    <n v="56"/>
    <n v="7.03"/>
    <n v="10"/>
    <n v="2.58"/>
    <n v="46"/>
    <n v="11.47"/>
    <x v="0"/>
  </r>
  <r>
    <x v="0"/>
    <s v="稲敷郡阿見町"/>
    <x v="39"/>
    <x v="3"/>
    <n v="3"/>
    <n v="0.38"/>
    <n v="0"/>
    <n v="0"/>
    <n v="3"/>
    <n v="0.75"/>
    <x v="0"/>
  </r>
  <r>
    <x v="0"/>
    <s v="稲敷郡阿見町"/>
    <x v="39"/>
    <x v="4"/>
    <n v="8"/>
    <n v="1"/>
    <n v="0"/>
    <n v="0"/>
    <n v="8"/>
    <n v="2"/>
    <x v="0"/>
  </r>
  <r>
    <x v="0"/>
    <s v="稲敷郡阿見町"/>
    <x v="39"/>
    <x v="5"/>
    <n v="9"/>
    <n v="1.1299999999999999"/>
    <n v="1"/>
    <n v="0.26"/>
    <n v="7"/>
    <n v="1.75"/>
    <x v="0"/>
  </r>
  <r>
    <x v="0"/>
    <s v="稲敷郡阿見町"/>
    <x v="39"/>
    <x v="6"/>
    <n v="171"/>
    <n v="21.46"/>
    <n v="60"/>
    <n v="15.46"/>
    <n v="111"/>
    <n v="27.68"/>
    <x v="0"/>
  </r>
  <r>
    <x v="0"/>
    <s v="稲敷郡阿見町"/>
    <x v="39"/>
    <x v="7"/>
    <n v="2"/>
    <n v="0.25"/>
    <n v="0"/>
    <n v="0"/>
    <n v="2"/>
    <n v="0.5"/>
    <x v="0"/>
  </r>
  <r>
    <x v="0"/>
    <s v="稲敷郡阿見町"/>
    <x v="39"/>
    <x v="8"/>
    <n v="41"/>
    <n v="5.14"/>
    <n v="9"/>
    <n v="2.3199999999999998"/>
    <n v="31"/>
    <n v="7.73"/>
    <x v="0"/>
  </r>
  <r>
    <x v="0"/>
    <s v="稲敷郡阿見町"/>
    <x v="39"/>
    <x v="9"/>
    <n v="29"/>
    <n v="3.64"/>
    <n v="8"/>
    <n v="2.06"/>
    <n v="21"/>
    <n v="5.24"/>
    <x v="0"/>
  </r>
  <r>
    <x v="0"/>
    <s v="稲敷郡阿見町"/>
    <x v="39"/>
    <x v="10"/>
    <n v="86"/>
    <n v="10.79"/>
    <n v="71"/>
    <n v="18.3"/>
    <n v="15"/>
    <n v="3.74"/>
    <x v="0"/>
  </r>
  <r>
    <x v="0"/>
    <s v="稲敷郡阿見町"/>
    <x v="39"/>
    <x v="11"/>
    <n v="121"/>
    <n v="15.18"/>
    <n v="99"/>
    <n v="25.52"/>
    <n v="22"/>
    <n v="5.49"/>
    <x v="0"/>
  </r>
  <r>
    <x v="0"/>
    <s v="稲敷郡阿見町"/>
    <x v="39"/>
    <x v="12"/>
    <n v="23"/>
    <n v="2.89"/>
    <n v="18"/>
    <n v="4.6399999999999997"/>
    <n v="4"/>
    <n v="1"/>
    <x v="0"/>
  </r>
  <r>
    <x v="0"/>
    <s v="稲敷郡阿見町"/>
    <x v="39"/>
    <x v="13"/>
    <n v="45"/>
    <n v="5.65"/>
    <n v="32"/>
    <n v="8.25"/>
    <n v="9"/>
    <n v="2.2400000000000002"/>
    <x v="0"/>
  </r>
  <r>
    <x v="0"/>
    <s v="稲敷郡阿見町"/>
    <x v="39"/>
    <x v="14"/>
    <n v="59"/>
    <n v="7.4"/>
    <n v="26"/>
    <n v="6.7"/>
    <n v="32"/>
    <n v="7.98"/>
    <x v="0"/>
  </r>
  <r>
    <x v="0"/>
    <s v="稲敷郡河内町"/>
    <x v="40"/>
    <x v="0"/>
    <n v="0"/>
    <n v="0"/>
    <n v="0"/>
    <n v="0"/>
    <n v="0"/>
    <n v="0"/>
    <x v="0"/>
  </r>
  <r>
    <x v="0"/>
    <s v="稲敷郡河内町"/>
    <x v="40"/>
    <x v="1"/>
    <n v="55"/>
    <n v="26.19"/>
    <n v="28"/>
    <n v="22.4"/>
    <n v="27"/>
    <n v="33.75"/>
    <x v="0"/>
  </r>
  <r>
    <x v="0"/>
    <s v="稲敷郡河内町"/>
    <x v="40"/>
    <x v="2"/>
    <n v="32"/>
    <n v="15.24"/>
    <n v="9"/>
    <n v="7.2"/>
    <n v="23"/>
    <n v="28.75"/>
    <x v="0"/>
  </r>
  <r>
    <x v="0"/>
    <s v="稲敷郡河内町"/>
    <x v="40"/>
    <x v="3"/>
    <n v="0"/>
    <n v="0"/>
    <n v="0"/>
    <n v="0"/>
    <n v="0"/>
    <n v="0"/>
    <x v="0"/>
  </r>
  <r>
    <x v="0"/>
    <s v="稲敷郡河内町"/>
    <x v="40"/>
    <x v="4"/>
    <n v="1"/>
    <n v="0.48"/>
    <n v="0"/>
    <n v="0"/>
    <n v="1"/>
    <n v="1.25"/>
    <x v="0"/>
  </r>
  <r>
    <x v="0"/>
    <s v="稲敷郡河内町"/>
    <x v="40"/>
    <x v="5"/>
    <n v="3"/>
    <n v="1.43"/>
    <n v="2"/>
    <n v="1.6"/>
    <n v="1"/>
    <n v="1.25"/>
    <x v="0"/>
  </r>
  <r>
    <x v="0"/>
    <s v="稲敷郡河内町"/>
    <x v="40"/>
    <x v="6"/>
    <n v="52"/>
    <n v="24.76"/>
    <n v="34"/>
    <n v="27.2"/>
    <n v="18"/>
    <n v="22.5"/>
    <x v="0"/>
  </r>
  <r>
    <x v="0"/>
    <s v="稲敷郡河内町"/>
    <x v="40"/>
    <x v="7"/>
    <n v="1"/>
    <n v="0.48"/>
    <n v="0"/>
    <n v="0"/>
    <n v="1"/>
    <n v="1.25"/>
    <x v="0"/>
  </r>
  <r>
    <x v="0"/>
    <s v="稲敷郡河内町"/>
    <x v="40"/>
    <x v="8"/>
    <n v="4"/>
    <n v="1.9"/>
    <n v="1"/>
    <n v="0.8"/>
    <n v="3"/>
    <n v="3.75"/>
    <x v="0"/>
  </r>
  <r>
    <x v="0"/>
    <s v="稲敷郡河内町"/>
    <x v="40"/>
    <x v="9"/>
    <n v="4"/>
    <n v="1.9"/>
    <n v="3"/>
    <n v="2.4"/>
    <n v="0"/>
    <n v="0"/>
    <x v="0"/>
  </r>
  <r>
    <x v="0"/>
    <s v="稲敷郡河内町"/>
    <x v="40"/>
    <x v="10"/>
    <n v="11"/>
    <n v="5.24"/>
    <n v="9"/>
    <n v="7.2"/>
    <n v="2"/>
    <n v="2.5"/>
    <x v="0"/>
  </r>
  <r>
    <x v="0"/>
    <s v="稲敷郡河内町"/>
    <x v="40"/>
    <x v="11"/>
    <n v="24"/>
    <n v="11.43"/>
    <n v="23"/>
    <n v="18.399999999999999"/>
    <n v="0"/>
    <n v="0"/>
    <x v="1"/>
  </r>
  <r>
    <x v="0"/>
    <s v="稲敷郡河内町"/>
    <x v="40"/>
    <x v="12"/>
    <n v="2"/>
    <n v="0.95"/>
    <n v="2"/>
    <n v="1.6"/>
    <n v="0"/>
    <n v="0"/>
    <x v="0"/>
  </r>
  <r>
    <x v="0"/>
    <s v="稲敷郡河内町"/>
    <x v="40"/>
    <x v="13"/>
    <n v="7"/>
    <n v="3.33"/>
    <n v="3"/>
    <n v="2.4"/>
    <n v="2"/>
    <n v="2.5"/>
    <x v="0"/>
  </r>
  <r>
    <x v="0"/>
    <s v="稲敷郡河内町"/>
    <x v="40"/>
    <x v="14"/>
    <n v="14"/>
    <n v="6.67"/>
    <n v="11"/>
    <n v="8.8000000000000007"/>
    <n v="2"/>
    <n v="2.5"/>
    <x v="0"/>
  </r>
  <r>
    <x v="0"/>
    <s v="結城郡八千代町"/>
    <x v="41"/>
    <x v="0"/>
    <n v="0"/>
    <n v="0"/>
    <n v="0"/>
    <n v="0"/>
    <n v="0"/>
    <n v="0"/>
    <x v="0"/>
  </r>
  <r>
    <x v="0"/>
    <s v="結城郡八千代町"/>
    <x v="41"/>
    <x v="1"/>
    <n v="189"/>
    <n v="32.25"/>
    <n v="103"/>
    <n v="29.34"/>
    <n v="86"/>
    <n v="37.07"/>
    <x v="0"/>
  </r>
  <r>
    <x v="0"/>
    <s v="結城郡八千代町"/>
    <x v="41"/>
    <x v="2"/>
    <n v="85"/>
    <n v="14.51"/>
    <n v="42"/>
    <n v="11.97"/>
    <n v="43"/>
    <n v="18.53"/>
    <x v="0"/>
  </r>
  <r>
    <x v="0"/>
    <s v="結城郡八千代町"/>
    <x v="41"/>
    <x v="3"/>
    <n v="1"/>
    <n v="0.17"/>
    <n v="0"/>
    <n v="0"/>
    <n v="1"/>
    <n v="0.43"/>
    <x v="0"/>
  </r>
  <r>
    <x v="0"/>
    <s v="結城郡八千代町"/>
    <x v="41"/>
    <x v="4"/>
    <n v="1"/>
    <n v="0.17"/>
    <n v="0"/>
    <n v="0"/>
    <n v="1"/>
    <n v="0.43"/>
    <x v="0"/>
  </r>
  <r>
    <x v="0"/>
    <s v="結城郡八千代町"/>
    <x v="41"/>
    <x v="5"/>
    <n v="9"/>
    <n v="1.54"/>
    <n v="3"/>
    <n v="0.85"/>
    <n v="6"/>
    <n v="2.59"/>
    <x v="0"/>
  </r>
  <r>
    <x v="0"/>
    <s v="結城郡八千代町"/>
    <x v="41"/>
    <x v="6"/>
    <n v="123"/>
    <n v="20.99"/>
    <n v="69"/>
    <n v="19.66"/>
    <n v="54"/>
    <n v="23.28"/>
    <x v="0"/>
  </r>
  <r>
    <x v="0"/>
    <s v="結城郡八千代町"/>
    <x v="41"/>
    <x v="7"/>
    <n v="1"/>
    <n v="0.17"/>
    <n v="0"/>
    <n v="0"/>
    <n v="1"/>
    <n v="0.43"/>
    <x v="0"/>
  </r>
  <r>
    <x v="0"/>
    <s v="結城郡八千代町"/>
    <x v="41"/>
    <x v="8"/>
    <n v="11"/>
    <n v="1.88"/>
    <n v="2"/>
    <n v="0.56999999999999995"/>
    <n v="9"/>
    <n v="3.88"/>
    <x v="0"/>
  </r>
  <r>
    <x v="0"/>
    <s v="結城郡八千代町"/>
    <x v="41"/>
    <x v="9"/>
    <n v="17"/>
    <n v="2.9"/>
    <n v="11"/>
    <n v="3.13"/>
    <n v="6"/>
    <n v="2.59"/>
    <x v="0"/>
  </r>
  <r>
    <x v="0"/>
    <s v="結城郡八千代町"/>
    <x v="41"/>
    <x v="10"/>
    <n v="34"/>
    <n v="5.8"/>
    <n v="29"/>
    <n v="8.26"/>
    <n v="5"/>
    <n v="2.16"/>
    <x v="0"/>
  </r>
  <r>
    <x v="0"/>
    <s v="結城郡八千代町"/>
    <x v="41"/>
    <x v="11"/>
    <n v="57"/>
    <n v="9.73"/>
    <n v="49"/>
    <n v="13.96"/>
    <n v="7"/>
    <n v="3.02"/>
    <x v="0"/>
  </r>
  <r>
    <x v="0"/>
    <s v="結城郡八千代町"/>
    <x v="41"/>
    <x v="12"/>
    <n v="9"/>
    <n v="1.54"/>
    <n v="7"/>
    <n v="1.99"/>
    <n v="1"/>
    <n v="0.43"/>
    <x v="0"/>
  </r>
  <r>
    <x v="0"/>
    <s v="結城郡八千代町"/>
    <x v="41"/>
    <x v="13"/>
    <n v="14"/>
    <n v="2.39"/>
    <n v="12"/>
    <n v="3.42"/>
    <n v="2"/>
    <n v="0.86"/>
    <x v="0"/>
  </r>
  <r>
    <x v="0"/>
    <s v="結城郡八千代町"/>
    <x v="41"/>
    <x v="14"/>
    <n v="35"/>
    <n v="5.97"/>
    <n v="24"/>
    <n v="6.84"/>
    <n v="10"/>
    <n v="4.3099999999999996"/>
    <x v="0"/>
  </r>
  <r>
    <x v="0"/>
    <s v="猿島郡五霞町"/>
    <x v="42"/>
    <x v="0"/>
    <n v="0"/>
    <n v="0"/>
    <n v="0"/>
    <n v="0"/>
    <n v="0"/>
    <n v="0"/>
    <x v="0"/>
  </r>
  <r>
    <x v="0"/>
    <s v="猿島郡五霞町"/>
    <x v="42"/>
    <x v="1"/>
    <n v="87"/>
    <n v="37.659999999999997"/>
    <n v="36"/>
    <n v="34.950000000000003"/>
    <n v="51"/>
    <n v="41.46"/>
    <x v="0"/>
  </r>
  <r>
    <x v="0"/>
    <s v="猿島郡五霞町"/>
    <x v="42"/>
    <x v="2"/>
    <n v="24"/>
    <n v="10.39"/>
    <n v="9"/>
    <n v="8.74"/>
    <n v="15"/>
    <n v="12.2"/>
    <x v="0"/>
  </r>
  <r>
    <x v="0"/>
    <s v="猿島郡五霞町"/>
    <x v="42"/>
    <x v="3"/>
    <n v="2"/>
    <n v="0.87"/>
    <n v="0"/>
    <n v="0"/>
    <n v="1"/>
    <n v="0.81"/>
    <x v="0"/>
  </r>
  <r>
    <x v="0"/>
    <s v="猿島郡五霞町"/>
    <x v="42"/>
    <x v="4"/>
    <n v="0"/>
    <n v="0"/>
    <n v="0"/>
    <n v="0"/>
    <n v="0"/>
    <n v="0"/>
    <x v="0"/>
  </r>
  <r>
    <x v="0"/>
    <s v="猿島郡五霞町"/>
    <x v="42"/>
    <x v="5"/>
    <n v="8"/>
    <n v="3.46"/>
    <n v="1"/>
    <n v="0.97"/>
    <n v="7"/>
    <n v="5.69"/>
    <x v="0"/>
  </r>
  <r>
    <x v="0"/>
    <s v="猿島郡五霞町"/>
    <x v="42"/>
    <x v="6"/>
    <n v="32"/>
    <n v="13.85"/>
    <n v="12"/>
    <n v="11.65"/>
    <n v="20"/>
    <n v="16.260000000000002"/>
    <x v="0"/>
  </r>
  <r>
    <x v="0"/>
    <s v="猿島郡五霞町"/>
    <x v="42"/>
    <x v="7"/>
    <n v="0"/>
    <n v="0"/>
    <n v="0"/>
    <n v="0"/>
    <n v="0"/>
    <n v="0"/>
    <x v="0"/>
  </r>
  <r>
    <x v="0"/>
    <s v="猿島郡五霞町"/>
    <x v="42"/>
    <x v="8"/>
    <n v="8"/>
    <n v="3.46"/>
    <n v="1"/>
    <n v="0.97"/>
    <n v="7"/>
    <n v="5.69"/>
    <x v="0"/>
  </r>
  <r>
    <x v="0"/>
    <s v="猿島郡五霞町"/>
    <x v="42"/>
    <x v="9"/>
    <n v="11"/>
    <n v="4.76"/>
    <n v="4"/>
    <n v="3.88"/>
    <n v="7"/>
    <n v="5.69"/>
    <x v="0"/>
  </r>
  <r>
    <x v="0"/>
    <s v="猿島郡五霞町"/>
    <x v="42"/>
    <x v="10"/>
    <n v="17"/>
    <n v="7.36"/>
    <n v="12"/>
    <n v="11.65"/>
    <n v="5"/>
    <n v="4.07"/>
    <x v="0"/>
  </r>
  <r>
    <x v="0"/>
    <s v="猿島郡五霞町"/>
    <x v="42"/>
    <x v="11"/>
    <n v="18"/>
    <n v="7.79"/>
    <n v="16"/>
    <n v="15.53"/>
    <n v="1"/>
    <n v="0.81"/>
    <x v="0"/>
  </r>
  <r>
    <x v="0"/>
    <s v="猿島郡五霞町"/>
    <x v="42"/>
    <x v="12"/>
    <n v="6"/>
    <n v="2.6"/>
    <n v="5"/>
    <n v="4.8499999999999996"/>
    <n v="1"/>
    <n v="0.81"/>
    <x v="0"/>
  </r>
  <r>
    <x v="0"/>
    <s v="猿島郡五霞町"/>
    <x v="42"/>
    <x v="13"/>
    <n v="10"/>
    <n v="4.33"/>
    <n v="3"/>
    <n v="2.91"/>
    <n v="4"/>
    <n v="3.25"/>
    <x v="0"/>
  </r>
  <r>
    <x v="0"/>
    <s v="猿島郡五霞町"/>
    <x v="42"/>
    <x v="14"/>
    <n v="8"/>
    <n v="3.46"/>
    <n v="4"/>
    <n v="3.88"/>
    <n v="4"/>
    <n v="3.25"/>
    <x v="0"/>
  </r>
  <r>
    <x v="0"/>
    <s v="猿島郡境町"/>
    <x v="43"/>
    <x v="0"/>
    <n v="0"/>
    <n v="0"/>
    <n v="0"/>
    <n v="0"/>
    <n v="0"/>
    <n v="0"/>
    <x v="0"/>
  </r>
  <r>
    <x v="0"/>
    <s v="猿島郡境町"/>
    <x v="43"/>
    <x v="1"/>
    <n v="170"/>
    <n v="20.36"/>
    <n v="93"/>
    <n v="18.38"/>
    <n v="77"/>
    <n v="23.77"/>
    <x v="0"/>
  </r>
  <r>
    <x v="0"/>
    <s v="猿島郡境町"/>
    <x v="43"/>
    <x v="2"/>
    <n v="125"/>
    <n v="14.97"/>
    <n v="56"/>
    <n v="11.07"/>
    <n v="68"/>
    <n v="20.99"/>
    <x v="1"/>
  </r>
  <r>
    <x v="0"/>
    <s v="猿島郡境町"/>
    <x v="43"/>
    <x v="3"/>
    <n v="1"/>
    <n v="0.12"/>
    <n v="0"/>
    <n v="0"/>
    <n v="1"/>
    <n v="0.31"/>
    <x v="0"/>
  </r>
  <r>
    <x v="0"/>
    <s v="猿島郡境町"/>
    <x v="43"/>
    <x v="4"/>
    <n v="2"/>
    <n v="0.24"/>
    <n v="0"/>
    <n v="0"/>
    <n v="2"/>
    <n v="0.62"/>
    <x v="0"/>
  </r>
  <r>
    <x v="0"/>
    <s v="猿島郡境町"/>
    <x v="43"/>
    <x v="5"/>
    <n v="10"/>
    <n v="1.2"/>
    <n v="3"/>
    <n v="0.59"/>
    <n v="7"/>
    <n v="2.16"/>
    <x v="0"/>
  </r>
  <r>
    <x v="0"/>
    <s v="猿島郡境町"/>
    <x v="43"/>
    <x v="6"/>
    <n v="209"/>
    <n v="25.03"/>
    <n v="136"/>
    <n v="26.88"/>
    <n v="73"/>
    <n v="22.53"/>
    <x v="0"/>
  </r>
  <r>
    <x v="0"/>
    <s v="猿島郡境町"/>
    <x v="43"/>
    <x v="7"/>
    <n v="2"/>
    <n v="0.24"/>
    <n v="0"/>
    <n v="0"/>
    <n v="2"/>
    <n v="0.62"/>
    <x v="0"/>
  </r>
  <r>
    <x v="0"/>
    <s v="猿島郡境町"/>
    <x v="43"/>
    <x v="8"/>
    <n v="45"/>
    <n v="5.39"/>
    <n v="29"/>
    <n v="5.73"/>
    <n v="16"/>
    <n v="4.9400000000000004"/>
    <x v="0"/>
  </r>
  <r>
    <x v="0"/>
    <s v="猿島郡境町"/>
    <x v="43"/>
    <x v="9"/>
    <n v="16"/>
    <n v="1.92"/>
    <n v="11"/>
    <n v="2.17"/>
    <n v="5"/>
    <n v="1.54"/>
    <x v="0"/>
  </r>
  <r>
    <x v="0"/>
    <s v="猿島郡境町"/>
    <x v="43"/>
    <x v="10"/>
    <n v="84"/>
    <n v="10.06"/>
    <n v="64"/>
    <n v="12.65"/>
    <n v="20"/>
    <n v="6.17"/>
    <x v="0"/>
  </r>
  <r>
    <x v="0"/>
    <s v="猿島郡境町"/>
    <x v="43"/>
    <x v="11"/>
    <n v="94"/>
    <n v="11.26"/>
    <n v="69"/>
    <n v="13.64"/>
    <n v="24"/>
    <n v="7.41"/>
    <x v="0"/>
  </r>
  <r>
    <x v="0"/>
    <s v="猿島郡境町"/>
    <x v="43"/>
    <x v="12"/>
    <n v="9"/>
    <n v="1.08"/>
    <n v="5"/>
    <n v="0.99"/>
    <n v="3"/>
    <n v="0.93"/>
    <x v="0"/>
  </r>
  <r>
    <x v="0"/>
    <s v="猿島郡境町"/>
    <x v="43"/>
    <x v="13"/>
    <n v="24"/>
    <n v="2.87"/>
    <n v="21"/>
    <n v="4.1500000000000004"/>
    <n v="3"/>
    <n v="0.93"/>
    <x v="0"/>
  </r>
  <r>
    <x v="0"/>
    <s v="猿島郡境町"/>
    <x v="43"/>
    <x v="14"/>
    <n v="44"/>
    <n v="5.27"/>
    <n v="19"/>
    <n v="3.75"/>
    <n v="23"/>
    <n v="7.1"/>
    <x v="1"/>
  </r>
  <r>
    <x v="0"/>
    <s v="北相馬郡利根町"/>
    <x v="44"/>
    <x v="0"/>
    <n v="0"/>
    <n v="0"/>
    <n v="0"/>
    <n v="0"/>
    <n v="0"/>
    <n v="0"/>
    <x v="0"/>
  </r>
  <r>
    <x v="0"/>
    <s v="北相馬郡利根町"/>
    <x v="44"/>
    <x v="1"/>
    <n v="56"/>
    <n v="21.79"/>
    <n v="16"/>
    <n v="11.68"/>
    <n v="40"/>
    <n v="34.78"/>
    <x v="0"/>
  </r>
  <r>
    <x v="0"/>
    <s v="北相馬郡利根町"/>
    <x v="44"/>
    <x v="2"/>
    <n v="10"/>
    <n v="3.89"/>
    <n v="3"/>
    <n v="2.19"/>
    <n v="7"/>
    <n v="6.09"/>
    <x v="0"/>
  </r>
  <r>
    <x v="0"/>
    <s v="北相馬郡利根町"/>
    <x v="44"/>
    <x v="3"/>
    <n v="1"/>
    <n v="0.39"/>
    <n v="0"/>
    <n v="0"/>
    <n v="0"/>
    <n v="0"/>
    <x v="0"/>
  </r>
  <r>
    <x v="0"/>
    <s v="北相馬郡利根町"/>
    <x v="44"/>
    <x v="4"/>
    <n v="7"/>
    <n v="2.72"/>
    <n v="0"/>
    <n v="0"/>
    <n v="7"/>
    <n v="6.09"/>
    <x v="0"/>
  </r>
  <r>
    <x v="0"/>
    <s v="北相馬郡利根町"/>
    <x v="44"/>
    <x v="5"/>
    <n v="4"/>
    <n v="1.56"/>
    <n v="2"/>
    <n v="1.46"/>
    <n v="2"/>
    <n v="1.74"/>
    <x v="0"/>
  </r>
  <r>
    <x v="0"/>
    <s v="北相馬郡利根町"/>
    <x v="44"/>
    <x v="6"/>
    <n v="67"/>
    <n v="26.07"/>
    <n v="34"/>
    <n v="24.82"/>
    <n v="33"/>
    <n v="28.7"/>
    <x v="0"/>
  </r>
  <r>
    <x v="0"/>
    <s v="北相馬郡利根町"/>
    <x v="44"/>
    <x v="7"/>
    <n v="0"/>
    <n v="0"/>
    <n v="0"/>
    <n v="0"/>
    <n v="0"/>
    <n v="0"/>
    <x v="0"/>
  </r>
  <r>
    <x v="0"/>
    <s v="北相馬郡利根町"/>
    <x v="44"/>
    <x v="8"/>
    <n v="9"/>
    <n v="3.5"/>
    <n v="3"/>
    <n v="2.19"/>
    <n v="6"/>
    <n v="5.22"/>
    <x v="0"/>
  </r>
  <r>
    <x v="0"/>
    <s v="北相馬郡利根町"/>
    <x v="44"/>
    <x v="9"/>
    <n v="15"/>
    <n v="5.84"/>
    <n v="10"/>
    <n v="7.3"/>
    <n v="5"/>
    <n v="4.3499999999999996"/>
    <x v="0"/>
  </r>
  <r>
    <x v="0"/>
    <s v="北相馬郡利根町"/>
    <x v="44"/>
    <x v="10"/>
    <n v="19"/>
    <n v="7.39"/>
    <n v="18"/>
    <n v="13.14"/>
    <n v="1"/>
    <n v="0.87"/>
    <x v="0"/>
  </r>
  <r>
    <x v="0"/>
    <s v="北相馬郡利根町"/>
    <x v="44"/>
    <x v="11"/>
    <n v="33"/>
    <n v="12.84"/>
    <n v="31"/>
    <n v="22.63"/>
    <n v="2"/>
    <n v="1.74"/>
    <x v="0"/>
  </r>
  <r>
    <x v="0"/>
    <s v="北相馬郡利根町"/>
    <x v="44"/>
    <x v="12"/>
    <n v="9"/>
    <n v="3.5"/>
    <n v="7"/>
    <n v="5.1100000000000003"/>
    <n v="0"/>
    <n v="0"/>
    <x v="0"/>
  </r>
  <r>
    <x v="0"/>
    <s v="北相馬郡利根町"/>
    <x v="44"/>
    <x v="13"/>
    <n v="11"/>
    <n v="4.28"/>
    <n v="7"/>
    <n v="5.1100000000000003"/>
    <n v="4"/>
    <n v="3.48"/>
    <x v="0"/>
  </r>
  <r>
    <x v="0"/>
    <s v="北相馬郡利根町"/>
    <x v="44"/>
    <x v="14"/>
    <n v="16"/>
    <n v="6.23"/>
    <n v="6"/>
    <n v="4.38"/>
    <n v="8"/>
    <n v="6.9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3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5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2"/>
  </r>
  <r>
    <x v="0"/>
    <x v="0"/>
    <x v="0"/>
    <x v="19"/>
    <x v="19"/>
    <x v="19"/>
    <x v="19"/>
    <x v="19"/>
    <x v="19"/>
    <x v="19"/>
    <x v="19"/>
    <x v="19"/>
    <x v="19"/>
    <x v="0"/>
  </r>
  <r>
    <x v="0"/>
    <x v="1"/>
    <x v="1"/>
    <x v="0"/>
    <x v="0"/>
    <x v="0"/>
    <x v="0"/>
    <x v="20"/>
    <x v="20"/>
    <x v="20"/>
    <x v="20"/>
    <x v="20"/>
    <x v="20"/>
    <x v="0"/>
  </r>
  <r>
    <x v="0"/>
    <x v="1"/>
    <x v="1"/>
    <x v="1"/>
    <x v="1"/>
    <x v="1"/>
    <x v="1"/>
    <x v="21"/>
    <x v="21"/>
    <x v="21"/>
    <x v="21"/>
    <x v="21"/>
    <x v="21"/>
    <x v="0"/>
  </r>
  <r>
    <x v="0"/>
    <x v="1"/>
    <x v="1"/>
    <x v="5"/>
    <x v="5"/>
    <x v="5"/>
    <x v="2"/>
    <x v="22"/>
    <x v="22"/>
    <x v="22"/>
    <x v="22"/>
    <x v="22"/>
    <x v="22"/>
    <x v="2"/>
  </r>
  <r>
    <x v="0"/>
    <x v="1"/>
    <x v="1"/>
    <x v="3"/>
    <x v="3"/>
    <x v="3"/>
    <x v="3"/>
    <x v="23"/>
    <x v="23"/>
    <x v="23"/>
    <x v="23"/>
    <x v="23"/>
    <x v="23"/>
    <x v="2"/>
  </r>
  <r>
    <x v="0"/>
    <x v="1"/>
    <x v="1"/>
    <x v="2"/>
    <x v="2"/>
    <x v="2"/>
    <x v="4"/>
    <x v="24"/>
    <x v="24"/>
    <x v="24"/>
    <x v="24"/>
    <x v="24"/>
    <x v="24"/>
    <x v="0"/>
  </r>
  <r>
    <x v="0"/>
    <x v="1"/>
    <x v="1"/>
    <x v="4"/>
    <x v="4"/>
    <x v="4"/>
    <x v="5"/>
    <x v="25"/>
    <x v="25"/>
    <x v="25"/>
    <x v="25"/>
    <x v="25"/>
    <x v="25"/>
    <x v="2"/>
  </r>
  <r>
    <x v="0"/>
    <x v="1"/>
    <x v="1"/>
    <x v="6"/>
    <x v="6"/>
    <x v="6"/>
    <x v="6"/>
    <x v="26"/>
    <x v="26"/>
    <x v="26"/>
    <x v="26"/>
    <x v="26"/>
    <x v="26"/>
    <x v="0"/>
  </r>
  <r>
    <x v="0"/>
    <x v="1"/>
    <x v="1"/>
    <x v="9"/>
    <x v="9"/>
    <x v="9"/>
    <x v="7"/>
    <x v="27"/>
    <x v="27"/>
    <x v="26"/>
    <x v="26"/>
    <x v="27"/>
    <x v="27"/>
    <x v="2"/>
  </r>
  <r>
    <x v="0"/>
    <x v="1"/>
    <x v="1"/>
    <x v="13"/>
    <x v="13"/>
    <x v="13"/>
    <x v="8"/>
    <x v="28"/>
    <x v="28"/>
    <x v="27"/>
    <x v="27"/>
    <x v="28"/>
    <x v="28"/>
    <x v="0"/>
  </r>
  <r>
    <x v="0"/>
    <x v="1"/>
    <x v="1"/>
    <x v="10"/>
    <x v="10"/>
    <x v="10"/>
    <x v="9"/>
    <x v="29"/>
    <x v="29"/>
    <x v="28"/>
    <x v="28"/>
    <x v="29"/>
    <x v="29"/>
    <x v="0"/>
  </r>
  <r>
    <x v="0"/>
    <x v="1"/>
    <x v="1"/>
    <x v="7"/>
    <x v="7"/>
    <x v="7"/>
    <x v="10"/>
    <x v="30"/>
    <x v="30"/>
    <x v="29"/>
    <x v="29"/>
    <x v="30"/>
    <x v="30"/>
    <x v="0"/>
  </r>
  <r>
    <x v="0"/>
    <x v="1"/>
    <x v="1"/>
    <x v="12"/>
    <x v="12"/>
    <x v="12"/>
    <x v="11"/>
    <x v="31"/>
    <x v="31"/>
    <x v="30"/>
    <x v="30"/>
    <x v="31"/>
    <x v="31"/>
    <x v="0"/>
  </r>
  <r>
    <x v="0"/>
    <x v="1"/>
    <x v="1"/>
    <x v="8"/>
    <x v="8"/>
    <x v="8"/>
    <x v="12"/>
    <x v="32"/>
    <x v="32"/>
    <x v="31"/>
    <x v="31"/>
    <x v="32"/>
    <x v="32"/>
    <x v="0"/>
  </r>
  <r>
    <x v="0"/>
    <x v="1"/>
    <x v="1"/>
    <x v="14"/>
    <x v="14"/>
    <x v="14"/>
    <x v="13"/>
    <x v="33"/>
    <x v="33"/>
    <x v="32"/>
    <x v="32"/>
    <x v="33"/>
    <x v="33"/>
    <x v="0"/>
  </r>
  <r>
    <x v="0"/>
    <x v="1"/>
    <x v="1"/>
    <x v="11"/>
    <x v="11"/>
    <x v="11"/>
    <x v="14"/>
    <x v="34"/>
    <x v="34"/>
    <x v="33"/>
    <x v="33"/>
    <x v="34"/>
    <x v="34"/>
    <x v="0"/>
  </r>
  <r>
    <x v="0"/>
    <x v="1"/>
    <x v="1"/>
    <x v="16"/>
    <x v="16"/>
    <x v="16"/>
    <x v="15"/>
    <x v="35"/>
    <x v="35"/>
    <x v="34"/>
    <x v="34"/>
    <x v="35"/>
    <x v="35"/>
    <x v="0"/>
  </r>
  <r>
    <x v="0"/>
    <x v="1"/>
    <x v="1"/>
    <x v="19"/>
    <x v="19"/>
    <x v="19"/>
    <x v="16"/>
    <x v="36"/>
    <x v="36"/>
    <x v="35"/>
    <x v="35"/>
    <x v="36"/>
    <x v="36"/>
    <x v="0"/>
  </r>
  <r>
    <x v="0"/>
    <x v="1"/>
    <x v="1"/>
    <x v="20"/>
    <x v="20"/>
    <x v="20"/>
    <x v="17"/>
    <x v="37"/>
    <x v="37"/>
    <x v="36"/>
    <x v="36"/>
    <x v="37"/>
    <x v="6"/>
    <x v="0"/>
  </r>
  <r>
    <x v="0"/>
    <x v="1"/>
    <x v="1"/>
    <x v="15"/>
    <x v="15"/>
    <x v="15"/>
    <x v="18"/>
    <x v="38"/>
    <x v="38"/>
    <x v="37"/>
    <x v="37"/>
    <x v="38"/>
    <x v="37"/>
    <x v="0"/>
  </r>
  <r>
    <x v="0"/>
    <x v="1"/>
    <x v="1"/>
    <x v="21"/>
    <x v="21"/>
    <x v="21"/>
    <x v="19"/>
    <x v="39"/>
    <x v="39"/>
    <x v="34"/>
    <x v="34"/>
    <x v="39"/>
    <x v="38"/>
    <x v="2"/>
  </r>
  <r>
    <x v="0"/>
    <x v="2"/>
    <x v="2"/>
    <x v="0"/>
    <x v="0"/>
    <x v="0"/>
    <x v="0"/>
    <x v="40"/>
    <x v="40"/>
    <x v="38"/>
    <x v="38"/>
    <x v="40"/>
    <x v="39"/>
    <x v="0"/>
  </r>
  <r>
    <x v="0"/>
    <x v="2"/>
    <x v="2"/>
    <x v="1"/>
    <x v="1"/>
    <x v="1"/>
    <x v="1"/>
    <x v="41"/>
    <x v="41"/>
    <x v="39"/>
    <x v="39"/>
    <x v="41"/>
    <x v="40"/>
    <x v="0"/>
  </r>
  <r>
    <x v="0"/>
    <x v="2"/>
    <x v="2"/>
    <x v="3"/>
    <x v="3"/>
    <x v="3"/>
    <x v="2"/>
    <x v="42"/>
    <x v="42"/>
    <x v="40"/>
    <x v="40"/>
    <x v="42"/>
    <x v="41"/>
    <x v="0"/>
  </r>
  <r>
    <x v="0"/>
    <x v="2"/>
    <x v="2"/>
    <x v="5"/>
    <x v="5"/>
    <x v="5"/>
    <x v="3"/>
    <x v="43"/>
    <x v="43"/>
    <x v="41"/>
    <x v="41"/>
    <x v="43"/>
    <x v="42"/>
    <x v="0"/>
  </r>
  <r>
    <x v="0"/>
    <x v="2"/>
    <x v="2"/>
    <x v="2"/>
    <x v="2"/>
    <x v="2"/>
    <x v="4"/>
    <x v="44"/>
    <x v="44"/>
    <x v="42"/>
    <x v="42"/>
    <x v="44"/>
    <x v="43"/>
    <x v="0"/>
  </r>
  <r>
    <x v="0"/>
    <x v="2"/>
    <x v="2"/>
    <x v="6"/>
    <x v="6"/>
    <x v="6"/>
    <x v="5"/>
    <x v="45"/>
    <x v="45"/>
    <x v="43"/>
    <x v="43"/>
    <x v="45"/>
    <x v="44"/>
    <x v="0"/>
  </r>
  <r>
    <x v="0"/>
    <x v="2"/>
    <x v="2"/>
    <x v="4"/>
    <x v="4"/>
    <x v="4"/>
    <x v="6"/>
    <x v="46"/>
    <x v="46"/>
    <x v="44"/>
    <x v="44"/>
    <x v="46"/>
    <x v="45"/>
    <x v="0"/>
  </r>
  <r>
    <x v="0"/>
    <x v="2"/>
    <x v="2"/>
    <x v="7"/>
    <x v="7"/>
    <x v="7"/>
    <x v="7"/>
    <x v="47"/>
    <x v="47"/>
    <x v="45"/>
    <x v="45"/>
    <x v="47"/>
    <x v="46"/>
    <x v="0"/>
  </r>
  <r>
    <x v="0"/>
    <x v="2"/>
    <x v="2"/>
    <x v="9"/>
    <x v="9"/>
    <x v="9"/>
    <x v="8"/>
    <x v="48"/>
    <x v="48"/>
    <x v="25"/>
    <x v="46"/>
    <x v="48"/>
    <x v="47"/>
    <x v="0"/>
  </r>
  <r>
    <x v="0"/>
    <x v="2"/>
    <x v="2"/>
    <x v="8"/>
    <x v="8"/>
    <x v="8"/>
    <x v="9"/>
    <x v="49"/>
    <x v="49"/>
    <x v="46"/>
    <x v="47"/>
    <x v="49"/>
    <x v="48"/>
    <x v="0"/>
  </r>
  <r>
    <x v="0"/>
    <x v="2"/>
    <x v="2"/>
    <x v="10"/>
    <x v="10"/>
    <x v="10"/>
    <x v="10"/>
    <x v="50"/>
    <x v="50"/>
    <x v="47"/>
    <x v="48"/>
    <x v="50"/>
    <x v="49"/>
    <x v="0"/>
  </r>
  <r>
    <x v="0"/>
    <x v="2"/>
    <x v="2"/>
    <x v="14"/>
    <x v="14"/>
    <x v="14"/>
    <x v="11"/>
    <x v="51"/>
    <x v="51"/>
    <x v="48"/>
    <x v="30"/>
    <x v="51"/>
    <x v="50"/>
    <x v="0"/>
  </r>
  <r>
    <x v="0"/>
    <x v="2"/>
    <x v="2"/>
    <x v="12"/>
    <x v="12"/>
    <x v="12"/>
    <x v="12"/>
    <x v="52"/>
    <x v="52"/>
    <x v="49"/>
    <x v="49"/>
    <x v="52"/>
    <x v="51"/>
    <x v="0"/>
  </r>
  <r>
    <x v="0"/>
    <x v="2"/>
    <x v="2"/>
    <x v="16"/>
    <x v="16"/>
    <x v="16"/>
    <x v="13"/>
    <x v="53"/>
    <x v="53"/>
    <x v="50"/>
    <x v="50"/>
    <x v="53"/>
    <x v="52"/>
    <x v="0"/>
  </r>
  <r>
    <x v="0"/>
    <x v="2"/>
    <x v="2"/>
    <x v="13"/>
    <x v="13"/>
    <x v="13"/>
    <x v="14"/>
    <x v="54"/>
    <x v="54"/>
    <x v="51"/>
    <x v="51"/>
    <x v="54"/>
    <x v="53"/>
    <x v="0"/>
  </r>
  <r>
    <x v="0"/>
    <x v="2"/>
    <x v="2"/>
    <x v="17"/>
    <x v="17"/>
    <x v="17"/>
    <x v="15"/>
    <x v="55"/>
    <x v="55"/>
    <x v="52"/>
    <x v="52"/>
    <x v="48"/>
    <x v="47"/>
    <x v="0"/>
  </r>
  <r>
    <x v="0"/>
    <x v="2"/>
    <x v="2"/>
    <x v="15"/>
    <x v="15"/>
    <x v="15"/>
    <x v="16"/>
    <x v="56"/>
    <x v="56"/>
    <x v="36"/>
    <x v="53"/>
    <x v="55"/>
    <x v="54"/>
    <x v="0"/>
  </r>
  <r>
    <x v="0"/>
    <x v="2"/>
    <x v="2"/>
    <x v="22"/>
    <x v="22"/>
    <x v="22"/>
    <x v="17"/>
    <x v="57"/>
    <x v="57"/>
    <x v="53"/>
    <x v="54"/>
    <x v="34"/>
    <x v="55"/>
    <x v="0"/>
  </r>
  <r>
    <x v="0"/>
    <x v="2"/>
    <x v="2"/>
    <x v="18"/>
    <x v="18"/>
    <x v="18"/>
    <x v="18"/>
    <x v="58"/>
    <x v="58"/>
    <x v="54"/>
    <x v="55"/>
    <x v="56"/>
    <x v="13"/>
    <x v="0"/>
  </r>
  <r>
    <x v="0"/>
    <x v="2"/>
    <x v="2"/>
    <x v="11"/>
    <x v="11"/>
    <x v="11"/>
    <x v="19"/>
    <x v="59"/>
    <x v="59"/>
    <x v="55"/>
    <x v="56"/>
    <x v="57"/>
    <x v="56"/>
    <x v="0"/>
  </r>
  <r>
    <x v="0"/>
    <x v="3"/>
    <x v="3"/>
    <x v="0"/>
    <x v="0"/>
    <x v="0"/>
    <x v="0"/>
    <x v="60"/>
    <x v="60"/>
    <x v="56"/>
    <x v="57"/>
    <x v="58"/>
    <x v="57"/>
    <x v="0"/>
  </r>
  <r>
    <x v="0"/>
    <x v="3"/>
    <x v="3"/>
    <x v="1"/>
    <x v="1"/>
    <x v="1"/>
    <x v="1"/>
    <x v="61"/>
    <x v="61"/>
    <x v="57"/>
    <x v="58"/>
    <x v="41"/>
    <x v="50"/>
    <x v="0"/>
  </r>
  <r>
    <x v="0"/>
    <x v="3"/>
    <x v="3"/>
    <x v="5"/>
    <x v="5"/>
    <x v="5"/>
    <x v="2"/>
    <x v="62"/>
    <x v="62"/>
    <x v="58"/>
    <x v="59"/>
    <x v="59"/>
    <x v="58"/>
    <x v="0"/>
  </r>
  <r>
    <x v="0"/>
    <x v="3"/>
    <x v="3"/>
    <x v="3"/>
    <x v="3"/>
    <x v="3"/>
    <x v="3"/>
    <x v="63"/>
    <x v="63"/>
    <x v="59"/>
    <x v="60"/>
    <x v="60"/>
    <x v="59"/>
    <x v="0"/>
  </r>
  <r>
    <x v="0"/>
    <x v="3"/>
    <x v="3"/>
    <x v="2"/>
    <x v="2"/>
    <x v="2"/>
    <x v="4"/>
    <x v="64"/>
    <x v="64"/>
    <x v="60"/>
    <x v="61"/>
    <x v="61"/>
    <x v="60"/>
    <x v="0"/>
  </r>
  <r>
    <x v="0"/>
    <x v="3"/>
    <x v="3"/>
    <x v="4"/>
    <x v="4"/>
    <x v="4"/>
    <x v="5"/>
    <x v="65"/>
    <x v="65"/>
    <x v="61"/>
    <x v="62"/>
    <x v="43"/>
    <x v="61"/>
    <x v="0"/>
  </r>
  <r>
    <x v="0"/>
    <x v="3"/>
    <x v="3"/>
    <x v="7"/>
    <x v="7"/>
    <x v="7"/>
    <x v="6"/>
    <x v="66"/>
    <x v="66"/>
    <x v="62"/>
    <x v="63"/>
    <x v="62"/>
    <x v="62"/>
    <x v="0"/>
  </r>
  <r>
    <x v="0"/>
    <x v="3"/>
    <x v="3"/>
    <x v="10"/>
    <x v="10"/>
    <x v="10"/>
    <x v="7"/>
    <x v="67"/>
    <x v="67"/>
    <x v="41"/>
    <x v="64"/>
    <x v="63"/>
    <x v="63"/>
    <x v="0"/>
  </r>
  <r>
    <x v="0"/>
    <x v="3"/>
    <x v="3"/>
    <x v="8"/>
    <x v="8"/>
    <x v="8"/>
    <x v="8"/>
    <x v="50"/>
    <x v="68"/>
    <x v="63"/>
    <x v="65"/>
    <x v="64"/>
    <x v="64"/>
    <x v="0"/>
  </r>
  <r>
    <x v="0"/>
    <x v="3"/>
    <x v="3"/>
    <x v="6"/>
    <x v="6"/>
    <x v="6"/>
    <x v="9"/>
    <x v="68"/>
    <x v="8"/>
    <x v="42"/>
    <x v="66"/>
    <x v="34"/>
    <x v="65"/>
    <x v="0"/>
  </r>
  <r>
    <x v="0"/>
    <x v="3"/>
    <x v="3"/>
    <x v="13"/>
    <x v="13"/>
    <x v="13"/>
    <x v="10"/>
    <x v="39"/>
    <x v="69"/>
    <x v="64"/>
    <x v="67"/>
    <x v="34"/>
    <x v="65"/>
    <x v="0"/>
  </r>
  <r>
    <x v="0"/>
    <x v="3"/>
    <x v="3"/>
    <x v="9"/>
    <x v="9"/>
    <x v="9"/>
    <x v="11"/>
    <x v="69"/>
    <x v="70"/>
    <x v="65"/>
    <x v="68"/>
    <x v="65"/>
    <x v="66"/>
    <x v="0"/>
  </r>
  <r>
    <x v="0"/>
    <x v="3"/>
    <x v="3"/>
    <x v="12"/>
    <x v="12"/>
    <x v="12"/>
    <x v="12"/>
    <x v="70"/>
    <x v="71"/>
    <x v="45"/>
    <x v="69"/>
    <x v="66"/>
    <x v="67"/>
    <x v="0"/>
  </r>
  <r>
    <x v="0"/>
    <x v="3"/>
    <x v="3"/>
    <x v="11"/>
    <x v="11"/>
    <x v="11"/>
    <x v="12"/>
    <x v="70"/>
    <x v="71"/>
    <x v="66"/>
    <x v="70"/>
    <x v="67"/>
    <x v="68"/>
    <x v="0"/>
  </r>
  <r>
    <x v="0"/>
    <x v="3"/>
    <x v="3"/>
    <x v="16"/>
    <x v="16"/>
    <x v="16"/>
    <x v="14"/>
    <x v="71"/>
    <x v="72"/>
    <x v="34"/>
    <x v="71"/>
    <x v="68"/>
    <x v="69"/>
    <x v="0"/>
  </r>
  <r>
    <x v="0"/>
    <x v="3"/>
    <x v="3"/>
    <x v="14"/>
    <x v="14"/>
    <x v="14"/>
    <x v="15"/>
    <x v="72"/>
    <x v="73"/>
    <x v="45"/>
    <x v="69"/>
    <x v="51"/>
    <x v="70"/>
    <x v="0"/>
  </r>
  <r>
    <x v="0"/>
    <x v="3"/>
    <x v="3"/>
    <x v="19"/>
    <x v="19"/>
    <x v="19"/>
    <x v="16"/>
    <x v="55"/>
    <x v="74"/>
    <x v="67"/>
    <x v="72"/>
    <x v="69"/>
    <x v="71"/>
    <x v="0"/>
  </r>
  <r>
    <x v="0"/>
    <x v="3"/>
    <x v="3"/>
    <x v="15"/>
    <x v="15"/>
    <x v="15"/>
    <x v="17"/>
    <x v="73"/>
    <x v="75"/>
    <x v="68"/>
    <x v="73"/>
    <x v="70"/>
    <x v="72"/>
    <x v="0"/>
  </r>
  <r>
    <x v="0"/>
    <x v="3"/>
    <x v="3"/>
    <x v="20"/>
    <x v="20"/>
    <x v="20"/>
    <x v="18"/>
    <x v="74"/>
    <x v="76"/>
    <x v="53"/>
    <x v="74"/>
    <x v="71"/>
    <x v="73"/>
    <x v="0"/>
  </r>
  <r>
    <x v="0"/>
    <x v="3"/>
    <x v="3"/>
    <x v="18"/>
    <x v="18"/>
    <x v="18"/>
    <x v="19"/>
    <x v="59"/>
    <x v="77"/>
    <x v="69"/>
    <x v="75"/>
    <x v="56"/>
    <x v="18"/>
    <x v="0"/>
  </r>
  <r>
    <x v="0"/>
    <x v="4"/>
    <x v="4"/>
    <x v="0"/>
    <x v="0"/>
    <x v="0"/>
    <x v="0"/>
    <x v="75"/>
    <x v="78"/>
    <x v="70"/>
    <x v="76"/>
    <x v="72"/>
    <x v="74"/>
    <x v="0"/>
  </r>
  <r>
    <x v="0"/>
    <x v="4"/>
    <x v="4"/>
    <x v="1"/>
    <x v="1"/>
    <x v="1"/>
    <x v="1"/>
    <x v="76"/>
    <x v="79"/>
    <x v="71"/>
    <x v="77"/>
    <x v="64"/>
    <x v="75"/>
    <x v="0"/>
  </r>
  <r>
    <x v="0"/>
    <x v="4"/>
    <x v="4"/>
    <x v="5"/>
    <x v="5"/>
    <x v="5"/>
    <x v="2"/>
    <x v="77"/>
    <x v="80"/>
    <x v="72"/>
    <x v="78"/>
    <x v="73"/>
    <x v="76"/>
    <x v="0"/>
  </r>
  <r>
    <x v="0"/>
    <x v="4"/>
    <x v="4"/>
    <x v="2"/>
    <x v="2"/>
    <x v="2"/>
    <x v="3"/>
    <x v="78"/>
    <x v="81"/>
    <x v="73"/>
    <x v="79"/>
    <x v="74"/>
    <x v="77"/>
    <x v="0"/>
  </r>
  <r>
    <x v="0"/>
    <x v="4"/>
    <x v="4"/>
    <x v="3"/>
    <x v="3"/>
    <x v="3"/>
    <x v="4"/>
    <x v="79"/>
    <x v="82"/>
    <x v="58"/>
    <x v="80"/>
    <x v="75"/>
    <x v="78"/>
    <x v="0"/>
  </r>
  <r>
    <x v="0"/>
    <x v="4"/>
    <x v="4"/>
    <x v="4"/>
    <x v="4"/>
    <x v="4"/>
    <x v="5"/>
    <x v="80"/>
    <x v="83"/>
    <x v="74"/>
    <x v="81"/>
    <x v="47"/>
    <x v="79"/>
    <x v="0"/>
  </r>
  <r>
    <x v="0"/>
    <x v="4"/>
    <x v="4"/>
    <x v="7"/>
    <x v="7"/>
    <x v="7"/>
    <x v="6"/>
    <x v="81"/>
    <x v="84"/>
    <x v="75"/>
    <x v="82"/>
    <x v="62"/>
    <x v="80"/>
    <x v="0"/>
  </r>
  <r>
    <x v="0"/>
    <x v="4"/>
    <x v="4"/>
    <x v="6"/>
    <x v="6"/>
    <x v="6"/>
    <x v="7"/>
    <x v="82"/>
    <x v="85"/>
    <x v="76"/>
    <x v="83"/>
    <x v="41"/>
    <x v="16"/>
    <x v="0"/>
  </r>
  <r>
    <x v="0"/>
    <x v="4"/>
    <x v="4"/>
    <x v="8"/>
    <x v="8"/>
    <x v="8"/>
    <x v="8"/>
    <x v="83"/>
    <x v="50"/>
    <x v="30"/>
    <x v="84"/>
    <x v="64"/>
    <x v="75"/>
    <x v="0"/>
  </r>
  <r>
    <x v="0"/>
    <x v="4"/>
    <x v="4"/>
    <x v="9"/>
    <x v="9"/>
    <x v="9"/>
    <x v="9"/>
    <x v="84"/>
    <x v="86"/>
    <x v="77"/>
    <x v="85"/>
    <x v="65"/>
    <x v="81"/>
    <x v="0"/>
  </r>
  <r>
    <x v="0"/>
    <x v="4"/>
    <x v="4"/>
    <x v="10"/>
    <x v="10"/>
    <x v="10"/>
    <x v="10"/>
    <x v="85"/>
    <x v="32"/>
    <x v="25"/>
    <x v="86"/>
    <x v="76"/>
    <x v="82"/>
    <x v="0"/>
  </r>
  <r>
    <x v="0"/>
    <x v="4"/>
    <x v="4"/>
    <x v="17"/>
    <x v="17"/>
    <x v="17"/>
    <x v="11"/>
    <x v="86"/>
    <x v="34"/>
    <x v="78"/>
    <x v="87"/>
    <x v="72"/>
    <x v="74"/>
    <x v="0"/>
  </r>
  <r>
    <x v="0"/>
    <x v="4"/>
    <x v="4"/>
    <x v="14"/>
    <x v="14"/>
    <x v="14"/>
    <x v="12"/>
    <x v="72"/>
    <x v="87"/>
    <x v="55"/>
    <x v="88"/>
    <x v="77"/>
    <x v="83"/>
    <x v="0"/>
  </r>
  <r>
    <x v="0"/>
    <x v="4"/>
    <x v="4"/>
    <x v="13"/>
    <x v="13"/>
    <x v="13"/>
    <x v="13"/>
    <x v="87"/>
    <x v="88"/>
    <x v="79"/>
    <x v="89"/>
    <x v="63"/>
    <x v="84"/>
    <x v="0"/>
  </r>
  <r>
    <x v="0"/>
    <x v="4"/>
    <x v="4"/>
    <x v="12"/>
    <x v="12"/>
    <x v="12"/>
    <x v="14"/>
    <x v="88"/>
    <x v="89"/>
    <x v="49"/>
    <x v="90"/>
    <x v="78"/>
    <x v="85"/>
    <x v="0"/>
  </r>
  <r>
    <x v="0"/>
    <x v="4"/>
    <x v="4"/>
    <x v="23"/>
    <x v="23"/>
    <x v="23"/>
    <x v="15"/>
    <x v="89"/>
    <x v="90"/>
    <x v="69"/>
    <x v="91"/>
    <x v="77"/>
    <x v="83"/>
    <x v="0"/>
  </r>
  <r>
    <x v="0"/>
    <x v="4"/>
    <x v="4"/>
    <x v="11"/>
    <x v="11"/>
    <x v="11"/>
    <x v="16"/>
    <x v="90"/>
    <x v="76"/>
    <x v="80"/>
    <x v="92"/>
    <x v="79"/>
    <x v="86"/>
    <x v="0"/>
  </r>
  <r>
    <x v="0"/>
    <x v="4"/>
    <x v="4"/>
    <x v="15"/>
    <x v="15"/>
    <x v="15"/>
    <x v="17"/>
    <x v="59"/>
    <x v="91"/>
    <x v="34"/>
    <x v="93"/>
    <x v="51"/>
    <x v="87"/>
    <x v="0"/>
  </r>
  <r>
    <x v="0"/>
    <x v="4"/>
    <x v="4"/>
    <x v="24"/>
    <x v="24"/>
    <x v="24"/>
    <x v="18"/>
    <x v="91"/>
    <x v="92"/>
    <x v="81"/>
    <x v="94"/>
    <x v="29"/>
    <x v="88"/>
    <x v="0"/>
  </r>
  <r>
    <x v="0"/>
    <x v="4"/>
    <x v="4"/>
    <x v="25"/>
    <x v="25"/>
    <x v="25"/>
    <x v="18"/>
    <x v="91"/>
    <x v="92"/>
    <x v="34"/>
    <x v="93"/>
    <x v="80"/>
    <x v="89"/>
    <x v="2"/>
  </r>
  <r>
    <x v="0"/>
    <x v="4"/>
    <x v="4"/>
    <x v="16"/>
    <x v="16"/>
    <x v="16"/>
    <x v="18"/>
    <x v="91"/>
    <x v="92"/>
    <x v="37"/>
    <x v="95"/>
    <x v="81"/>
    <x v="90"/>
    <x v="0"/>
  </r>
  <r>
    <x v="0"/>
    <x v="4"/>
    <x v="4"/>
    <x v="18"/>
    <x v="18"/>
    <x v="18"/>
    <x v="18"/>
    <x v="91"/>
    <x v="92"/>
    <x v="69"/>
    <x v="91"/>
    <x v="82"/>
    <x v="91"/>
    <x v="0"/>
  </r>
  <r>
    <x v="0"/>
    <x v="5"/>
    <x v="5"/>
    <x v="0"/>
    <x v="0"/>
    <x v="0"/>
    <x v="0"/>
    <x v="92"/>
    <x v="93"/>
    <x v="82"/>
    <x v="96"/>
    <x v="83"/>
    <x v="92"/>
    <x v="0"/>
  </r>
  <r>
    <x v="0"/>
    <x v="5"/>
    <x v="5"/>
    <x v="2"/>
    <x v="2"/>
    <x v="2"/>
    <x v="1"/>
    <x v="93"/>
    <x v="94"/>
    <x v="63"/>
    <x v="97"/>
    <x v="37"/>
    <x v="93"/>
    <x v="0"/>
  </r>
  <r>
    <x v="0"/>
    <x v="5"/>
    <x v="5"/>
    <x v="1"/>
    <x v="1"/>
    <x v="1"/>
    <x v="2"/>
    <x v="94"/>
    <x v="95"/>
    <x v="83"/>
    <x v="98"/>
    <x v="82"/>
    <x v="83"/>
    <x v="0"/>
  </r>
  <r>
    <x v="0"/>
    <x v="5"/>
    <x v="5"/>
    <x v="4"/>
    <x v="4"/>
    <x v="4"/>
    <x v="3"/>
    <x v="95"/>
    <x v="96"/>
    <x v="59"/>
    <x v="99"/>
    <x v="84"/>
    <x v="94"/>
    <x v="0"/>
  </r>
  <r>
    <x v="0"/>
    <x v="5"/>
    <x v="5"/>
    <x v="3"/>
    <x v="3"/>
    <x v="3"/>
    <x v="4"/>
    <x v="50"/>
    <x v="97"/>
    <x v="77"/>
    <x v="100"/>
    <x v="52"/>
    <x v="95"/>
    <x v="0"/>
  </r>
  <r>
    <x v="0"/>
    <x v="5"/>
    <x v="5"/>
    <x v="5"/>
    <x v="5"/>
    <x v="5"/>
    <x v="5"/>
    <x v="96"/>
    <x v="98"/>
    <x v="84"/>
    <x v="101"/>
    <x v="53"/>
    <x v="96"/>
    <x v="0"/>
  </r>
  <r>
    <x v="0"/>
    <x v="5"/>
    <x v="5"/>
    <x v="6"/>
    <x v="6"/>
    <x v="6"/>
    <x v="6"/>
    <x v="97"/>
    <x v="99"/>
    <x v="85"/>
    <x v="102"/>
    <x v="85"/>
    <x v="97"/>
    <x v="0"/>
  </r>
  <r>
    <x v="0"/>
    <x v="5"/>
    <x v="5"/>
    <x v="7"/>
    <x v="7"/>
    <x v="7"/>
    <x v="7"/>
    <x v="98"/>
    <x v="100"/>
    <x v="86"/>
    <x v="103"/>
    <x v="48"/>
    <x v="98"/>
    <x v="0"/>
  </r>
  <r>
    <x v="0"/>
    <x v="5"/>
    <x v="5"/>
    <x v="8"/>
    <x v="8"/>
    <x v="8"/>
    <x v="8"/>
    <x v="99"/>
    <x v="101"/>
    <x v="87"/>
    <x v="104"/>
    <x v="78"/>
    <x v="35"/>
    <x v="0"/>
  </r>
  <r>
    <x v="0"/>
    <x v="5"/>
    <x v="5"/>
    <x v="11"/>
    <x v="11"/>
    <x v="11"/>
    <x v="9"/>
    <x v="100"/>
    <x v="102"/>
    <x v="29"/>
    <x v="105"/>
    <x v="86"/>
    <x v="99"/>
    <x v="0"/>
  </r>
  <r>
    <x v="0"/>
    <x v="5"/>
    <x v="5"/>
    <x v="10"/>
    <x v="10"/>
    <x v="10"/>
    <x v="10"/>
    <x v="56"/>
    <x v="103"/>
    <x v="88"/>
    <x v="106"/>
    <x v="87"/>
    <x v="100"/>
    <x v="0"/>
  </r>
  <r>
    <x v="0"/>
    <x v="5"/>
    <x v="5"/>
    <x v="9"/>
    <x v="9"/>
    <x v="9"/>
    <x v="11"/>
    <x v="101"/>
    <x v="104"/>
    <x v="89"/>
    <x v="107"/>
    <x v="54"/>
    <x v="101"/>
    <x v="0"/>
  </r>
  <r>
    <x v="0"/>
    <x v="5"/>
    <x v="5"/>
    <x v="13"/>
    <x v="13"/>
    <x v="13"/>
    <x v="12"/>
    <x v="102"/>
    <x v="105"/>
    <x v="45"/>
    <x v="108"/>
    <x v="86"/>
    <x v="99"/>
    <x v="0"/>
  </r>
  <r>
    <x v="0"/>
    <x v="5"/>
    <x v="5"/>
    <x v="12"/>
    <x v="12"/>
    <x v="12"/>
    <x v="12"/>
    <x v="102"/>
    <x v="105"/>
    <x v="52"/>
    <x v="88"/>
    <x v="65"/>
    <x v="102"/>
    <x v="0"/>
  </r>
  <r>
    <x v="0"/>
    <x v="5"/>
    <x v="5"/>
    <x v="26"/>
    <x v="26"/>
    <x v="26"/>
    <x v="14"/>
    <x v="103"/>
    <x v="15"/>
    <x v="52"/>
    <x v="88"/>
    <x v="88"/>
    <x v="103"/>
    <x v="0"/>
  </r>
  <r>
    <x v="0"/>
    <x v="5"/>
    <x v="5"/>
    <x v="14"/>
    <x v="14"/>
    <x v="14"/>
    <x v="14"/>
    <x v="103"/>
    <x v="15"/>
    <x v="90"/>
    <x v="12"/>
    <x v="54"/>
    <x v="101"/>
    <x v="0"/>
  </r>
  <r>
    <x v="0"/>
    <x v="5"/>
    <x v="5"/>
    <x v="19"/>
    <x v="19"/>
    <x v="19"/>
    <x v="14"/>
    <x v="103"/>
    <x v="15"/>
    <x v="91"/>
    <x v="109"/>
    <x v="29"/>
    <x v="104"/>
    <x v="0"/>
  </r>
  <r>
    <x v="0"/>
    <x v="5"/>
    <x v="5"/>
    <x v="18"/>
    <x v="18"/>
    <x v="18"/>
    <x v="17"/>
    <x v="104"/>
    <x v="58"/>
    <x v="92"/>
    <x v="110"/>
    <x v="89"/>
    <x v="105"/>
    <x v="0"/>
  </r>
  <r>
    <x v="0"/>
    <x v="5"/>
    <x v="5"/>
    <x v="27"/>
    <x v="27"/>
    <x v="27"/>
    <x v="18"/>
    <x v="105"/>
    <x v="106"/>
    <x v="91"/>
    <x v="109"/>
    <x v="65"/>
    <x v="102"/>
    <x v="0"/>
  </r>
  <r>
    <x v="0"/>
    <x v="5"/>
    <x v="5"/>
    <x v="28"/>
    <x v="28"/>
    <x v="28"/>
    <x v="19"/>
    <x v="106"/>
    <x v="107"/>
    <x v="37"/>
    <x v="111"/>
    <x v="79"/>
    <x v="106"/>
    <x v="0"/>
  </r>
  <r>
    <x v="0"/>
    <x v="5"/>
    <x v="5"/>
    <x v="17"/>
    <x v="17"/>
    <x v="17"/>
    <x v="19"/>
    <x v="106"/>
    <x v="107"/>
    <x v="92"/>
    <x v="110"/>
    <x v="57"/>
    <x v="107"/>
    <x v="0"/>
  </r>
  <r>
    <x v="0"/>
    <x v="6"/>
    <x v="6"/>
    <x v="0"/>
    <x v="0"/>
    <x v="0"/>
    <x v="0"/>
    <x v="107"/>
    <x v="108"/>
    <x v="93"/>
    <x v="112"/>
    <x v="89"/>
    <x v="108"/>
    <x v="0"/>
  </r>
  <r>
    <x v="0"/>
    <x v="6"/>
    <x v="6"/>
    <x v="2"/>
    <x v="2"/>
    <x v="2"/>
    <x v="1"/>
    <x v="108"/>
    <x v="109"/>
    <x v="94"/>
    <x v="113"/>
    <x v="53"/>
    <x v="109"/>
    <x v="0"/>
  </r>
  <r>
    <x v="0"/>
    <x v="6"/>
    <x v="6"/>
    <x v="1"/>
    <x v="1"/>
    <x v="1"/>
    <x v="2"/>
    <x v="109"/>
    <x v="110"/>
    <x v="95"/>
    <x v="114"/>
    <x v="90"/>
    <x v="110"/>
    <x v="0"/>
  </r>
  <r>
    <x v="0"/>
    <x v="6"/>
    <x v="6"/>
    <x v="3"/>
    <x v="3"/>
    <x v="3"/>
    <x v="3"/>
    <x v="110"/>
    <x v="111"/>
    <x v="29"/>
    <x v="115"/>
    <x v="91"/>
    <x v="111"/>
    <x v="0"/>
  </r>
  <r>
    <x v="0"/>
    <x v="6"/>
    <x v="6"/>
    <x v="4"/>
    <x v="4"/>
    <x v="4"/>
    <x v="4"/>
    <x v="111"/>
    <x v="112"/>
    <x v="88"/>
    <x v="116"/>
    <x v="48"/>
    <x v="112"/>
    <x v="0"/>
  </r>
  <r>
    <x v="0"/>
    <x v="6"/>
    <x v="6"/>
    <x v="5"/>
    <x v="5"/>
    <x v="5"/>
    <x v="5"/>
    <x v="72"/>
    <x v="113"/>
    <x v="80"/>
    <x v="117"/>
    <x v="81"/>
    <x v="113"/>
    <x v="0"/>
  </r>
  <r>
    <x v="0"/>
    <x v="6"/>
    <x v="6"/>
    <x v="7"/>
    <x v="7"/>
    <x v="7"/>
    <x v="6"/>
    <x v="112"/>
    <x v="114"/>
    <x v="52"/>
    <x v="118"/>
    <x v="92"/>
    <x v="114"/>
    <x v="0"/>
  </r>
  <r>
    <x v="0"/>
    <x v="6"/>
    <x v="6"/>
    <x v="8"/>
    <x v="8"/>
    <x v="8"/>
    <x v="7"/>
    <x v="100"/>
    <x v="115"/>
    <x v="49"/>
    <x v="119"/>
    <x v="56"/>
    <x v="115"/>
    <x v="0"/>
  </r>
  <r>
    <x v="0"/>
    <x v="6"/>
    <x v="6"/>
    <x v="6"/>
    <x v="6"/>
    <x v="6"/>
    <x v="8"/>
    <x v="56"/>
    <x v="68"/>
    <x v="48"/>
    <x v="120"/>
    <x v="54"/>
    <x v="116"/>
    <x v="2"/>
  </r>
  <r>
    <x v="0"/>
    <x v="6"/>
    <x v="6"/>
    <x v="17"/>
    <x v="17"/>
    <x v="17"/>
    <x v="9"/>
    <x v="113"/>
    <x v="116"/>
    <x v="92"/>
    <x v="121"/>
    <x v="83"/>
    <x v="117"/>
    <x v="0"/>
  </r>
  <r>
    <x v="0"/>
    <x v="6"/>
    <x v="6"/>
    <x v="14"/>
    <x v="14"/>
    <x v="14"/>
    <x v="10"/>
    <x v="114"/>
    <x v="104"/>
    <x v="52"/>
    <x v="118"/>
    <x v="82"/>
    <x v="118"/>
    <x v="0"/>
  </r>
  <r>
    <x v="0"/>
    <x v="6"/>
    <x v="6"/>
    <x v="10"/>
    <x v="10"/>
    <x v="10"/>
    <x v="11"/>
    <x v="115"/>
    <x v="117"/>
    <x v="62"/>
    <x v="122"/>
    <x v="93"/>
    <x v="86"/>
    <x v="0"/>
  </r>
  <r>
    <x v="0"/>
    <x v="6"/>
    <x v="6"/>
    <x v="9"/>
    <x v="9"/>
    <x v="9"/>
    <x v="12"/>
    <x v="116"/>
    <x v="72"/>
    <x v="96"/>
    <x v="123"/>
    <x v="50"/>
    <x v="119"/>
    <x v="0"/>
  </r>
  <r>
    <x v="0"/>
    <x v="6"/>
    <x v="6"/>
    <x v="12"/>
    <x v="12"/>
    <x v="12"/>
    <x v="13"/>
    <x v="117"/>
    <x v="118"/>
    <x v="92"/>
    <x v="121"/>
    <x v="65"/>
    <x v="120"/>
    <x v="0"/>
  </r>
  <r>
    <x v="0"/>
    <x v="6"/>
    <x v="6"/>
    <x v="13"/>
    <x v="13"/>
    <x v="13"/>
    <x v="14"/>
    <x v="118"/>
    <x v="119"/>
    <x v="78"/>
    <x v="124"/>
    <x v="88"/>
    <x v="121"/>
    <x v="2"/>
  </r>
  <r>
    <x v="0"/>
    <x v="6"/>
    <x v="6"/>
    <x v="26"/>
    <x v="26"/>
    <x v="26"/>
    <x v="15"/>
    <x v="119"/>
    <x v="120"/>
    <x v="97"/>
    <x v="84"/>
    <x v="94"/>
    <x v="122"/>
    <x v="0"/>
  </r>
  <r>
    <x v="0"/>
    <x v="6"/>
    <x v="6"/>
    <x v="11"/>
    <x v="11"/>
    <x v="11"/>
    <x v="16"/>
    <x v="120"/>
    <x v="121"/>
    <x v="78"/>
    <x v="124"/>
    <x v="94"/>
    <x v="122"/>
    <x v="0"/>
  </r>
  <r>
    <x v="0"/>
    <x v="6"/>
    <x v="6"/>
    <x v="25"/>
    <x v="25"/>
    <x v="25"/>
    <x v="17"/>
    <x v="121"/>
    <x v="122"/>
    <x v="92"/>
    <x v="121"/>
    <x v="86"/>
    <x v="123"/>
    <x v="0"/>
  </r>
  <r>
    <x v="0"/>
    <x v="6"/>
    <x v="6"/>
    <x v="15"/>
    <x v="15"/>
    <x v="15"/>
    <x v="17"/>
    <x v="121"/>
    <x v="122"/>
    <x v="98"/>
    <x v="125"/>
    <x v="95"/>
    <x v="124"/>
    <x v="0"/>
  </r>
  <r>
    <x v="0"/>
    <x v="6"/>
    <x v="6"/>
    <x v="23"/>
    <x v="23"/>
    <x v="23"/>
    <x v="19"/>
    <x v="122"/>
    <x v="123"/>
    <x v="98"/>
    <x v="125"/>
    <x v="82"/>
    <x v="118"/>
    <x v="0"/>
  </r>
  <r>
    <x v="0"/>
    <x v="7"/>
    <x v="7"/>
    <x v="0"/>
    <x v="0"/>
    <x v="0"/>
    <x v="0"/>
    <x v="46"/>
    <x v="124"/>
    <x v="99"/>
    <x v="126"/>
    <x v="29"/>
    <x v="125"/>
    <x v="0"/>
  </r>
  <r>
    <x v="0"/>
    <x v="7"/>
    <x v="7"/>
    <x v="1"/>
    <x v="1"/>
    <x v="1"/>
    <x v="1"/>
    <x v="82"/>
    <x v="125"/>
    <x v="100"/>
    <x v="127"/>
    <x v="85"/>
    <x v="126"/>
    <x v="0"/>
  </r>
  <r>
    <x v="0"/>
    <x v="7"/>
    <x v="7"/>
    <x v="3"/>
    <x v="3"/>
    <x v="3"/>
    <x v="2"/>
    <x v="110"/>
    <x v="126"/>
    <x v="29"/>
    <x v="128"/>
    <x v="91"/>
    <x v="127"/>
    <x v="0"/>
  </r>
  <r>
    <x v="0"/>
    <x v="7"/>
    <x v="7"/>
    <x v="2"/>
    <x v="2"/>
    <x v="2"/>
    <x v="3"/>
    <x v="123"/>
    <x v="127"/>
    <x v="101"/>
    <x v="129"/>
    <x v="68"/>
    <x v="128"/>
    <x v="0"/>
  </r>
  <r>
    <x v="0"/>
    <x v="7"/>
    <x v="7"/>
    <x v="5"/>
    <x v="5"/>
    <x v="5"/>
    <x v="4"/>
    <x v="96"/>
    <x v="128"/>
    <x v="102"/>
    <x v="130"/>
    <x v="48"/>
    <x v="129"/>
    <x v="0"/>
  </r>
  <r>
    <x v="0"/>
    <x v="7"/>
    <x v="7"/>
    <x v="4"/>
    <x v="4"/>
    <x v="4"/>
    <x v="5"/>
    <x v="124"/>
    <x v="129"/>
    <x v="62"/>
    <x v="131"/>
    <x v="96"/>
    <x v="130"/>
    <x v="0"/>
  </r>
  <r>
    <x v="0"/>
    <x v="7"/>
    <x v="7"/>
    <x v="10"/>
    <x v="10"/>
    <x v="10"/>
    <x v="6"/>
    <x v="125"/>
    <x v="130"/>
    <x v="44"/>
    <x v="132"/>
    <x v="97"/>
    <x v="131"/>
    <x v="0"/>
  </r>
  <r>
    <x v="0"/>
    <x v="7"/>
    <x v="7"/>
    <x v="9"/>
    <x v="9"/>
    <x v="9"/>
    <x v="7"/>
    <x v="126"/>
    <x v="47"/>
    <x v="48"/>
    <x v="133"/>
    <x v="90"/>
    <x v="15"/>
    <x v="0"/>
  </r>
  <r>
    <x v="0"/>
    <x v="7"/>
    <x v="7"/>
    <x v="6"/>
    <x v="6"/>
    <x v="6"/>
    <x v="8"/>
    <x v="54"/>
    <x v="131"/>
    <x v="87"/>
    <x v="134"/>
    <x v="85"/>
    <x v="126"/>
    <x v="0"/>
  </r>
  <r>
    <x v="0"/>
    <x v="7"/>
    <x v="7"/>
    <x v="7"/>
    <x v="7"/>
    <x v="7"/>
    <x v="9"/>
    <x v="73"/>
    <x v="49"/>
    <x v="34"/>
    <x v="135"/>
    <x v="92"/>
    <x v="132"/>
    <x v="0"/>
  </r>
  <r>
    <x v="0"/>
    <x v="7"/>
    <x v="7"/>
    <x v="13"/>
    <x v="13"/>
    <x v="13"/>
    <x v="10"/>
    <x v="101"/>
    <x v="31"/>
    <x v="78"/>
    <x v="61"/>
    <x v="65"/>
    <x v="133"/>
    <x v="0"/>
  </r>
  <r>
    <x v="0"/>
    <x v="7"/>
    <x v="7"/>
    <x v="8"/>
    <x v="8"/>
    <x v="8"/>
    <x v="11"/>
    <x v="127"/>
    <x v="132"/>
    <x v="96"/>
    <x v="136"/>
    <x v="65"/>
    <x v="133"/>
    <x v="0"/>
  </r>
  <r>
    <x v="0"/>
    <x v="7"/>
    <x v="7"/>
    <x v="11"/>
    <x v="11"/>
    <x v="11"/>
    <x v="12"/>
    <x v="113"/>
    <x v="133"/>
    <x v="62"/>
    <x v="131"/>
    <x v="88"/>
    <x v="134"/>
    <x v="0"/>
  </r>
  <r>
    <x v="0"/>
    <x v="7"/>
    <x v="7"/>
    <x v="12"/>
    <x v="12"/>
    <x v="12"/>
    <x v="13"/>
    <x v="128"/>
    <x v="134"/>
    <x v="92"/>
    <x v="137"/>
    <x v="85"/>
    <x v="126"/>
    <x v="0"/>
  </r>
  <r>
    <x v="0"/>
    <x v="7"/>
    <x v="7"/>
    <x v="14"/>
    <x v="14"/>
    <x v="14"/>
    <x v="14"/>
    <x v="120"/>
    <x v="135"/>
    <x v="53"/>
    <x v="138"/>
    <x v="82"/>
    <x v="47"/>
    <x v="0"/>
  </r>
  <r>
    <x v="0"/>
    <x v="7"/>
    <x v="7"/>
    <x v="18"/>
    <x v="18"/>
    <x v="18"/>
    <x v="15"/>
    <x v="103"/>
    <x v="136"/>
    <x v="35"/>
    <x v="49"/>
    <x v="89"/>
    <x v="135"/>
    <x v="0"/>
  </r>
  <r>
    <x v="0"/>
    <x v="7"/>
    <x v="7"/>
    <x v="15"/>
    <x v="15"/>
    <x v="15"/>
    <x v="16"/>
    <x v="105"/>
    <x v="137"/>
    <x v="68"/>
    <x v="36"/>
    <x v="85"/>
    <x v="126"/>
    <x v="0"/>
  </r>
  <r>
    <x v="0"/>
    <x v="7"/>
    <x v="7"/>
    <x v="19"/>
    <x v="19"/>
    <x v="19"/>
    <x v="17"/>
    <x v="122"/>
    <x v="59"/>
    <x v="98"/>
    <x v="139"/>
    <x v="82"/>
    <x v="47"/>
    <x v="0"/>
  </r>
  <r>
    <x v="0"/>
    <x v="7"/>
    <x v="7"/>
    <x v="21"/>
    <x v="21"/>
    <x v="21"/>
    <x v="17"/>
    <x v="122"/>
    <x v="59"/>
    <x v="91"/>
    <x v="109"/>
    <x v="90"/>
    <x v="15"/>
    <x v="2"/>
  </r>
  <r>
    <x v="0"/>
    <x v="7"/>
    <x v="7"/>
    <x v="20"/>
    <x v="20"/>
    <x v="20"/>
    <x v="19"/>
    <x v="129"/>
    <x v="138"/>
    <x v="68"/>
    <x v="36"/>
    <x v="89"/>
    <x v="135"/>
    <x v="0"/>
  </r>
  <r>
    <x v="0"/>
    <x v="8"/>
    <x v="8"/>
    <x v="0"/>
    <x v="0"/>
    <x v="0"/>
    <x v="0"/>
    <x v="130"/>
    <x v="139"/>
    <x v="76"/>
    <x v="140"/>
    <x v="98"/>
    <x v="136"/>
    <x v="0"/>
  </r>
  <r>
    <x v="0"/>
    <x v="8"/>
    <x v="8"/>
    <x v="4"/>
    <x v="4"/>
    <x v="4"/>
    <x v="1"/>
    <x v="36"/>
    <x v="140"/>
    <x v="103"/>
    <x v="141"/>
    <x v="45"/>
    <x v="137"/>
    <x v="0"/>
  </r>
  <r>
    <x v="0"/>
    <x v="8"/>
    <x v="8"/>
    <x v="2"/>
    <x v="2"/>
    <x v="2"/>
    <x v="2"/>
    <x v="131"/>
    <x v="141"/>
    <x v="97"/>
    <x v="142"/>
    <x v="99"/>
    <x v="138"/>
    <x v="0"/>
  </r>
  <r>
    <x v="0"/>
    <x v="8"/>
    <x v="8"/>
    <x v="1"/>
    <x v="1"/>
    <x v="1"/>
    <x v="3"/>
    <x v="97"/>
    <x v="42"/>
    <x v="85"/>
    <x v="143"/>
    <x v="85"/>
    <x v="139"/>
    <x v="0"/>
  </r>
  <r>
    <x v="0"/>
    <x v="8"/>
    <x v="8"/>
    <x v="3"/>
    <x v="3"/>
    <x v="3"/>
    <x v="4"/>
    <x v="132"/>
    <x v="127"/>
    <x v="32"/>
    <x v="144"/>
    <x v="55"/>
    <x v="140"/>
    <x v="0"/>
  </r>
  <r>
    <x v="0"/>
    <x v="8"/>
    <x v="8"/>
    <x v="5"/>
    <x v="5"/>
    <x v="5"/>
    <x v="5"/>
    <x v="51"/>
    <x v="142"/>
    <x v="64"/>
    <x v="145"/>
    <x v="80"/>
    <x v="129"/>
    <x v="0"/>
  </r>
  <r>
    <x v="0"/>
    <x v="8"/>
    <x v="8"/>
    <x v="6"/>
    <x v="6"/>
    <x v="6"/>
    <x v="6"/>
    <x v="53"/>
    <x v="143"/>
    <x v="51"/>
    <x v="146"/>
    <x v="79"/>
    <x v="141"/>
    <x v="0"/>
  </r>
  <r>
    <x v="0"/>
    <x v="8"/>
    <x v="8"/>
    <x v="7"/>
    <x v="7"/>
    <x v="7"/>
    <x v="7"/>
    <x v="56"/>
    <x v="144"/>
    <x v="104"/>
    <x v="147"/>
    <x v="100"/>
    <x v="142"/>
    <x v="0"/>
  </r>
  <r>
    <x v="0"/>
    <x v="8"/>
    <x v="8"/>
    <x v="11"/>
    <x v="11"/>
    <x v="11"/>
    <x v="8"/>
    <x v="127"/>
    <x v="145"/>
    <x v="89"/>
    <x v="148"/>
    <x v="88"/>
    <x v="143"/>
    <x v="0"/>
  </r>
  <r>
    <x v="0"/>
    <x v="8"/>
    <x v="8"/>
    <x v="14"/>
    <x v="14"/>
    <x v="14"/>
    <x v="9"/>
    <x v="133"/>
    <x v="146"/>
    <x v="96"/>
    <x v="149"/>
    <x v="95"/>
    <x v="144"/>
    <x v="0"/>
  </r>
  <r>
    <x v="0"/>
    <x v="8"/>
    <x v="8"/>
    <x v="9"/>
    <x v="9"/>
    <x v="9"/>
    <x v="10"/>
    <x v="134"/>
    <x v="147"/>
    <x v="69"/>
    <x v="150"/>
    <x v="50"/>
    <x v="123"/>
    <x v="0"/>
  </r>
  <r>
    <x v="0"/>
    <x v="8"/>
    <x v="8"/>
    <x v="8"/>
    <x v="8"/>
    <x v="8"/>
    <x v="11"/>
    <x v="114"/>
    <x v="148"/>
    <x v="105"/>
    <x v="151"/>
    <x v="82"/>
    <x v="145"/>
    <x v="2"/>
  </r>
  <r>
    <x v="0"/>
    <x v="8"/>
    <x v="8"/>
    <x v="17"/>
    <x v="17"/>
    <x v="17"/>
    <x v="12"/>
    <x v="117"/>
    <x v="104"/>
    <x v="53"/>
    <x v="152"/>
    <x v="67"/>
    <x v="57"/>
    <x v="0"/>
  </r>
  <r>
    <x v="0"/>
    <x v="8"/>
    <x v="8"/>
    <x v="10"/>
    <x v="10"/>
    <x v="10"/>
    <x v="13"/>
    <x v="104"/>
    <x v="149"/>
    <x v="54"/>
    <x v="153"/>
    <x v="87"/>
    <x v="146"/>
    <x v="0"/>
  </r>
  <r>
    <x v="0"/>
    <x v="8"/>
    <x v="8"/>
    <x v="15"/>
    <x v="15"/>
    <x v="15"/>
    <x v="14"/>
    <x v="105"/>
    <x v="150"/>
    <x v="37"/>
    <x v="154"/>
    <x v="89"/>
    <x v="54"/>
    <x v="0"/>
  </r>
  <r>
    <x v="0"/>
    <x v="8"/>
    <x v="8"/>
    <x v="13"/>
    <x v="13"/>
    <x v="13"/>
    <x v="14"/>
    <x v="105"/>
    <x v="150"/>
    <x v="106"/>
    <x v="155"/>
    <x v="88"/>
    <x v="143"/>
    <x v="0"/>
  </r>
  <r>
    <x v="0"/>
    <x v="8"/>
    <x v="8"/>
    <x v="25"/>
    <x v="25"/>
    <x v="25"/>
    <x v="16"/>
    <x v="121"/>
    <x v="36"/>
    <x v="67"/>
    <x v="156"/>
    <x v="98"/>
    <x v="136"/>
    <x v="0"/>
  </r>
  <r>
    <x v="0"/>
    <x v="8"/>
    <x v="8"/>
    <x v="12"/>
    <x v="12"/>
    <x v="12"/>
    <x v="17"/>
    <x v="135"/>
    <x v="55"/>
    <x v="92"/>
    <x v="157"/>
    <x v="50"/>
    <x v="123"/>
    <x v="0"/>
  </r>
  <r>
    <x v="0"/>
    <x v="8"/>
    <x v="8"/>
    <x v="16"/>
    <x v="16"/>
    <x v="16"/>
    <x v="18"/>
    <x v="136"/>
    <x v="151"/>
    <x v="91"/>
    <x v="109"/>
    <x v="98"/>
    <x v="136"/>
    <x v="0"/>
  </r>
  <r>
    <x v="0"/>
    <x v="8"/>
    <x v="8"/>
    <x v="18"/>
    <x v="18"/>
    <x v="18"/>
    <x v="18"/>
    <x v="136"/>
    <x v="151"/>
    <x v="34"/>
    <x v="17"/>
    <x v="54"/>
    <x v="147"/>
    <x v="0"/>
  </r>
  <r>
    <x v="0"/>
    <x v="9"/>
    <x v="9"/>
    <x v="0"/>
    <x v="0"/>
    <x v="0"/>
    <x v="0"/>
    <x v="137"/>
    <x v="152"/>
    <x v="107"/>
    <x v="158"/>
    <x v="57"/>
    <x v="107"/>
    <x v="0"/>
  </r>
  <r>
    <x v="0"/>
    <x v="9"/>
    <x v="9"/>
    <x v="4"/>
    <x v="4"/>
    <x v="4"/>
    <x v="1"/>
    <x v="138"/>
    <x v="153"/>
    <x v="94"/>
    <x v="159"/>
    <x v="101"/>
    <x v="148"/>
    <x v="0"/>
  </r>
  <r>
    <x v="0"/>
    <x v="9"/>
    <x v="9"/>
    <x v="2"/>
    <x v="2"/>
    <x v="2"/>
    <x v="2"/>
    <x v="49"/>
    <x v="154"/>
    <x v="75"/>
    <x v="160"/>
    <x v="102"/>
    <x v="149"/>
    <x v="0"/>
  </r>
  <r>
    <x v="0"/>
    <x v="9"/>
    <x v="9"/>
    <x v="1"/>
    <x v="1"/>
    <x v="1"/>
    <x v="3"/>
    <x v="83"/>
    <x v="111"/>
    <x v="108"/>
    <x v="161"/>
    <x v="95"/>
    <x v="150"/>
    <x v="0"/>
  </r>
  <r>
    <x v="0"/>
    <x v="9"/>
    <x v="9"/>
    <x v="3"/>
    <x v="3"/>
    <x v="3"/>
    <x v="4"/>
    <x v="139"/>
    <x v="155"/>
    <x v="109"/>
    <x v="162"/>
    <x v="103"/>
    <x v="151"/>
    <x v="0"/>
  </r>
  <r>
    <x v="0"/>
    <x v="9"/>
    <x v="9"/>
    <x v="7"/>
    <x v="7"/>
    <x v="7"/>
    <x v="5"/>
    <x v="69"/>
    <x v="156"/>
    <x v="86"/>
    <x v="163"/>
    <x v="66"/>
    <x v="152"/>
    <x v="0"/>
  </r>
  <r>
    <x v="0"/>
    <x v="9"/>
    <x v="9"/>
    <x v="6"/>
    <x v="6"/>
    <x v="6"/>
    <x v="6"/>
    <x v="140"/>
    <x v="157"/>
    <x v="110"/>
    <x v="164"/>
    <x v="65"/>
    <x v="71"/>
    <x v="0"/>
  </r>
  <r>
    <x v="0"/>
    <x v="9"/>
    <x v="9"/>
    <x v="8"/>
    <x v="8"/>
    <x v="8"/>
    <x v="7"/>
    <x v="141"/>
    <x v="158"/>
    <x v="48"/>
    <x v="165"/>
    <x v="104"/>
    <x v="153"/>
    <x v="0"/>
  </r>
  <r>
    <x v="0"/>
    <x v="9"/>
    <x v="9"/>
    <x v="5"/>
    <x v="5"/>
    <x v="5"/>
    <x v="8"/>
    <x v="73"/>
    <x v="9"/>
    <x v="52"/>
    <x v="166"/>
    <x v="105"/>
    <x v="154"/>
    <x v="0"/>
  </r>
  <r>
    <x v="0"/>
    <x v="9"/>
    <x v="9"/>
    <x v="10"/>
    <x v="10"/>
    <x v="10"/>
    <x v="9"/>
    <x v="142"/>
    <x v="159"/>
    <x v="79"/>
    <x v="26"/>
    <x v="106"/>
    <x v="155"/>
    <x v="0"/>
  </r>
  <r>
    <x v="0"/>
    <x v="9"/>
    <x v="9"/>
    <x v="17"/>
    <x v="17"/>
    <x v="17"/>
    <x v="10"/>
    <x v="133"/>
    <x v="117"/>
    <x v="92"/>
    <x v="91"/>
    <x v="81"/>
    <x v="156"/>
    <x v="0"/>
  </r>
  <r>
    <x v="0"/>
    <x v="9"/>
    <x v="9"/>
    <x v="11"/>
    <x v="11"/>
    <x v="11"/>
    <x v="11"/>
    <x v="134"/>
    <x v="51"/>
    <x v="111"/>
    <x v="167"/>
    <x v="50"/>
    <x v="81"/>
    <x v="0"/>
  </r>
  <r>
    <x v="0"/>
    <x v="9"/>
    <x v="9"/>
    <x v="12"/>
    <x v="12"/>
    <x v="12"/>
    <x v="12"/>
    <x v="113"/>
    <x v="160"/>
    <x v="52"/>
    <x v="166"/>
    <x v="98"/>
    <x v="157"/>
    <x v="0"/>
  </r>
  <r>
    <x v="0"/>
    <x v="9"/>
    <x v="9"/>
    <x v="9"/>
    <x v="9"/>
    <x v="9"/>
    <x v="12"/>
    <x v="113"/>
    <x v="160"/>
    <x v="112"/>
    <x v="168"/>
    <x v="107"/>
    <x v="158"/>
    <x v="0"/>
  </r>
  <r>
    <x v="0"/>
    <x v="9"/>
    <x v="9"/>
    <x v="15"/>
    <x v="15"/>
    <x v="15"/>
    <x v="14"/>
    <x v="128"/>
    <x v="161"/>
    <x v="34"/>
    <x v="169"/>
    <x v="104"/>
    <x v="153"/>
    <x v="0"/>
  </r>
  <r>
    <x v="0"/>
    <x v="9"/>
    <x v="9"/>
    <x v="16"/>
    <x v="16"/>
    <x v="16"/>
    <x v="15"/>
    <x v="103"/>
    <x v="75"/>
    <x v="98"/>
    <x v="16"/>
    <x v="104"/>
    <x v="153"/>
    <x v="0"/>
  </r>
  <r>
    <x v="0"/>
    <x v="9"/>
    <x v="9"/>
    <x v="23"/>
    <x v="23"/>
    <x v="23"/>
    <x v="16"/>
    <x v="143"/>
    <x v="77"/>
    <x v="34"/>
    <x v="169"/>
    <x v="90"/>
    <x v="141"/>
    <x v="0"/>
  </r>
  <r>
    <x v="0"/>
    <x v="9"/>
    <x v="9"/>
    <x v="14"/>
    <x v="14"/>
    <x v="14"/>
    <x v="17"/>
    <x v="105"/>
    <x v="162"/>
    <x v="35"/>
    <x v="170"/>
    <x v="86"/>
    <x v="159"/>
    <x v="0"/>
  </r>
  <r>
    <x v="0"/>
    <x v="9"/>
    <x v="9"/>
    <x v="24"/>
    <x v="24"/>
    <x v="24"/>
    <x v="18"/>
    <x v="106"/>
    <x v="16"/>
    <x v="113"/>
    <x v="171"/>
    <x v="90"/>
    <x v="141"/>
    <x v="0"/>
  </r>
  <r>
    <x v="0"/>
    <x v="9"/>
    <x v="9"/>
    <x v="29"/>
    <x v="29"/>
    <x v="29"/>
    <x v="19"/>
    <x v="121"/>
    <x v="17"/>
    <x v="53"/>
    <x v="172"/>
    <x v="50"/>
    <x v="81"/>
    <x v="0"/>
  </r>
  <r>
    <x v="0"/>
    <x v="9"/>
    <x v="9"/>
    <x v="25"/>
    <x v="25"/>
    <x v="25"/>
    <x v="19"/>
    <x v="121"/>
    <x v="17"/>
    <x v="113"/>
    <x v="171"/>
    <x v="82"/>
    <x v="160"/>
    <x v="0"/>
  </r>
  <r>
    <x v="0"/>
    <x v="9"/>
    <x v="9"/>
    <x v="13"/>
    <x v="13"/>
    <x v="13"/>
    <x v="19"/>
    <x v="121"/>
    <x v="17"/>
    <x v="36"/>
    <x v="12"/>
    <x v="88"/>
    <x v="103"/>
    <x v="0"/>
  </r>
  <r>
    <x v="0"/>
    <x v="10"/>
    <x v="10"/>
    <x v="0"/>
    <x v="0"/>
    <x v="0"/>
    <x v="0"/>
    <x v="144"/>
    <x v="163"/>
    <x v="114"/>
    <x v="173"/>
    <x v="89"/>
    <x v="161"/>
    <x v="0"/>
  </r>
  <r>
    <x v="0"/>
    <x v="10"/>
    <x v="10"/>
    <x v="2"/>
    <x v="2"/>
    <x v="2"/>
    <x v="1"/>
    <x v="37"/>
    <x v="164"/>
    <x v="64"/>
    <x v="130"/>
    <x v="66"/>
    <x v="162"/>
    <x v="0"/>
  </r>
  <r>
    <x v="0"/>
    <x v="10"/>
    <x v="10"/>
    <x v="1"/>
    <x v="1"/>
    <x v="1"/>
    <x v="2"/>
    <x v="145"/>
    <x v="165"/>
    <x v="115"/>
    <x v="174"/>
    <x v="76"/>
    <x v="160"/>
    <x v="0"/>
  </r>
  <r>
    <x v="0"/>
    <x v="10"/>
    <x v="10"/>
    <x v="6"/>
    <x v="6"/>
    <x v="6"/>
    <x v="3"/>
    <x v="86"/>
    <x v="166"/>
    <x v="85"/>
    <x v="175"/>
    <x v="88"/>
    <x v="163"/>
    <x v="0"/>
  </r>
  <r>
    <x v="0"/>
    <x v="10"/>
    <x v="10"/>
    <x v="4"/>
    <x v="4"/>
    <x v="4"/>
    <x v="4"/>
    <x v="72"/>
    <x v="167"/>
    <x v="51"/>
    <x v="176"/>
    <x v="67"/>
    <x v="164"/>
    <x v="0"/>
  </r>
  <r>
    <x v="0"/>
    <x v="10"/>
    <x v="10"/>
    <x v="3"/>
    <x v="3"/>
    <x v="3"/>
    <x v="5"/>
    <x v="125"/>
    <x v="168"/>
    <x v="29"/>
    <x v="177"/>
    <x v="104"/>
    <x v="165"/>
    <x v="0"/>
  </r>
  <r>
    <x v="0"/>
    <x v="10"/>
    <x v="10"/>
    <x v="7"/>
    <x v="7"/>
    <x v="7"/>
    <x v="6"/>
    <x v="127"/>
    <x v="169"/>
    <x v="96"/>
    <x v="44"/>
    <x v="65"/>
    <x v="76"/>
    <x v="0"/>
  </r>
  <r>
    <x v="0"/>
    <x v="10"/>
    <x v="10"/>
    <x v="8"/>
    <x v="8"/>
    <x v="8"/>
    <x v="6"/>
    <x v="127"/>
    <x v="169"/>
    <x v="84"/>
    <x v="178"/>
    <x v="57"/>
    <x v="166"/>
    <x v="0"/>
  </r>
  <r>
    <x v="0"/>
    <x v="10"/>
    <x v="10"/>
    <x v="9"/>
    <x v="9"/>
    <x v="9"/>
    <x v="8"/>
    <x v="134"/>
    <x v="170"/>
    <x v="36"/>
    <x v="179"/>
    <x v="76"/>
    <x v="160"/>
    <x v="2"/>
  </r>
  <r>
    <x v="0"/>
    <x v="10"/>
    <x v="10"/>
    <x v="11"/>
    <x v="11"/>
    <x v="11"/>
    <x v="9"/>
    <x v="118"/>
    <x v="171"/>
    <x v="62"/>
    <x v="180"/>
    <x v="107"/>
    <x v="167"/>
    <x v="0"/>
  </r>
  <r>
    <x v="0"/>
    <x v="10"/>
    <x v="10"/>
    <x v="5"/>
    <x v="5"/>
    <x v="5"/>
    <x v="10"/>
    <x v="146"/>
    <x v="172"/>
    <x v="106"/>
    <x v="181"/>
    <x v="57"/>
    <x v="166"/>
    <x v="0"/>
  </r>
  <r>
    <x v="0"/>
    <x v="10"/>
    <x v="10"/>
    <x v="12"/>
    <x v="12"/>
    <x v="12"/>
    <x v="11"/>
    <x v="120"/>
    <x v="11"/>
    <x v="37"/>
    <x v="154"/>
    <x v="90"/>
    <x v="168"/>
    <x v="0"/>
  </r>
  <r>
    <x v="0"/>
    <x v="10"/>
    <x v="10"/>
    <x v="10"/>
    <x v="10"/>
    <x v="10"/>
    <x v="12"/>
    <x v="103"/>
    <x v="173"/>
    <x v="54"/>
    <x v="42"/>
    <x v="107"/>
    <x v="167"/>
    <x v="0"/>
  </r>
  <r>
    <x v="0"/>
    <x v="10"/>
    <x v="10"/>
    <x v="17"/>
    <x v="17"/>
    <x v="17"/>
    <x v="13"/>
    <x v="121"/>
    <x v="174"/>
    <x v="35"/>
    <x v="182"/>
    <x v="54"/>
    <x v="150"/>
    <x v="0"/>
  </r>
  <r>
    <x v="0"/>
    <x v="10"/>
    <x v="10"/>
    <x v="27"/>
    <x v="27"/>
    <x v="27"/>
    <x v="14"/>
    <x v="129"/>
    <x v="54"/>
    <x v="91"/>
    <x v="109"/>
    <x v="50"/>
    <x v="1"/>
    <x v="5"/>
  </r>
  <r>
    <x v="0"/>
    <x v="10"/>
    <x v="10"/>
    <x v="29"/>
    <x v="29"/>
    <x v="29"/>
    <x v="15"/>
    <x v="147"/>
    <x v="37"/>
    <x v="116"/>
    <x v="183"/>
    <x v="54"/>
    <x v="150"/>
    <x v="0"/>
  </r>
  <r>
    <x v="0"/>
    <x v="10"/>
    <x v="10"/>
    <x v="14"/>
    <x v="14"/>
    <x v="14"/>
    <x v="15"/>
    <x v="147"/>
    <x v="37"/>
    <x v="92"/>
    <x v="157"/>
    <x v="88"/>
    <x v="163"/>
    <x v="0"/>
  </r>
  <r>
    <x v="0"/>
    <x v="10"/>
    <x v="10"/>
    <x v="30"/>
    <x v="30"/>
    <x v="30"/>
    <x v="17"/>
    <x v="136"/>
    <x v="15"/>
    <x v="92"/>
    <x v="157"/>
    <x v="97"/>
    <x v="169"/>
    <x v="0"/>
  </r>
  <r>
    <x v="0"/>
    <x v="10"/>
    <x v="10"/>
    <x v="18"/>
    <x v="18"/>
    <x v="18"/>
    <x v="17"/>
    <x v="136"/>
    <x v="15"/>
    <x v="116"/>
    <x v="183"/>
    <x v="88"/>
    <x v="163"/>
    <x v="0"/>
  </r>
  <r>
    <x v="0"/>
    <x v="10"/>
    <x v="10"/>
    <x v="31"/>
    <x v="31"/>
    <x v="31"/>
    <x v="19"/>
    <x v="148"/>
    <x v="175"/>
    <x v="113"/>
    <x v="184"/>
    <x v="50"/>
    <x v="1"/>
    <x v="0"/>
  </r>
  <r>
    <x v="0"/>
    <x v="11"/>
    <x v="11"/>
    <x v="0"/>
    <x v="0"/>
    <x v="0"/>
    <x v="0"/>
    <x v="149"/>
    <x v="176"/>
    <x v="117"/>
    <x v="185"/>
    <x v="88"/>
    <x v="170"/>
    <x v="0"/>
  </r>
  <r>
    <x v="0"/>
    <x v="11"/>
    <x v="11"/>
    <x v="1"/>
    <x v="1"/>
    <x v="1"/>
    <x v="1"/>
    <x v="150"/>
    <x v="177"/>
    <x v="118"/>
    <x v="186"/>
    <x v="94"/>
    <x v="171"/>
    <x v="0"/>
  </r>
  <r>
    <x v="0"/>
    <x v="11"/>
    <x v="11"/>
    <x v="3"/>
    <x v="3"/>
    <x v="3"/>
    <x v="2"/>
    <x v="88"/>
    <x v="178"/>
    <x v="119"/>
    <x v="187"/>
    <x v="65"/>
    <x v="172"/>
    <x v="0"/>
  </r>
  <r>
    <x v="0"/>
    <x v="11"/>
    <x v="11"/>
    <x v="2"/>
    <x v="2"/>
    <x v="2"/>
    <x v="3"/>
    <x v="151"/>
    <x v="179"/>
    <x v="96"/>
    <x v="188"/>
    <x v="67"/>
    <x v="149"/>
    <x v="0"/>
  </r>
  <r>
    <x v="0"/>
    <x v="11"/>
    <x v="11"/>
    <x v="5"/>
    <x v="5"/>
    <x v="5"/>
    <x v="3"/>
    <x v="151"/>
    <x v="179"/>
    <x v="101"/>
    <x v="189"/>
    <x v="82"/>
    <x v="173"/>
    <x v="0"/>
  </r>
  <r>
    <x v="0"/>
    <x v="11"/>
    <x v="11"/>
    <x v="6"/>
    <x v="6"/>
    <x v="6"/>
    <x v="5"/>
    <x v="102"/>
    <x v="180"/>
    <x v="49"/>
    <x v="190"/>
    <x v="54"/>
    <x v="174"/>
    <x v="0"/>
  </r>
  <r>
    <x v="0"/>
    <x v="11"/>
    <x v="11"/>
    <x v="9"/>
    <x v="9"/>
    <x v="9"/>
    <x v="6"/>
    <x v="91"/>
    <x v="181"/>
    <x v="62"/>
    <x v="191"/>
    <x v="88"/>
    <x v="170"/>
    <x v="0"/>
  </r>
  <r>
    <x v="0"/>
    <x v="11"/>
    <x v="11"/>
    <x v="4"/>
    <x v="4"/>
    <x v="4"/>
    <x v="7"/>
    <x v="120"/>
    <x v="48"/>
    <x v="104"/>
    <x v="192"/>
    <x v="88"/>
    <x v="170"/>
    <x v="0"/>
  </r>
  <r>
    <x v="0"/>
    <x v="11"/>
    <x v="11"/>
    <x v="7"/>
    <x v="7"/>
    <x v="7"/>
    <x v="8"/>
    <x v="105"/>
    <x v="182"/>
    <x v="92"/>
    <x v="193"/>
    <x v="79"/>
    <x v="175"/>
    <x v="0"/>
  </r>
  <r>
    <x v="0"/>
    <x v="11"/>
    <x v="11"/>
    <x v="8"/>
    <x v="8"/>
    <x v="8"/>
    <x v="9"/>
    <x v="106"/>
    <x v="183"/>
    <x v="106"/>
    <x v="194"/>
    <x v="97"/>
    <x v="176"/>
    <x v="0"/>
  </r>
  <r>
    <x v="0"/>
    <x v="11"/>
    <x v="11"/>
    <x v="10"/>
    <x v="10"/>
    <x v="10"/>
    <x v="10"/>
    <x v="135"/>
    <x v="171"/>
    <x v="52"/>
    <x v="195"/>
    <x v="87"/>
    <x v="82"/>
    <x v="0"/>
  </r>
  <r>
    <x v="0"/>
    <x v="11"/>
    <x v="11"/>
    <x v="14"/>
    <x v="14"/>
    <x v="14"/>
    <x v="11"/>
    <x v="122"/>
    <x v="184"/>
    <x v="92"/>
    <x v="193"/>
    <x v="54"/>
    <x v="174"/>
    <x v="0"/>
  </r>
  <r>
    <x v="0"/>
    <x v="11"/>
    <x v="11"/>
    <x v="12"/>
    <x v="12"/>
    <x v="12"/>
    <x v="12"/>
    <x v="136"/>
    <x v="185"/>
    <x v="53"/>
    <x v="196"/>
    <x v="93"/>
    <x v="177"/>
    <x v="0"/>
  </r>
  <r>
    <x v="0"/>
    <x v="11"/>
    <x v="11"/>
    <x v="18"/>
    <x v="18"/>
    <x v="18"/>
    <x v="13"/>
    <x v="148"/>
    <x v="134"/>
    <x v="116"/>
    <x v="12"/>
    <x v="88"/>
    <x v="170"/>
    <x v="0"/>
  </r>
  <r>
    <x v="0"/>
    <x v="11"/>
    <x v="11"/>
    <x v="13"/>
    <x v="13"/>
    <x v="13"/>
    <x v="14"/>
    <x v="152"/>
    <x v="186"/>
    <x v="81"/>
    <x v="197"/>
    <x v="106"/>
    <x v="155"/>
    <x v="0"/>
  </r>
  <r>
    <x v="0"/>
    <x v="11"/>
    <x v="11"/>
    <x v="27"/>
    <x v="27"/>
    <x v="27"/>
    <x v="14"/>
    <x v="152"/>
    <x v="186"/>
    <x v="91"/>
    <x v="109"/>
    <x v="88"/>
    <x v="170"/>
    <x v="0"/>
  </r>
  <r>
    <x v="0"/>
    <x v="11"/>
    <x v="11"/>
    <x v="15"/>
    <x v="15"/>
    <x v="15"/>
    <x v="16"/>
    <x v="153"/>
    <x v="107"/>
    <x v="98"/>
    <x v="198"/>
    <x v="97"/>
    <x v="176"/>
    <x v="0"/>
  </r>
  <r>
    <x v="0"/>
    <x v="11"/>
    <x v="11"/>
    <x v="11"/>
    <x v="11"/>
    <x v="11"/>
    <x v="16"/>
    <x v="153"/>
    <x v="107"/>
    <x v="116"/>
    <x v="12"/>
    <x v="87"/>
    <x v="82"/>
    <x v="0"/>
  </r>
  <r>
    <x v="0"/>
    <x v="11"/>
    <x v="11"/>
    <x v="30"/>
    <x v="30"/>
    <x v="30"/>
    <x v="18"/>
    <x v="154"/>
    <x v="92"/>
    <x v="113"/>
    <x v="199"/>
    <x v="108"/>
    <x v="178"/>
    <x v="0"/>
  </r>
  <r>
    <x v="0"/>
    <x v="11"/>
    <x v="11"/>
    <x v="32"/>
    <x v="32"/>
    <x v="32"/>
    <x v="18"/>
    <x v="154"/>
    <x v="92"/>
    <x v="50"/>
    <x v="200"/>
    <x v="107"/>
    <x v="179"/>
    <x v="0"/>
  </r>
  <r>
    <x v="0"/>
    <x v="12"/>
    <x v="12"/>
    <x v="0"/>
    <x v="0"/>
    <x v="0"/>
    <x v="0"/>
    <x v="36"/>
    <x v="187"/>
    <x v="117"/>
    <x v="201"/>
    <x v="76"/>
    <x v="19"/>
    <x v="0"/>
  </r>
  <r>
    <x v="0"/>
    <x v="12"/>
    <x v="12"/>
    <x v="2"/>
    <x v="2"/>
    <x v="2"/>
    <x v="1"/>
    <x v="155"/>
    <x v="188"/>
    <x v="112"/>
    <x v="202"/>
    <x v="51"/>
    <x v="180"/>
    <x v="0"/>
  </r>
  <r>
    <x v="0"/>
    <x v="12"/>
    <x v="12"/>
    <x v="1"/>
    <x v="1"/>
    <x v="1"/>
    <x v="2"/>
    <x v="98"/>
    <x v="189"/>
    <x v="120"/>
    <x v="203"/>
    <x v="86"/>
    <x v="181"/>
    <x v="0"/>
  </r>
  <r>
    <x v="0"/>
    <x v="12"/>
    <x v="12"/>
    <x v="3"/>
    <x v="3"/>
    <x v="3"/>
    <x v="3"/>
    <x v="53"/>
    <x v="167"/>
    <x v="89"/>
    <x v="128"/>
    <x v="83"/>
    <x v="182"/>
    <x v="0"/>
  </r>
  <r>
    <x v="0"/>
    <x v="12"/>
    <x v="12"/>
    <x v="6"/>
    <x v="6"/>
    <x v="6"/>
    <x v="4"/>
    <x v="156"/>
    <x v="190"/>
    <x v="121"/>
    <x v="204"/>
    <x v="57"/>
    <x v="64"/>
    <x v="0"/>
  </r>
  <r>
    <x v="0"/>
    <x v="12"/>
    <x v="12"/>
    <x v="5"/>
    <x v="5"/>
    <x v="5"/>
    <x v="5"/>
    <x v="73"/>
    <x v="191"/>
    <x v="89"/>
    <x v="128"/>
    <x v="98"/>
    <x v="183"/>
    <x v="0"/>
  </r>
  <r>
    <x v="0"/>
    <x v="12"/>
    <x v="12"/>
    <x v="4"/>
    <x v="4"/>
    <x v="4"/>
    <x v="6"/>
    <x v="74"/>
    <x v="192"/>
    <x v="84"/>
    <x v="205"/>
    <x v="90"/>
    <x v="184"/>
    <x v="0"/>
  </r>
  <r>
    <x v="0"/>
    <x v="12"/>
    <x v="12"/>
    <x v="7"/>
    <x v="7"/>
    <x v="7"/>
    <x v="7"/>
    <x v="151"/>
    <x v="66"/>
    <x v="36"/>
    <x v="206"/>
    <x v="78"/>
    <x v="185"/>
    <x v="0"/>
  </r>
  <r>
    <x v="0"/>
    <x v="12"/>
    <x v="12"/>
    <x v="9"/>
    <x v="9"/>
    <x v="9"/>
    <x v="8"/>
    <x v="134"/>
    <x v="193"/>
    <x v="104"/>
    <x v="207"/>
    <x v="97"/>
    <x v="186"/>
    <x v="0"/>
  </r>
  <r>
    <x v="0"/>
    <x v="12"/>
    <x v="12"/>
    <x v="10"/>
    <x v="10"/>
    <x v="10"/>
    <x v="9"/>
    <x v="113"/>
    <x v="68"/>
    <x v="111"/>
    <x v="208"/>
    <x v="54"/>
    <x v="97"/>
    <x v="0"/>
  </r>
  <r>
    <x v="0"/>
    <x v="12"/>
    <x v="12"/>
    <x v="8"/>
    <x v="8"/>
    <x v="8"/>
    <x v="10"/>
    <x v="114"/>
    <x v="194"/>
    <x v="62"/>
    <x v="79"/>
    <x v="97"/>
    <x v="186"/>
    <x v="0"/>
  </r>
  <r>
    <x v="0"/>
    <x v="12"/>
    <x v="12"/>
    <x v="29"/>
    <x v="29"/>
    <x v="29"/>
    <x v="11"/>
    <x v="104"/>
    <x v="116"/>
    <x v="106"/>
    <x v="209"/>
    <x v="54"/>
    <x v="97"/>
    <x v="0"/>
  </r>
  <r>
    <x v="0"/>
    <x v="12"/>
    <x v="12"/>
    <x v="14"/>
    <x v="14"/>
    <x v="14"/>
    <x v="12"/>
    <x v="105"/>
    <x v="195"/>
    <x v="122"/>
    <x v="210"/>
    <x v="76"/>
    <x v="19"/>
    <x v="0"/>
  </r>
  <r>
    <x v="0"/>
    <x v="12"/>
    <x v="12"/>
    <x v="13"/>
    <x v="13"/>
    <x v="13"/>
    <x v="13"/>
    <x v="129"/>
    <x v="196"/>
    <x v="122"/>
    <x v="210"/>
    <x v="108"/>
    <x v="187"/>
    <x v="0"/>
  </r>
  <r>
    <x v="0"/>
    <x v="12"/>
    <x v="12"/>
    <x v="11"/>
    <x v="11"/>
    <x v="11"/>
    <x v="13"/>
    <x v="129"/>
    <x v="196"/>
    <x v="90"/>
    <x v="108"/>
    <x v="87"/>
    <x v="188"/>
    <x v="0"/>
  </r>
  <r>
    <x v="0"/>
    <x v="12"/>
    <x v="12"/>
    <x v="12"/>
    <x v="12"/>
    <x v="12"/>
    <x v="15"/>
    <x v="136"/>
    <x v="54"/>
    <x v="37"/>
    <x v="211"/>
    <x v="97"/>
    <x v="186"/>
    <x v="0"/>
  </r>
  <r>
    <x v="0"/>
    <x v="12"/>
    <x v="12"/>
    <x v="18"/>
    <x v="18"/>
    <x v="18"/>
    <x v="15"/>
    <x v="136"/>
    <x v="54"/>
    <x v="34"/>
    <x v="183"/>
    <x v="76"/>
    <x v="19"/>
    <x v="0"/>
  </r>
  <r>
    <x v="0"/>
    <x v="12"/>
    <x v="12"/>
    <x v="15"/>
    <x v="15"/>
    <x v="15"/>
    <x v="17"/>
    <x v="148"/>
    <x v="38"/>
    <x v="98"/>
    <x v="35"/>
    <x v="57"/>
    <x v="64"/>
    <x v="0"/>
  </r>
  <r>
    <x v="0"/>
    <x v="12"/>
    <x v="12"/>
    <x v="30"/>
    <x v="30"/>
    <x v="30"/>
    <x v="18"/>
    <x v="157"/>
    <x v="57"/>
    <x v="36"/>
    <x v="206"/>
    <x v="106"/>
    <x v="155"/>
    <x v="0"/>
  </r>
  <r>
    <x v="0"/>
    <x v="12"/>
    <x v="12"/>
    <x v="23"/>
    <x v="23"/>
    <x v="23"/>
    <x v="19"/>
    <x v="152"/>
    <x v="197"/>
    <x v="98"/>
    <x v="35"/>
    <x v="50"/>
    <x v="189"/>
    <x v="0"/>
  </r>
  <r>
    <x v="0"/>
    <x v="13"/>
    <x v="13"/>
    <x v="0"/>
    <x v="0"/>
    <x v="0"/>
    <x v="0"/>
    <x v="158"/>
    <x v="198"/>
    <x v="123"/>
    <x v="212"/>
    <x v="67"/>
    <x v="190"/>
    <x v="0"/>
  </r>
  <r>
    <x v="0"/>
    <x v="13"/>
    <x v="13"/>
    <x v="3"/>
    <x v="3"/>
    <x v="3"/>
    <x v="1"/>
    <x v="159"/>
    <x v="199"/>
    <x v="33"/>
    <x v="213"/>
    <x v="99"/>
    <x v="191"/>
    <x v="2"/>
  </r>
  <r>
    <x v="0"/>
    <x v="13"/>
    <x v="13"/>
    <x v="1"/>
    <x v="1"/>
    <x v="1"/>
    <x v="2"/>
    <x v="160"/>
    <x v="2"/>
    <x v="124"/>
    <x v="214"/>
    <x v="90"/>
    <x v="192"/>
    <x v="0"/>
  </r>
  <r>
    <x v="0"/>
    <x v="13"/>
    <x v="13"/>
    <x v="2"/>
    <x v="2"/>
    <x v="2"/>
    <x v="3"/>
    <x v="33"/>
    <x v="200"/>
    <x v="125"/>
    <x v="215"/>
    <x v="109"/>
    <x v="193"/>
    <x v="0"/>
  </r>
  <r>
    <x v="0"/>
    <x v="13"/>
    <x v="13"/>
    <x v="4"/>
    <x v="4"/>
    <x v="4"/>
    <x v="4"/>
    <x v="161"/>
    <x v="201"/>
    <x v="73"/>
    <x v="216"/>
    <x v="66"/>
    <x v="140"/>
    <x v="0"/>
  </r>
  <r>
    <x v="0"/>
    <x v="13"/>
    <x v="13"/>
    <x v="28"/>
    <x v="28"/>
    <x v="28"/>
    <x v="5"/>
    <x v="162"/>
    <x v="82"/>
    <x v="76"/>
    <x v="217"/>
    <x v="110"/>
    <x v="194"/>
    <x v="0"/>
  </r>
  <r>
    <x v="0"/>
    <x v="13"/>
    <x v="13"/>
    <x v="5"/>
    <x v="5"/>
    <x v="5"/>
    <x v="6"/>
    <x v="67"/>
    <x v="202"/>
    <x v="126"/>
    <x v="218"/>
    <x v="105"/>
    <x v="195"/>
    <x v="2"/>
  </r>
  <r>
    <x v="0"/>
    <x v="13"/>
    <x v="13"/>
    <x v="6"/>
    <x v="6"/>
    <x v="6"/>
    <x v="7"/>
    <x v="37"/>
    <x v="203"/>
    <x v="127"/>
    <x v="219"/>
    <x v="90"/>
    <x v="192"/>
    <x v="0"/>
  </r>
  <r>
    <x v="0"/>
    <x v="13"/>
    <x v="13"/>
    <x v="7"/>
    <x v="7"/>
    <x v="7"/>
    <x v="8"/>
    <x v="150"/>
    <x v="204"/>
    <x v="128"/>
    <x v="123"/>
    <x v="48"/>
    <x v="196"/>
    <x v="0"/>
  </r>
  <r>
    <x v="0"/>
    <x v="13"/>
    <x v="13"/>
    <x v="9"/>
    <x v="9"/>
    <x v="9"/>
    <x v="9"/>
    <x v="98"/>
    <x v="205"/>
    <x v="75"/>
    <x v="220"/>
    <x v="82"/>
    <x v="197"/>
    <x v="0"/>
  </r>
  <r>
    <x v="0"/>
    <x v="13"/>
    <x v="13"/>
    <x v="8"/>
    <x v="8"/>
    <x v="8"/>
    <x v="10"/>
    <x v="89"/>
    <x v="159"/>
    <x v="119"/>
    <x v="221"/>
    <x v="95"/>
    <x v="198"/>
    <x v="0"/>
  </r>
  <r>
    <x v="0"/>
    <x v="13"/>
    <x v="13"/>
    <x v="10"/>
    <x v="10"/>
    <x v="10"/>
    <x v="11"/>
    <x v="57"/>
    <x v="206"/>
    <x v="79"/>
    <x v="222"/>
    <x v="93"/>
    <x v="199"/>
    <x v="2"/>
  </r>
  <r>
    <x v="0"/>
    <x v="13"/>
    <x v="13"/>
    <x v="14"/>
    <x v="14"/>
    <x v="14"/>
    <x v="12"/>
    <x v="58"/>
    <x v="207"/>
    <x v="84"/>
    <x v="155"/>
    <x v="95"/>
    <x v="198"/>
    <x v="0"/>
  </r>
  <r>
    <x v="0"/>
    <x v="13"/>
    <x v="13"/>
    <x v="11"/>
    <x v="11"/>
    <x v="11"/>
    <x v="12"/>
    <x v="58"/>
    <x v="207"/>
    <x v="48"/>
    <x v="223"/>
    <x v="88"/>
    <x v="200"/>
    <x v="0"/>
  </r>
  <r>
    <x v="0"/>
    <x v="13"/>
    <x v="13"/>
    <x v="12"/>
    <x v="12"/>
    <x v="12"/>
    <x v="14"/>
    <x v="59"/>
    <x v="208"/>
    <x v="84"/>
    <x v="155"/>
    <x v="98"/>
    <x v="201"/>
    <x v="0"/>
  </r>
  <r>
    <x v="0"/>
    <x v="13"/>
    <x v="13"/>
    <x v="13"/>
    <x v="13"/>
    <x v="13"/>
    <x v="15"/>
    <x v="101"/>
    <x v="13"/>
    <x v="112"/>
    <x v="210"/>
    <x v="86"/>
    <x v="88"/>
    <x v="0"/>
  </r>
  <r>
    <x v="0"/>
    <x v="13"/>
    <x v="13"/>
    <x v="15"/>
    <x v="15"/>
    <x v="15"/>
    <x v="16"/>
    <x v="128"/>
    <x v="15"/>
    <x v="116"/>
    <x v="224"/>
    <x v="65"/>
    <x v="33"/>
    <x v="0"/>
  </r>
  <r>
    <x v="0"/>
    <x v="13"/>
    <x v="13"/>
    <x v="18"/>
    <x v="18"/>
    <x v="18"/>
    <x v="17"/>
    <x v="104"/>
    <x v="209"/>
    <x v="122"/>
    <x v="225"/>
    <x v="50"/>
    <x v="202"/>
    <x v="0"/>
  </r>
  <r>
    <x v="0"/>
    <x v="13"/>
    <x v="13"/>
    <x v="17"/>
    <x v="17"/>
    <x v="17"/>
    <x v="18"/>
    <x v="106"/>
    <x v="210"/>
    <x v="116"/>
    <x v="224"/>
    <x v="89"/>
    <x v="203"/>
    <x v="0"/>
  </r>
  <r>
    <x v="0"/>
    <x v="13"/>
    <x v="13"/>
    <x v="25"/>
    <x v="25"/>
    <x v="25"/>
    <x v="19"/>
    <x v="135"/>
    <x v="211"/>
    <x v="92"/>
    <x v="226"/>
    <x v="50"/>
    <x v="202"/>
    <x v="0"/>
  </r>
  <r>
    <x v="0"/>
    <x v="13"/>
    <x v="13"/>
    <x v="20"/>
    <x v="20"/>
    <x v="20"/>
    <x v="19"/>
    <x v="135"/>
    <x v="211"/>
    <x v="34"/>
    <x v="227"/>
    <x v="79"/>
    <x v="204"/>
    <x v="0"/>
  </r>
  <r>
    <x v="0"/>
    <x v="14"/>
    <x v="14"/>
    <x v="0"/>
    <x v="0"/>
    <x v="0"/>
    <x v="0"/>
    <x v="163"/>
    <x v="212"/>
    <x v="129"/>
    <x v="228"/>
    <x v="111"/>
    <x v="139"/>
    <x v="0"/>
  </r>
  <r>
    <x v="0"/>
    <x v="14"/>
    <x v="14"/>
    <x v="1"/>
    <x v="1"/>
    <x v="1"/>
    <x v="1"/>
    <x v="45"/>
    <x v="60"/>
    <x v="130"/>
    <x v="229"/>
    <x v="85"/>
    <x v="205"/>
    <x v="0"/>
  </r>
  <r>
    <x v="0"/>
    <x v="14"/>
    <x v="14"/>
    <x v="2"/>
    <x v="2"/>
    <x v="2"/>
    <x v="2"/>
    <x v="139"/>
    <x v="213"/>
    <x v="69"/>
    <x v="230"/>
    <x v="112"/>
    <x v="206"/>
    <x v="0"/>
  </r>
  <r>
    <x v="0"/>
    <x v="14"/>
    <x v="14"/>
    <x v="5"/>
    <x v="5"/>
    <x v="5"/>
    <x v="3"/>
    <x v="164"/>
    <x v="214"/>
    <x v="131"/>
    <x v="231"/>
    <x v="113"/>
    <x v="60"/>
    <x v="0"/>
  </r>
  <r>
    <x v="0"/>
    <x v="14"/>
    <x v="14"/>
    <x v="3"/>
    <x v="3"/>
    <x v="3"/>
    <x v="4"/>
    <x v="68"/>
    <x v="215"/>
    <x v="121"/>
    <x v="232"/>
    <x v="114"/>
    <x v="207"/>
    <x v="0"/>
  </r>
  <r>
    <x v="0"/>
    <x v="14"/>
    <x v="14"/>
    <x v="9"/>
    <x v="9"/>
    <x v="9"/>
    <x v="5"/>
    <x v="96"/>
    <x v="216"/>
    <x v="132"/>
    <x v="233"/>
    <x v="98"/>
    <x v="208"/>
    <x v="0"/>
  </r>
  <r>
    <x v="0"/>
    <x v="14"/>
    <x v="14"/>
    <x v="6"/>
    <x v="6"/>
    <x v="6"/>
    <x v="6"/>
    <x v="132"/>
    <x v="217"/>
    <x v="120"/>
    <x v="234"/>
    <x v="83"/>
    <x v="209"/>
    <x v="0"/>
  </r>
  <r>
    <x v="0"/>
    <x v="14"/>
    <x v="14"/>
    <x v="10"/>
    <x v="10"/>
    <x v="10"/>
    <x v="6"/>
    <x v="132"/>
    <x v="217"/>
    <x v="24"/>
    <x v="235"/>
    <x v="76"/>
    <x v="210"/>
    <x v="0"/>
  </r>
  <r>
    <x v="0"/>
    <x v="14"/>
    <x v="14"/>
    <x v="4"/>
    <x v="4"/>
    <x v="4"/>
    <x v="8"/>
    <x v="165"/>
    <x v="48"/>
    <x v="84"/>
    <x v="236"/>
    <x v="48"/>
    <x v="211"/>
    <x v="0"/>
  </r>
  <r>
    <x v="0"/>
    <x v="14"/>
    <x v="14"/>
    <x v="12"/>
    <x v="12"/>
    <x v="12"/>
    <x v="9"/>
    <x v="126"/>
    <x v="8"/>
    <x v="122"/>
    <x v="237"/>
    <x v="41"/>
    <x v="212"/>
    <x v="0"/>
  </r>
  <r>
    <x v="0"/>
    <x v="14"/>
    <x v="14"/>
    <x v="8"/>
    <x v="8"/>
    <x v="8"/>
    <x v="10"/>
    <x v="54"/>
    <x v="218"/>
    <x v="84"/>
    <x v="236"/>
    <x v="111"/>
    <x v="139"/>
    <x v="0"/>
  </r>
  <r>
    <x v="0"/>
    <x v="14"/>
    <x v="14"/>
    <x v="7"/>
    <x v="7"/>
    <x v="7"/>
    <x v="11"/>
    <x v="142"/>
    <x v="133"/>
    <x v="92"/>
    <x v="238"/>
    <x v="110"/>
    <x v="20"/>
    <x v="0"/>
  </r>
  <r>
    <x v="0"/>
    <x v="14"/>
    <x v="14"/>
    <x v="14"/>
    <x v="14"/>
    <x v="14"/>
    <x v="12"/>
    <x v="102"/>
    <x v="72"/>
    <x v="54"/>
    <x v="239"/>
    <x v="90"/>
    <x v="213"/>
    <x v="0"/>
  </r>
  <r>
    <x v="0"/>
    <x v="14"/>
    <x v="14"/>
    <x v="13"/>
    <x v="13"/>
    <x v="13"/>
    <x v="12"/>
    <x v="102"/>
    <x v="72"/>
    <x v="84"/>
    <x v="236"/>
    <x v="54"/>
    <x v="121"/>
    <x v="2"/>
  </r>
  <r>
    <x v="0"/>
    <x v="14"/>
    <x v="14"/>
    <x v="19"/>
    <x v="19"/>
    <x v="19"/>
    <x v="14"/>
    <x v="133"/>
    <x v="160"/>
    <x v="68"/>
    <x v="240"/>
    <x v="77"/>
    <x v="214"/>
    <x v="0"/>
  </r>
  <r>
    <x v="0"/>
    <x v="14"/>
    <x v="14"/>
    <x v="18"/>
    <x v="18"/>
    <x v="18"/>
    <x v="15"/>
    <x v="117"/>
    <x v="196"/>
    <x v="81"/>
    <x v="241"/>
    <x v="90"/>
    <x v="213"/>
    <x v="0"/>
  </r>
  <r>
    <x v="0"/>
    <x v="14"/>
    <x v="14"/>
    <x v="11"/>
    <x v="11"/>
    <x v="11"/>
    <x v="16"/>
    <x v="128"/>
    <x v="219"/>
    <x v="97"/>
    <x v="123"/>
    <x v="93"/>
    <x v="215"/>
    <x v="0"/>
  </r>
  <r>
    <x v="0"/>
    <x v="14"/>
    <x v="14"/>
    <x v="33"/>
    <x v="33"/>
    <x v="33"/>
    <x v="17"/>
    <x v="119"/>
    <x v="220"/>
    <x v="106"/>
    <x v="56"/>
    <x v="79"/>
    <x v="216"/>
    <x v="0"/>
  </r>
  <r>
    <x v="0"/>
    <x v="14"/>
    <x v="14"/>
    <x v="16"/>
    <x v="16"/>
    <x v="16"/>
    <x v="18"/>
    <x v="143"/>
    <x v="221"/>
    <x v="98"/>
    <x v="200"/>
    <x v="67"/>
    <x v="37"/>
    <x v="0"/>
  </r>
  <r>
    <x v="0"/>
    <x v="14"/>
    <x v="14"/>
    <x v="27"/>
    <x v="27"/>
    <x v="27"/>
    <x v="19"/>
    <x v="105"/>
    <x v="91"/>
    <x v="50"/>
    <x v="242"/>
    <x v="82"/>
    <x v="217"/>
    <x v="0"/>
  </r>
  <r>
    <x v="0"/>
    <x v="15"/>
    <x v="15"/>
    <x v="0"/>
    <x v="0"/>
    <x v="0"/>
    <x v="0"/>
    <x v="166"/>
    <x v="222"/>
    <x v="133"/>
    <x v="243"/>
    <x v="56"/>
    <x v="218"/>
    <x v="0"/>
  </r>
  <r>
    <x v="0"/>
    <x v="15"/>
    <x v="15"/>
    <x v="1"/>
    <x v="1"/>
    <x v="1"/>
    <x v="1"/>
    <x v="167"/>
    <x v="223"/>
    <x v="134"/>
    <x v="244"/>
    <x v="78"/>
    <x v="219"/>
    <x v="0"/>
  </r>
  <r>
    <x v="0"/>
    <x v="15"/>
    <x v="15"/>
    <x v="5"/>
    <x v="5"/>
    <x v="5"/>
    <x v="2"/>
    <x v="84"/>
    <x v="224"/>
    <x v="80"/>
    <x v="23"/>
    <x v="115"/>
    <x v="220"/>
    <x v="0"/>
  </r>
  <r>
    <x v="0"/>
    <x v="15"/>
    <x v="15"/>
    <x v="3"/>
    <x v="3"/>
    <x v="3"/>
    <x v="3"/>
    <x v="131"/>
    <x v="225"/>
    <x v="121"/>
    <x v="245"/>
    <x v="103"/>
    <x v="221"/>
    <x v="0"/>
  </r>
  <r>
    <x v="0"/>
    <x v="15"/>
    <x v="15"/>
    <x v="2"/>
    <x v="2"/>
    <x v="2"/>
    <x v="4"/>
    <x v="168"/>
    <x v="226"/>
    <x v="105"/>
    <x v="246"/>
    <x v="115"/>
    <x v="220"/>
    <x v="0"/>
  </r>
  <r>
    <x v="0"/>
    <x v="15"/>
    <x v="15"/>
    <x v="6"/>
    <x v="6"/>
    <x v="6"/>
    <x v="5"/>
    <x v="72"/>
    <x v="99"/>
    <x v="135"/>
    <x v="80"/>
    <x v="63"/>
    <x v="222"/>
    <x v="0"/>
  </r>
  <r>
    <x v="0"/>
    <x v="15"/>
    <x v="15"/>
    <x v="10"/>
    <x v="10"/>
    <x v="10"/>
    <x v="6"/>
    <x v="165"/>
    <x v="157"/>
    <x v="110"/>
    <x v="247"/>
    <x v="79"/>
    <x v="223"/>
    <x v="0"/>
  </r>
  <r>
    <x v="0"/>
    <x v="15"/>
    <x v="15"/>
    <x v="4"/>
    <x v="4"/>
    <x v="4"/>
    <x v="7"/>
    <x v="112"/>
    <x v="227"/>
    <x v="45"/>
    <x v="248"/>
    <x v="116"/>
    <x v="224"/>
    <x v="0"/>
  </r>
  <r>
    <x v="0"/>
    <x v="15"/>
    <x v="15"/>
    <x v="9"/>
    <x v="9"/>
    <x v="9"/>
    <x v="8"/>
    <x v="54"/>
    <x v="144"/>
    <x v="32"/>
    <x v="249"/>
    <x v="57"/>
    <x v="123"/>
    <x v="0"/>
  </r>
  <r>
    <x v="0"/>
    <x v="15"/>
    <x v="15"/>
    <x v="7"/>
    <x v="7"/>
    <x v="7"/>
    <x v="9"/>
    <x v="100"/>
    <x v="228"/>
    <x v="105"/>
    <x v="246"/>
    <x v="55"/>
    <x v="225"/>
    <x v="0"/>
  </r>
  <r>
    <x v="0"/>
    <x v="15"/>
    <x v="15"/>
    <x v="13"/>
    <x v="13"/>
    <x v="13"/>
    <x v="10"/>
    <x v="169"/>
    <x v="229"/>
    <x v="86"/>
    <x v="250"/>
    <x v="63"/>
    <x v="222"/>
    <x v="0"/>
  </r>
  <r>
    <x v="0"/>
    <x v="15"/>
    <x v="15"/>
    <x v="8"/>
    <x v="8"/>
    <x v="8"/>
    <x v="11"/>
    <x v="59"/>
    <x v="205"/>
    <x v="84"/>
    <x v="251"/>
    <x v="82"/>
    <x v="205"/>
    <x v="0"/>
  </r>
  <r>
    <x v="0"/>
    <x v="15"/>
    <x v="15"/>
    <x v="18"/>
    <x v="18"/>
    <x v="18"/>
    <x v="12"/>
    <x v="170"/>
    <x v="230"/>
    <x v="54"/>
    <x v="252"/>
    <x v="67"/>
    <x v="0"/>
    <x v="0"/>
  </r>
  <r>
    <x v="0"/>
    <x v="15"/>
    <x v="15"/>
    <x v="19"/>
    <x v="19"/>
    <x v="19"/>
    <x v="13"/>
    <x v="114"/>
    <x v="11"/>
    <x v="68"/>
    <x v="36"/>
    <x v="105"/>
    <x v="226"/>
    <x v="0"/>
  </r>
  <r>
    <x v="0"/>
    <x v="15"/>
    <x v="15"/>
    <x v="12"/>
    <x v="12"/>
    <x v="12"/>
    <x v="14"/>
    <x v="116"/>
    <x v="33"/>
    <x v="81"/>
    <x v="253"/>
    <x v="63"/>
    <x v="222"/>
    <x v="0"/>
  </r>
  <r>
    <x v="0"/>
    <x v="15"/>
    <x v="15"/>
    <x v="14"/>
    <x v="14"/>
    <x v="14"/>
    <x v="15"/>
    <x v="103"/>
    <x v="231"/>
    <x v="81"/>
    <x v="253"/>
    <x v="79"/>
    <x v="223"/>
    <x v="0"/>
  </r>
  <r>
    <x v="0"/>
    <x v="15"/>
    <x v="15"/>
    <x v="15"/>
    <x v="15"/>
    <x v="15"/>
    <x v="16"/>
    <x v="135"/>
    <x v="232"/>
    <x v="91"/>
    <x v="109"/>
    <x v="85"/>
    <x v="126"/>
    <x v="0"/>
  </r>
  <r>
    <x v="0"/>
    <x v="15"/>
    <x v="15"/>
    <x v="16"/>
    <x v="16"/>
    <x v="16"/>
    <x v="16"/>
    <x v="135"/>
    <x v="232"/>
    <x v="98"/>
    <x v="139"/>
    <x v="90"/>
    <x v="227"/>
    <x v="0"/>
  </r>
  <r>
    <x v="0"/>
    <x v="15"/>
    <x v="15"/>
    <x v="33"/>
    <x v="33"/>
    <x v="33"/>
    <x v="18"/>
    <x v="129"/>
    <x v="233"/>
    <x v="98"/>
    <x v="139"/>
    <x v="98"/>
    <x v="228"/>
    <x v="0"/>
  </r>
  <r>
    <x v="0"/>
    <x v="15"/>
    <x v="15"/>
    <x v="20"/>
    <x v="20"/>
    <x v="20"/>
    <x v="19"/>
    <x v="147"/>
    <x v="234"/>
    <x v="68"/>
    <x v="36"/>
    <x v="79"/>
    <x v="223"/>
    <x v="0"/>
  </r>
  <r>
    <x v="0"/>
    <x v="16"/>
    <x v="16"/>
    <x v="0"/>
    <x v="0"/>
    <x v="0"/>
    <x v="0"/>
    <x v="171"/>
    <x v="235"/>
    <x v="136"/>
    <x v="254"/>
    <x v="117"/>
    <x v="170"/>
    <x v="0"/>
  </r>
  <r>
    <x v="0"/>
    <x v="16"/>
    <x v="16"/>
    <x v="2"/>
    <x v="2"/>
    <x v="2"/>
    <x v="1"/>
    <x v="172"/>
    <x v="236"/>
    <x v="137"/>
    <x v="255"/>
    <x v="118"/>
    <x v="229"/>
    <x v="0"/>
  </r>
  <r>
    <x v="0"/>
    <x v="16"/>
    <x v="16"/>
    <x v="1"/>
    <x v="1"/>
    <x v="1"/>
    <x v="2"/>
    <x v="173"/>
    <x v="237"/>
    <x v="138"/>
    <x v="256"/>
    <x v="119"/>
    <x v="230"/>
    <x v="0"/>
  </r>
  <r>
    <x v="0"/>
    <x v="16"/>
    <x v="16"/>
    <x v="5"/>
    <x v="5"/>
    <x v="5"/>
    <x v="3"/>
    <x v="174"/>
    <x v="238"/>
    <x v="121"/>
    <x v="257"/>
    <x v="120"/>
    <x v="231"/>
    <x v="0"/>
  </r>
  <r>
    <x v="0"/>
    <x v="16"/>
    <x v="16"/>
    <x v="3"/>
    <x v="3"/>
    <x v="3"/>
    <x v="4"/>
    <x v="175"/>
    <x v="239"/>
    <x v="139"/>
    <x v="258"/>
    <x v="121"/>
    <x v="94"/>
    <x v="0"/>
  </r>
  <r>
    <x v="0"/>
    <x v="16"/>
    <x v="16"/>
    <x v="4"/>
    <x v="4"/>
    <x v="4"/>
    <x v="5"/>
    <x v="176"/>
    <x v="240"/>
    <x v="140"/>
    <x v="164"/>
    <x v="122"/>
    <x v="232"/>
    <x v="0"/>
  </r>
  <r>
    <x v="0"/>
    <x v="16"/>
    <x v="16"/>
    <x v="7"/>
    <x v="7"/>
    <x v="7"/>
    <x v="6"/>
    <x v="166"/>
    <x v="241"/>
    <x v="131"/>
    <x v="259"/>
    <x v="123"/>
    <x v="233"/>
    <x v="0"/>
  </r>
  <r>
    <x v="0"/>
    <x v="16"/>
    <x v="16"/>
    <x v="6"/>
    <x v="6"/>
    <x v="6"/>
    <x v="7"/>
    <x v="160"/>
    <x v="48"/>
    <x v="141"/>
    <x v="260"/>
    <x v="72"/>
    <x v="234"/>
    <x v="0"/>
  </r>
  <r>
    <x v="0"/>
    <x v="16"/>
    <x v="16"/>
    <x v="9"/>
    <x v="9"/>
    <x v="9"/>
    <x v="8"/>
    <x v="33"/>
    <x v="194"/>
    <x v="77"/>
    <x v="261"/>
    <x v="53"/>
    <x v="235"/>
    <x v="0"/>
  </r>
  <r>
    <x v="0"/>
    <x v="16"/>
    <x v="16"/>
    <x v="10"/>
    <x v="10"/>
    <x v="10"/>
    <x v="9"/>
    <x v="94"/>
    <x v="29"/>
    <x v="93"/>
    <x v="262"/>
    <x v="90"/>
    <x v="236"/>
    <x v="0"/>
  </r>
  <r>
    <x v="0"/>
    <x v="16"/>
    <x v="16"/>
    <x v="13"/>
    <x v="13"/>
    <x v="13"/>
    <x v="10"/>
    <x v="177"/>
    <x v="242"/>
    <x v="61"/>
    <x v="105"/>
    <x v="101"/>
    <x v="12"/>
    <x v="0"/>
  </r>
  <r>
    <x v="0"/>
    <x v="16"/>
    <x v="16"/>
    <x v="8"/>
    <x v="8"/>
    <x v="8"/>
    <x v="11"/>
    <x v="35"/>
    <x v="243"/>
    <x v="103"/>
    <x v="8"/>
    <x v="124"/>
    <x v="145"/>
    <x v="0"/>
  </r>
  <r>
    <x v="0"/>
    <x v="16"/>
    <x v="16"/>
    <x v="14"/>
    <x v="14"/>
    <x v="14"/>
    <x v="12"/>
    <x v="178"/>
    <x v="244"/>
    <x v="89"/>
    <x v="263"/>
    <x v="125"/>
    <x v="237"/>
    <x v="0"/>
  </r>
  <r>
    <x v="0"/>
    <x v="16"/>
    <x v="16"/>
    <x v="12"/>
    <x v="12"/>
    <x v="12"/>
    <x v="12"/>
    <x v="178"/>
    <x v="244"/>
    <x v="97"/>
    <x v="264"/>
    <x v="43"/>
    <x v="218"/>
    <x v="0"/>
  </r>
  <r>
    <x v="0"/>
    <x v="16"/>
    <x v="16"/>
    <x v="11"/>
    <x v="11"/>
    <x v="11"/>
    <x v="14"/>
    <x v="179"/>
    <x v="245"/>
    <x v="137"/>
    <x v="255"/>
    <x v="111"/>
    <x v="238"/>
    <x v="0"/>
  </r>
  <r>
    <x v="0"/>
    <x v="16"/>
    <x v="16"/>
    <x v="16"/>
    <x v="16"/>
    <x v="16"/>
    <x v="15"/>
    <x v="37"/>
    <x v="246"/>
    <x v="116"/>
    <x v="36"/>
    <x v="126"/>
    <x v="239"/>
    <x v="0"/>
  </r>
  <r>
    <x v="0"/>
    <x v="16"/>
    <x v="16"/>
    <x v="19"/>
    <x v="19"/>
    <x v="19"/>
    <x v="16"/>
    <x v="52"/>
    <x v="247"/>
    <x v="67"/>
    <x v="19"/>
    <x v="99"/>
    <x v="8"/>
    <x v="0"/>
  </r>
  <r>
    <x v="0"/>
    <x v="16"/>
    <x v="16"/>
    <x v="21"/>
    <x v="21"/>
    <x v="21"/>
    <x v="17"/>
    <x v="124"/>
    <x v="248"/>
    <x v="50"/>
    <x v="265"/>
    <x v="115"/>
    <x v="44"/>
    <x v="0"/>
  </r>
  <r>
    <x v="0"/>
    <x v="16"/>
    <x v="16"/>
    <x v="20"/>
    <x v="20"/>
    <x v="20"/>
    <x v="18"/>
    <x v="125"/>
    <x v="54"/>
    <x v="36"/>
    <x v="266"/>
    <x v="72"/>
    <x v="234"/>
    <x v="0"/>
  </r>
  <r>
    <x v="0"/>
    <x v="16"/>
    <x v="16"/>
    <x v="34"/>
    <x v="34"/>
    <x v="34"/>
    <x v="19"/>
    <x v="55"/>
    <x v="59"/>
    <x v="67"/>
    <x v="19"/>
    <x v="69"/>
    <x v="240"/>
    <x v="0"/>
  </r>
  <r>
    <x v="0"/>
    <x v="16"/>
    <x v="16"/>
    <x v="18"/>
    <x v="18"/>
    <x v="18"/>
    <x v="19"/>
    <x v="55"/>
    <x v="59"/>
    <x v="52"/>
    <x v="267"/>
    <x v="48"/>
    <x v="241"/>
    <x v="0"/>
  </r>
  <r>
    <x v="0"/>
    <x v="17"/>
    <x v="17"/>
    <x v="0"/>
    <x v="0"/>
    <x v="0"/>
    <x v="0"/>
    <x v="180"/>
    <x v="249"/>
    <x v="142"/>
    <x v="268"/>
    <x v="40"/>
    <x v="242"/>
    <x v="0"/>
  </r>
  <r>
    <x v="0"/>
    <x v="17"/>
    <x v="17"/>
    <x v="1"/>
    <x v="1"/>
    <x v="1"/>
    <x v="1"/>
    <x v="181"/>
    <x v="250"/>
    <x v="143"/>
    <x v="269"/>
    <x v="127"/>
    <x v="243"/>
    <x v="0"/>
  </r>
  <r>
    <x v="0"/>
    <x v="17"/>
    <x v="17"/>
    <x v="2"/>
    <x v="2"/>
    <x v="2"/>
    <x v="2"/>
    <x v="182"/>
    <x v="200"/>
    <x v="66"/>
    <x v="270"/>
    <x v="128"/>
    <x v="244"/>
    <x v="0"/>
  </r>
  <r>
    <x v="0"/>
    <x v="17"/>
    <x v="17"/>
    <x v="3"/>
    <x v="3"/>
    <x v="3"/>
    <x v="3"/>
    <x v="43"/>
    <x v="251"/>
    <x v="108"/>
    <x v="271"/>
    <x v="28"/>
    <x v="245"/>
    <x v="0"/>
  </r>
  <r>
    <x v="0"/>
    <x v="17"/>
    <x v="17"/>
    <x v="5"/>
    <x v="5"/>
    <x v="5"/>
    <x v="4"/>
    <x v="183"/>
    <x v="252"/>
    <x v="144"/>
    <x v="272"/>
    <x v="129"/>
    <x v="246"/>
    <x v="2"/>
  </r>
  <r>
    <x v="0"/>
    <x v="17"/>
    <x v="17"/>
    <x v="6"/>
    <x v="6"/>
    <x v="6"/>
    <x v="5"/>
    <x v="93"/>
    <x v="253"/>
    <x v="114"/>
    <x v="273"/>
    <x v="105"/>
    <x v="65"/>
    <x v="0"/>
  </r>
  <r>
    <x v="0"/>
    <x v="17"/>
    <x v="17"/>
    <x v="9"/>
    <x v="9"/>
    <x v="9"/>
    <x v="6"/>
    <x v="184"/>
    <x v="254"/>
    <x v="47"/>
    <x v="116"/>
    <x v="111"/>
    <x v="247"/>
    <x v="0"/>
  </r>
  <r>
    <x v="0"/>
    <x v="17"/>
    <x v="17"/>
    <x v="4"/>
    <x v="4"/>
    <x v="4"/>
    <x v="7"/>
    <x v="109"/>
    <x v="255"/>
    <x v="135"/>
    <x v="274"/>
    <x v="109"/>
    <x v="194"/>
    <x v="0"/>
  </r>
  <r>
    <x v="0"/>
    <x v="17"/>
    <x v="17"/>
    <x v="8"/>
    <x v="8"/>
    <x v="8"/>
    <x v="8"/>
    <x v="149"/>
    <x v="194"/>
    <x v="66"/>
    <x v="270"/>
    <x v="70"/>
    <x v="248"/>
    <x v="0"/>
  </r>
  <r>
    <x v="0"/>
    <x v="17"/>
    <x v="17"/>
    <x v="10"/>
    <x v="10"/>
    <x v="10"/>
    <x v="9"/>
    <x v="179"/>
    <x v="8"/>
    <x v="145"/>
    <x v="275"/>
    <x v="50"/>
    <x v="249"/>
    <x v="0"/>
  </r>
  <r>
    <x v="0"/>
    <x v="17"/>
    <x v="17"/>
    <x v="7"/>
    <x v="7"/>
    <x v="7"/>
    <x v="10"/>
    <x v="37"/>
    <x v="256"/>
    <x v="78"/>
    <x v="75"/>
    <x v="130"/>
    <x v="250"/>
    <x v="0"/>
  </r>
  <r>
    <x v="0"/>
    <x v="17"/>
    <x v="17"/>
    <x v="14"/>
    <x v="14"/>
    <x v="14"/>
    <x v="11"/>
    <x v="112"/>
    <x v="13"/>
    <x v="54"/>
    <x v="45"/>
    <x v="34"/>
    <x v="251"/>
    <x v="0"/>
  </r>
  <r>
    <x v="0"/>
    <x v="17"/>
    <x v="17"/>
    <x v="13"/>
    <x v="13"/>
    <x v="13"/>
    <x v="12"/>
    <x v="53"/>
    <x v="257"/>
    <x v="48"/>
    <x v="276"/>
    <x v="63"/>
    <x v="252"/>
    <x v="0"/>
  </r>
  <r>
    <x v="0"/>
    <x v="17"/>
    <x v="17"/>
    <x v="16"/>
    <x v="16"/>
    <x v="16"/>
    <x v="13"/>
    <x v="73"/>
    <x v="53"/>
    <x v="68"/>
    <x v="34"/>
    <x v="70"/>
    <x v="248"/>
    <x v="0"/>
  </r>
  <r>
    <x v="0"/>
    <x v="17"/>
    <x v="17"/>
    <x v="12"/>
    <x v="12"/>
    <x v="12"/>
    <x v="14"/>
    <x v="170"/>
    <x v="258"/>
    <x v="105"/>
    <x v="277"/>
    <x v="78"/>
    <x v="234"/>
    <x v="0"/>
  </r>
  <r>
    <x v="0"/>
    <x v="17"/>
    <x v="17"/>
    <x v="11"/>
    <x v="11"/>
    <x v="11"/>
    <x v="15"/>
    <x v="151"/>
    <x v="15"/>
    <x v="84"/>
    <x v="278"/>
    <x v="86"/>
    <x v="253"/>
    <x v="0"/>
  </r>
  <r>
    <x v="0"/>
    <x v="17"/>
    <x v="17"/>
    <x v="19"/>
    <x v="19"/>
    <x v="19"/>
    <x v="16"/>
    <x v="102"/>
    <x v="57"/>
    <x v="35"/>
    <x v="279"/>
    <x v="81"/>
    <x v="254"/>
    <x v="0"/>
  </r>
  <r>
    <x v="0"/>
    <x v="17"/>
    <x v="17"/>
    <x v="30"/>
    <x v="30"/>
    <x v="30"/>
    <x v="17"/>
    <x v="113"/>
    <x v="151"/>
    <x v="84"/>
    <x v="278"/>
    <x v="93"/>
    <x v="255"/>
    <x v="0"/>
  </r>
  <r>
    <x v="0"/>
    <x v="17"/>
    <x v="17"/>
    <x v="18"/>
    <x v="18"/>
    <x v="18"/>
    <x v="18"/>
    <x v="114"/>
    <x v="259"/>
    <x v="105"/>
    <x v="277"/>
    <x v="90"/>
    <x v="256"/>
    <x v="0"/>
  </r>
  <r>
    <x v="0"/>
    <x v="17"/>
    <x v="17"/>
    <x v="15"/>
    <x v="15"/>
    <x v="15"/>
    <x v="19"/>
    <x v="116"/>
    <x v="260"/>
    <x v="53"/>
    <x v="280"/>
    <x v="65"/>
    <x v="257"/>
    <x v="0"/>
  </r>
  <r>
    <x v="0"/>
    <x v="18"/>
    <x v="18"/>
    <x v="0"/>
    <x v="0"/>
    <x v="0"/>
    <x v="0"/>
    <x v="34"/>
    <x v="261"/>
    <x v="74"/>
    <x v="281"/>
    <x v="90"/>
    <x v="28"/>
    <x v="0"/>
  </r>
  <r>
    <x v="0"/>
    <x v="18"/>
    <x v="18"/>
    <x v="1"/>
    <x v="1"/>
    <x v="1"/>
    <x v="1"/>
    <x v="184"/>
    <x v="262"/>
    <x v="146"/>
    <x v="282"/>
    <x v="90"/>
    <x v="28"/>
    <x v="0"/>
  </r>
  <r>
    <x v="0"/>
    <x v="18"/>
    <x v="18"/>
    <x v="7"/>
    <x v="7"/>
    <x v="7"/>
    <x v="2"/>
    <x v="185"/>
    <x v="263"/>
    <x v="69"/>
    <x v="194"/>
    <x v="124"/>
    <x v="258"/>
    <x v="0"/>
  </r>
  <r>
    <x v="0"/>
    <x v="18"/>
    <x v="18"/>
    <x v="4"/>
    <x v="4"/>
    <x v="4"/>
    <x v="3"/>
    <x v="96"/>
    <x v="81"/>
    <x v="131"/>
    <x v="283"/>
    <x v="131"/>
    <x v="259"/>
    <x v="0"/>
  </r>
  <r>
    <x v="0"/>
    <x v="18"/>
    <x v="18"/>
    <x v="2"/>
    <x v="2"/>
    <x v="2"/>
    <x v="4"/>
    <x v="186"/>
    <x v="264"/>
    <x v="97"/>
    <x v="163"/>
    <x v="114"/>
    <x v="260"/>
    <x v="0"/>
  </r>
  <r>
    <x v="0"/>
    <x v="18"/>
    <x v="18"/>
    <x v="5"/>
    <x v="5"/>
    <x v="5"/>
    <x v="5"/>
    <x v="52"/>
    <x v="4"/>
    <x v="131"/>
    <x v="283"/>
    <x v="55"/>
    <x v="250"/>
    <x v="0"/>
  </r>
  <r>
    <x v="0"/>
    <x v="18"/>
    <x v="18"/>
    <x v="3"/>
    <x v="3"/>
    <x v="3"/>
    <x v="6"/>
    <x v="86"/>
    <x v="265"/>
    <x v="87"/>
    <x v="284"/>
    <x v="34"/>
    <x v="261"/>
    <x v="0"/>
  </r>
  <r>
    <x v="0"/>
    <x v="18"/>
    <x v="18"/>
    <x v="6"/>
    <x v="6"/>
    <x v="6"/>
    <x v="7"/>
    <x v="99"/>
    <x v="266"/>
    <x v="88"/>
    <x v="285"/>
    <x v="98"/>
    <x v="262"/>
    <x v="0"/>
  </r>
  <r>
    <x v="0"/>
    <x v="18"/>
    <x v="18"/>
    <x v="10"/>
    <x v="10"/>
    <x v="10"/>
    <x v="8"/>
    <x v="114"/>
    <x v="267"/>
    <x v="49"/>
    <x v="79"/>
    <x v="108"/>
    <x v="263"/>
    <x v="0"/>
  </r>
  <r>
    <x v="0"/>
    <x v="18"/>
    <x v="18"/>
    <x v="8"/>
    <x v="8"/>
    <x v="8"/>
    <x v="9"/>
    <x v="117"/>
    <x v="268"/>
    <x v="122"/>
    <x v="286"/>
    <x v="90"/>
    <x v="28"/>
    <x v="0"/>
  </r>
  <r>
    <x v="0"/>
    <x v="18"/>
    <x v="18"/>
    <x v="13"/>
    <x v="13"/>
    <x v="13"/>
    <x v="10"/>
    <x v="118"/>
    <x v="173"/>
    <x v="105"/>
    <x v="287"/>
    <x v="79"/>
    <x v="264"/>
    <x v="0"/>
  </r>
  <r>
    <x v="0"/>
    <x v="18"/>
    <x v="18"/>
    <x v="11"/>
    <x v="11"/>
    <x v="11"/>
    <x v="11"/>
    <x v="146"/>
    <x v="34"/>
    <x v="97"/>
    <x v="163"/>
    <x v="108"/>
    <x v="263"/>
    <x v="0"/>
  </r>
  <r>
    <x v="0"/>
    <x v="18"/>
    <x v="18"/>
    <x v="15"/>
    <x v="15"/>
    <x v="15"/>
    <x v="12"/>
    <x v="103"/>
    <x v="269"/>
    <x v="98"/>
    <x v="288"/>
    <x v="104"/>
    <x v="265"/>
    <x v="0"/>
  </r>
  <r>
    <x v="0"/>
    <x v="18"/>
    <x v="18"/>
    <x v="12"/>
    <x v="12"/>
    <x v="12"/>
    <x v="13"/>
    <x v="104"/>
    <x v="174"/>
    <x v="35"/>
    <x v="88"/>
    <x v="86"/>
    <x v="17"/>
    <x v="0"/>
  </r>
  <r>
    <x v="0"/>
    <x v="18"/>
    <x v="18"/>
    <x v="18"/>
    <x v="18"/>
    <x v="18"/>
    <x v="13"/>
    <x v="104"/>
    <x v="174"/>
    <x v="53"/>
    <x v="289"/>
    <x v="79"/>
    <x v="264"/>
    <x v="0"/>
  </r>
  <r>
    <x v="0"/>
    <x v="18"/>
    <x v="18"/>
    <x v="9"/>
    <x v="9"/>
    <x v="9"/>
    <x v="15"/>
    <x v="143"/>
    <x v="231"/>
    <x v="36"/>
    <x v="290"/>
    <x v="50"/>
    <x v="266"/>
    <x v="0"/>
  </r>
  <r>
    <x v="0"/>
    <x v="18"/>
    <x v="18"/>
    <x v="14"/>
    <x v="14"/>
    <x v="14"/>
    <x v="16"/>
    <x v="106"/>
    <x v="270"/>
    <x v="92"/>
    <x v="291"/>
    <x v="57"/>
    <x v="208"/>
    <x v="0"/>
  </r>
  <r>
    <x v="0"/>
    <x v="18"/>
    <x v="18"/>
    <x v="27"/>
    <x v="27"/>
    <x v="27"/>
    <x v="16"/>
    <x v="106"/>
    <x v="270"/>
    <x v="50"/>
    <x v="292"/>
    <x v="63"/>
    <x v="237"/>
    <x v="0"/>
  </r>
  <r>
    <x v="0"/>
    <x v="18"/>
    <x v="18"/>
    <x v="33"/>
    <x v="33"/>
    <x v="33"/>
    <x v="18"/>
    <x v="147"/>
    <x v="271"/>
    <x v="50"/>
    <x v="292"/>
    <x v="98"/>
    <x v="262"/>
    <x v="0"/>
  </r>
  <r>
    <x v="0"/>
    <x v="18"/>
    <x v="18"/>
    <x v="19"/>
    <x v="19"/>
    <x v="19"/>
    <x v="18"/>
    <x v="147"/>
    <x v="271"/>
    <x v="50"/>
    <x v="292"/>
    <x v="98"/>
    <x v="262"/>
    <x v="0"/>
  </r>
  <r>
    <x v="0"/>
    <x v="19"/>
    <x v="19"/>
    <x v="1"/>
    <x v="1"/>
    <x v="1"/>
    <x v="0"/>
    <x v="187"/>
    <x v="272"/>
    <x v="33"/>
    <x v="293"/>
    <x v="107"/>
    <x v="267"/>
    <x v="0"/>
  </r>
  <r>
    <x v="0"/>
    <x v="19"/>
    <x v="19"/>
    <x v="0"/>
    <x v="0"/>
    <x v="0"/>
    <x v="1"/>
    <x v="97"/>
    <x v="273"/>
    <x v="147"/>
    <x v="294"/>
    <x v="54"/>
    <x v="268"/>
    <x v="0"/>
  </r>
  <r>
    <x v="0"/>
    <x v="19"/>
    <x v="19"/>
    <x v="2"/>
    <x v="2"/>
    <x v="2"/>
    <x v="2"/>
    <x v="112"/>
    <x v="274"/>
    <x v="84"/>
    <x v="295"/>
    <x v="100"/>
    <x v="269"/>
    <x v="0"/>
  </r>
  <r>
    <x v="0"/>
    <x v="19"/>
    <x v="19"/>
    <x v="3"/>
    <x v="3"/>
    <x v="3"/>
    <x v="3"/>
    <x v="53"/>
    <x v="275"/>
    <x v="29"/>
    <x v="59"/>
    <x v="90"/>
    <x v="270"/>
    <x v="0"/>
  </r>
  <r>
    <x v="0"/>
    <x v="19"/>
    <x v="19"/>
    <x v="6"/>
    <x v="6"/>
    <x v="6"/>
    <x v="4"/>
    <x v="101"/>
    <x v="276"/>
    <x v="119"/>
    <x v="296"/>
    <x v="97"/>
    <x v="271"/>
    <x v="0"/>
  </r>
  <r>
    <x v="0"/>
    <x v="19"/>
    <x v="19"/>
    <x v="4"/>
    <x v="4"/>
    <x v="4"/>
    <x v="5"/>
    <x v="142"/>
    <x v="277"/>
    <x v="148"/>
    <x v="297"/>
    <x v="82"/>
    <x v="272"/>
    <x v="0"/>
  </r>
  <r>
    <x v="0"/>
    <x v="19"/>
    <x v="19"/>
    <x v="5"/>
    <x v="5"/>
    <x v="5"/>
    <x v="6"/>
    <x v="113"/>
    <x v="278"/>
    <x v="148"/>
    <x v="297"/>
    <x v="76"/>
    <x v="273"/>
    <x v="0"/>
  </r>
  <r>
    <x v="0"/>
    <x v="19"/>
    <x v="19"/>
    <x v="7"/>
    <x v="7"/>
    <x v="7"/>
    <x v="7"/>
    <x v="117"/>
    <x v="279"/>
    <x v="81"/>
    <x v="51"/>
    <x v="85"/>
    <x v="274"/>
    <x v="0"/>
  </r>
  <r>
    <x v="0"/>
    <x v="19"/>
    <x v="19"/>
    <x v="8"/>
    <x v="8"/>
    <x v="8"/>
    <x v="8"/>
    <x v="103"/>
    <x v="242"/>
    <x v="52"/>
    <x v="298"/>
    <x v="88"/>
    <x v="51"/>
    <x v="0"/>
  </r>
  <r>
    <x v="0"/>
    <x v="19"/>
    <x v="19"/>
    <x v="10"/>
    <x v="10"/>
    <x v="10"/>
    <x v="9"/>
    <x v="143"/>
    <x v="183"/>
    <x v="78"/>
    <x v="299"/>
    <x v="87"/>
    <x v="275"/>
    <x v="0"/>
  </r>
  <r>
    <x v="0"/>
    <x v="19"/>
    <x v="19"/>
    <x v="11"/>
    <x v="11"/>
    <x v="11"/>
    <x v="9"/>
    <x v="143"/>
    <x v="183"/>
    <x v="78"/>
    <x v="299"/>
    <x v="87"/>
    <x v="275"/>
    <x v="0"/>
  </r>
  <r>
    <x v="0"/>
    <x v="19"/>
    <x v="19"/>
    <x v="14"/>
    <x v="14"/>
    <x v="14"/>
    <x v="11"/>
    <x v="129"/>
    <x v="33"/>
    <x v="36"/>
    <x v="239"/>
    <x v="94"/>
    <x v="85"/>
    <x v="0"/>
  </r>
  <r>
    <x v="0"/>
    <x v="19"/>
    <x v="19"/>
    <x v="9"/>
    <x v="9"/>
    <x v="9"/>
    <x v="12"/>
    <x v="147"/>
    <x v="12"/>
    <x v="81"/>
    <x v="51"/>
    <x v="94"/>
    <x v="85"/>
    <x v="0"/>
  </r>
  <r>
    <x v="0"/>
    <x v="19"/>
    <x v="19"/>
    <x v="12"/>
    <x v="12"/>
    <x v="12"/>
    <x v="13"/>
    <x v="148"/>
    <x v="280"/>
    <x v="98"/>
    <x v="300"/>
    <x v="57"/>
    <x v="276"/>
    <x v="0"/>
  </r>
  <r>
    <x v="0"/>
    <x v="19"/>
    <x v="19"/>
    <x v="13"/>
    <x v="13"/>
    <x v="13"/>
    <x v="14"/>
    <x v="157"/>
    <x v="88"/>
    <x v="35"/>
    <x v="301"/>
    <x v="107"/>
    <x v="267"/>
    <x v="0"/>
  </r>
  <r>
    <x v="0"/>
    <x v="19"/>
    <x v="19"/>
    <x v="29"/>
    <x v="29"/>
    <x v="29"/>
    <x v="15"/>
    <x v="152"/>
    <x v="281"/>
    <x v="67"/>
    <x v="302"/>
    <x v="88"/>
    <x v="51"/>
    <x v="0"/>
  </r>
  <r>
    <x v="0"/>
    <x v="19"/>
    <x v="19"/>
    <x v="17"/>
    <x v="17"/>
    <x v="17"/>
    <x v="16"/>
    <x v="188"/>
    <x v="58"/>
    <x v="113"/>
    <x v="303"/>
    <x v="97"/>
    <x v="271"/>
    <x v="0"/>
  </r>
  <r>
    <x v="0"/>
    <x v="19"/>
    <x v="19"/>
    <x v="15"/>
    <x v="15"/>
    <x v="15"/>
    <x v="17"/>
    <x v="153"/>
    <x v="282"/>
    <x v="50"/>
    <x v="73"/>
    <x v="88"/>
    <x v="51"/>
    <x v="0"/>
  </r>
  <r>
    <x v="0"/>
    <x v="19"/>
    <x v="19"/>
    <x v="16"/>
    <x v="16"/>
    <x v="16"/>
    <x v="17"/>
    <x v="153"/>
    <x v="282"/>
    <x v="50"/>
    <x v="73"/>
    <x v="88"/>
    <x v="51"/>
    <x v="0"/>
  </r>
  <r>
    <x v="0"/>
    <x v="19"/>
    <x v="19"/>
    <x v="35"/>
    <x v="35"/>
    <x v="35"/>
    <x v="17"/>
    <x v="153"/>
    <x v="282"/>
    <x v="50"/>
    <x v="73"/>
    <x v="88"/>
    <x v="51"/>
    <x v="0"/>
  </r>
  <r>
    <x v="0"/>
    <x v="20"/>
    <x v="20"/>
    <x v="0"/>
    <x v="0"/>
    <x v="0"/>
    <x v="0"/>
    <x v="189"/>
    <x v="283"/>
    <x v="149"/>
    <x v="304"/>
    <x v="100"/>
    <x v="277"/>
    <x v="0"/>
  </r>
  <r>
    <x v="0"/>
    <x v="20"/>
    <x v="20"/>
    <x v="9"/>
    <x v="9"/>
    <x v="9"/>
    <x v="1"/>
    <x v="190"/>
    <x v="284"/>
    <x v="150"/>
    <x v="305"/>
    <x v="80"/>
    <x v="278"/>
    <x v="2"/>
  </r>
  <r>
    <x v="0"/>
    <x v="20"/>
    <x v="20"/>
    <x v="1"/>
    <x v="1"/>
    <x v="1"/>
    <x v="2"/>
    <x v="186"/>
    <x v="285"/>
    <x v="132"/>
    <x v="306"/>
    <x v="63"/>
    <x v="144"/>
    <x v="0"/>
  </r>
  <r>
    <x v="0"/>
    <x v="20"/>
    <x v="20"/>
    <x v="2"/>
    <x v="2"/>
    <x v="2"/>
    <x v="3"/>
    <x v="52"/>
    <x v="286"/>
    <x v="104"/>
    <x v="307"/>
    <x v="91"/>
    <x v="279"/>
    <x v="0"/>
  </r>
  <r>
    <x v="0"/>
    <x v="20"/>
    <x v="20"/>
    <x v="5"/>
    <x v="5"/>
    <x v="5"/>
    <x v="3"/>
    <x v="52"/>
    <x v="286"/>
    <x v="36"/>
    <x v="301"/>
    <x v="132"/>
    <x v="280"/>
    <x v="0"/>
  </r>
  <r>
    <x v="0"/>
    <x v="20"/>
    <x v="20"/>
    <x v="13"/>
    <x v="13"/>
    <x v="13"/>
    <x v="5"/>
    <x v="87"/>
    <x v="287"/>
    <x v="131"/>
    <x v="308"/>
    <x v="56"/>
    <x v="242"/>
    <x v="0"/>
  </r>
  <r>
    <x v="0"/>
    <x v="20"/>
    <x v="20"/>
    <x v="10"/>
    <x v="10"/>
    <x v="10"/>
    <x v="6"/>
    <x v="112"/>
    <x v="240"/>
    <x v="151"/>
    <x v="309"/>
    <x v="97"/>
    <x v="281"/>
    <x v="0"/>
  </r>
  <r>
    <x v="0"/>
    <x v="20"/>
    <x v="20"/>
    <x v="4"/>
    <x v="4"/>
    <x v="4"/>
    <x v="7"/>
    <x v="156"/>
    <x v="157"/>
    <x v="69"/>
    <x v="310"/>
    <x v="71"/>
    <x v="250"/>
    <x v="0"/>
  </r>
  <r>
    <x v="0"/>
    <x v="20"/>
    <x v="20"/>
    <x v="3"/>
    <x v="3"/>
    <x v="3"/>
    <x v="8"/>
    <x v="54"/>
    <x v="288"/>
    <x v="111"/>
    <x v="311"/>
    <x v="105"/>
    <x v="282"/>
    <x v="0"/>
  </r>
  <r>
    <x v="0"/>
    <x v="20"/>
    <x v="20"/>
    <x v="12"/>
    <x v="12"/>
    <x v="12"/>
    <x v="9"/>
    <x v="151"/>
    <x v="289"/>
    <x v="69"/>
    <x v="310"/>
    <x v="85"/>
    <x v="283"/>
    <x v="0"/>
  </r>
  <r>
    <x v="0"/>
    <x v="20"/>
    <x v="20"/>
    <x v="19"/>
    <x v="19"/>
    <x v="19"/>
    <x v="10"/>
    <x v="133"/>
    <x v="183"/>
    <x v="113"/>
    <x v="226"/>
    <x v="110"/>
    <x v="61"/>
    <x v="0"/>
  </r>
  <r>
    <x v="0"/>
    <x v="20"/>
    <x v="20"/>
    <x v="7"/>
    <x v="7"/>
    <x v="7"/>
    <x v="11"/>
    <x v="91"/>
    <x v="290"/>
    <x v="37"/>
    <x v="312"/>
    <x v="81"/>
    <x v="284"/>
    <x v="0"/>
  </r>
  <r>
    <x v="0"/>
    <x v="20"/>
    <x v="20"/>
    <x v="6"/>
    <x v="6"/>
    <x v="6"/>
    <x v="12"/>
    <x v="115"/>
    <x v="291"/>
    <x v="52"/>
    <x v="313"/>
    <x v="98"/>
    <x v="235"/>
    <x v="0"/>
  </r>
  <r>
    <x v="0"/>
    <x v="20"/>
    <x v="20"/>
    <x v="14"/>
    <x v="14"/>
    <x v="14"/>
    <x v="13"/>
    <x v="128"/>
    <x v="246"/>
    <x v="53"/>
    <x v="253"/>
    <x v="85"/>
    <x v="283"/>
    <x v="0"/>
  </r>
  <r>
    <x v="0"/>
    <x v="20"/>
    <x v="20"/>
    <x v="8"/>
    <x v="8"/>
    <x v="8"/>
    <x v="13"/>
    <x v="128"/>
    <x v="246"/>
    <x v="52"/>
    <x v="313"/>
    <x v="86"/>
    <x v="106"/>
    <x v="0"/>
  </r>
  <r>
    <x v="0"/>
    <x v="20"/>
    <x v="20"/>
    <x v="33"/>
    <x v="33"/>
    <x v="33"/>
    <x v="15"/>
    <x v="143"/>
    <x v="174"/>
    <x v="81"/>
    <x v="314"/>
    <x v="86"/>
    <x v="106"/>
    <x v="0"/>
  </r>
  <r>
    <x v="0"/>
    <x v="20"/>
    <x v="20"/>
    <x v="16"/>
    <x v="16"/>
    <x v="16"/>
    <x v="16"/>
    <x v="106"/>
    <x v="53"/>
    <x v="91"/>
    <x v="109"/>
    <x v="67"/>
    <x v="285"/>
    <x v="0"/>
  </r>
  <r>
    <x v="0"/>
    <x v="20"/>
    <x v="20"/>
    <x v="18"/>
    <x v="18"/>
    <x v="18"/>
    <x v="17"/>
    <x v="129"/>
    <x v="162"/>
    <x v="116"/>
    <x v="315"/>
    <x v="50"/>
    <x v="147"/>
    <x v="0"/>
  </r>
  <r>
    <x v="0"/>
    <x v="20"/>
    <x v="20"/>
    <x v="21"/>
    <x v="21"/>
    <x v="21"/>
    <x v="18"/>
    <x v="136"/>
    <x v="233"/>
    <x v="113"/>
    <x v="226"/>
    <x v="86"/>
    <x v="106"/>
    <x v="0"/>
  </r>
  <r>
    <x v="0"/>
    <x v="20"/>
    <x v="20"/>
    <x v="20"/>
    <x v="20"/>
    <x v="20"/>
    <x v="19"/>
    <x v="148"/>
    <x v="292"/>
    <x v="67"/>
    <x v="316"/>
    <x v="54"/>
    <x v="241"/>
    <x v="0"/>
  </r>
  <r>
    <x v="0"/>
    <x v="21"/>
    <x v="21"/>
    <x v="0"/>
    <x v="0"/>
    <x v="0"/>
    <x v="0"/>
    <x v="36"/>
    <x v="293"/>
    <x v="108"/>
    <x v="317"/>
    <x v="93"/>
    <x v="286"/>
    <x v="0"/>
  </r>
  <r>
    <x v="0"/>
    <x v="21"/>
    <x v="21"/>
    <x v="2"/>
    <x v="2"/>
    <x v="2"/>
    <x v="1"/>
    <x v="110"/>
    <x v="294"/>
    <x v="110"/>
    <x v="318"/>
    <x v="40"/>
    <x v="287"/>
    <x v="0"/>
  </r>
  <r>
    <x v="0"/>
    <x v="21"/>
    <x v="21"/>
    <x v="3"/>
    <x v="3"/>
    <x v="3"/>
    <x v="2"/>
    <x v="155"/>
    <x v="295"/>
    <x v="152"/>
    <x v="319"/>
    <x v="105"/>
    <x v="288"/>
    <x v="0"/>
  </r>
  <r>
    <x v="0"/>
    <x v="21"/>
    <x v="21"/>
    <x v="6"/>
    <x v="6"/>
    <x v="6"/>
    <x v="3"/>
    <x v="150"/>
    <x v="296"/>
    <x v="132"/>
    <x v="320"/>
    <x v="94"/>
    <x v="63"/>
    <x v="2"/>
  </r>
  <r>
    <x v="0"/>
    <x v="21"/>
    <x v="21"/>
    <x v="1"/>
    <x v="1"/>
    <x v="1"/>
    <x v="4"/>
    <x v="98"/>
    <x v="297"/>
    <x v="44"/>
    <x v="321"/>
    <x v="88"/>
    <x v="289"/>
    <x v="0"/>
  </r>
  <r>
    <x v="0"/>
    <x v="21"/>
    <x v="21"/>
    <x v="4"/>
    <x v="4"/>
    <x v="4"/>
    <x v="5"/>
    <x v="53"/>
    <x v="298"/>
    <x v="29"/>
    <x v="322"/>
    <x v="90"/>
    <x v="290"/>
    <x v="0"/>
  </r>
  <r>
    <x v="0"/>
    <x v="21"/>
    <x v="21"/>
    <x v="7"/>
    <x v="7"/>
    <x v="7"/>
    <x v="6"/>
    <x v="57"/>
    <x v="113"/>
    <x v="62"/>
    <x v="323"/>
    <x v="67"/>
    <x v="291"/>
    <x v="0"/>
  </r>
  <r>
    <x v="0"/>
    <x v="21"/>
    <x v="21"/>
    <x v="8"/>
    <x v="8"/>
    <x v="8"/>
    <x v="7"/>
    <x v="191"/>
    <x v="115"/>
    <x v="49"/>
    <x v="324"/>
    <x v="76"/>
    <x v="70"/>
    <x v="0"/>
  </r>
  <r>
    <x v="0"/>
    <x v="21"/>
    <x v="21"/>
    <x v="5"/>
    <x v="5"/>
    <x v="5"/>
    <x v="8"/>
    <x v="91"/>
    <x v="299"/>
    <x v="54"/>
    <x v="325"/>
    <x v="89"/>
    <x v="183"/>
    <x v="0"/>
  </r>
  <r>
    <x v="0"/>
    <x v="21"/>
    <x v="21"/>
    <x v="11"/>
    <x v="11"/>
    <x v="11"/>
    <x v="9"/>
    <x v="119"/>
    <x v="300"/>
    <x v="101"/>
    <x v="326"/>
    <x v="108"/>
    <x v="292"/>
    <x v="0"/>
  </r>
  <r>
    <x v="0"/>
    <x v="21"/>
    <x v="21"/>
    <x v="10"/>
    <x v="10"/>
    <x v="10"/>
    <x v="10"/>
    <x v="146"/>
    <x v="301"/>
    <x v="97"/>
    <x v="327"/>
    <x v="107"/>
    <x v="293"/>
    <x v="0"/>
  </r>
  <r>
    <x v="0"/>
    <x v="21"/>
    <x v="21"/>
    <x v="14"/>
    <x v="14"/>
    <x v="14"/>
    <x v="11"/>
    <x v="121"/>
    <x v="302"/>
    <x v="81"/>
    <x v="328"/>
    <x v="76"/>
    <x v="70"/>
    <x v="0"/>
  </r>
  <r>
    <x v="0"/>
    <x v="21"/>
    <x v="21"/>
    <x v="9"/>
    <x v="9"/>
    <x v="9"/>
    <x v="11"/>
    <x v="121"/>
    <x v="302"/>
    <x v="53"/>
    <x v="329"/>
    <x v="88"/>
    <x v="289"/>
    <x v="0"/>
  </r>
  <r>
    <x v="0"/>
    <x v="21"/>
    <x v="21"/>
    <x v="12"/>
    <x v="12"/>
    <x v="12"/>
    <x v="13"/>
    <x v="122"/>
    <x v="303"/>
    <x v="116"/>
    <x v="330"/>
    <x v="50"/>
    <x v="294"/>
    <x v="0"/>
  </r>
  <r>
    <x v="0"/>
    <x v="21"/>
    <x v="21"/>
    <x v="24"/>
    <x v="24"/>
    <x v="24"/>
    <x v="14"/>
    <x v="157"/>
    <x v="221"/>
    <x v="34"/>
    <x v="331"/>
    <x v="88"/>
    <x v="289"/>
    <x v="0"/>
  </r>
  <r>
    <x v="0"/>
    <x v="21"/>
    <x v="21"/>
    <x v="18"/>
    <x v="18"/>
    <x v="18"/>
    <x v="14"/>
    <x v="157"/>
    <x v="221"/>
    <x v="116"/>
    <x v="330"/>
    <x v="97"/>
    <x v="295"/>
    <x v="0"/>
  </r>
  <r>
    <x v="0"/>
    <x v="21"/>
    <x v="21"/>
    <x v="15"/>
    <x v="15"/>
    <x v="15"/>
    <x v="16"/>
    <x v="192"/>
    <x v="304"/>
    <x v="68"/>
    <x v="332"/>
    <x v="76"/>
    <x v="70"/>
    <x v="0"/>
  </r>
  <r>
    <x v="0"/>
    <x v="21"/>
    <x v="21"/>
    <x v="16"/>
    <x v="16"/>
    <x v="16"/>
    <x v="16"/>
    <x v="192"/>
    <x v="304"/>
    <x v="113"/>
    <x v="333"/>
    <x v="88"/>
    <x v="289"/>
    <x v="0"/>
  </r>
  <r>
    <x v="0"/>
    <x v="21"/>
    <x v="21"/>
    <x v="13"/>
    <x v="13"/>
    <x v="13"/>
    <x v="16"/>
    <x v="192"/>
    <x v="304"/>
    <x v="53"/>
    <x v="329"/>
    <x v="87"/>
    <x v="296"/>
    <x v="0"/>
  </r>
  <r>
    <x v="0"/>
    <x v="21"/>
    <x v="21"/>
    <x v="17"/>
    <x v="17"/>
    <x v="17"/>
    <x v="19"/>
    <x v="188"/>
    <x v="92"/>
    <x v="113"/>
    <x v="333"/>
    <x v="97"/>
    <x v="295"/>
    <x v="0"/>
  </r>
  <r>
    <x v="0"/>
    <x v="21"/>
    <x v="21"/>
    <x v="36"/>
    <x v="36"/>
    <x v="36"/>
    <x v="19"/>
    <x v="188"/>
    <x v="92"/>
    <x v="34"/>
    <x v="331"/>
    <x v="94"/>
    <x v="63"/>
    <x v="0"/>
  </r>
  <r>
    <x v="0"/>
    <x v="21"/>
    <x v="21"/>
    <x v="32"/>
    <x v="32"/>
    <x v="32"/>
    <x v="19"/>
    <x v="188"/>
    <x v="92"/>
    <x v="67"/>
    <x v="303"/>
    <x v="93"/>
    <x v="286"/>
    <x v="0"/>
  </r>
  <r>
    <x v="0"/>
    <x v="21"/>
    <x v="21"/>
    <x v="27"/>
    <x v="27"/>
    <x v="27"/>
    <x v="19"/>
    <x v="188"/>
    <x v="92"/>
    <x v="91"/>
    <x v="109"/>
    <x v="54"/>
    <x v="297"/>
    <x v="0"/>
  </r>
  <r>
    <x v="0"/>
    <x v="22"/>
    <x v="22"/>
    <x v="0"/>
    <x v="0"/>
    <x v="0"/>
    <x v="0"/>
    <x v="193"/>
    <x v="305"/>
    <x v="153"/>
    <x v="201"/>
    <x v="89"/>
    <x v="298"/>
    <x v="0"/>
  </r>
  <r>
    <x v="0"/>
    <x v="22"/>
    <x v="22"/>
    <x v="1"/>
    <x v="1"/>
    <x v="1"/>
    <x v="1"/>
    <x v="194"/>
    <x v="306"/>
    <x v="154"/>
    <x v="334"/>
    <x v="76"/>
    <x v="299"/>
    <x v="0"/>
  </r>
  <r>
    <x v="0"/>
    <x v="22"/>
    <x v="22"/>
    <x v="4"/>
    <x v="4"/>
    <x v="4"/>
    <x v="2"/>
    <x v="195"/>
    <x v="307"/>
    <x v="131"/>
    <x v="335"/>
    <x v="40"/>
    <x v="244"/>
    <x v="0"/>
  </r>
  <r>
    <x v="0"/>
    <x v="22"/>
    <x v="22"/>
    <x v="2"/>
    <x v="2"/>
    <x v="2"/>
    <x v="3"/>
    <x v="132"/>
    <x v="308"/>
    <x v="55"/>
    <x v="10"/>
    <x v="69"/>
    <x v="300"/>
    <x v="0"/>
  </r>
  <r>
    <x v="0"/>
    <x v="22"/>
    <x v="22"/>
    <x v="3"/>
    <x v="3"/>
    <x v="3"/>
    <x v="4"/>
    <x v="71"/>
    <x v="309"/>
    <x v="80"/>
    <x v="336"/>
    <x v="110"/>
    <x v="259"/>
    <x v="0"/>
  </r>
  <r>
    <x v="0"/>
    <x v="22"/>
    <x v="22"/>
    <x v="8"/>
    <x v="8"/>
    <x v="8"/>
    <x v="5"/>
    <x v="156"/>
    <x v="191"/>
    <x v="80"/>
    <x v="336"/>
    <x v="95"/>
    <x v="301"/>
    <x v="0"/>
  </r>
  <r>
    <x v="0"/>
    <x v="22"/>
    <x v="22"/>
    <x v="7"/>
    <x v="7"/>
    <x v="7"/>
    <x v="6"/>
    <x v="90"/>
    <x v="310"/>
    <x v="54"/>
    <x v="337"/>
    <x v="80"/>
    <x v="302"/>
    <x v="0"/>
  </r>
  <r>
    <x v="0"/>
    <x v="22"/>
    <x v="22"/>
    <x v="5"/>
    <x v="5"/>
    <x v="5"/>
    <x v="7"/>
    <x v="74"/>
    <x v="311"/>
    <x v="112"/>
    <x v="338"/>
    <x v="89"/>
    <x v="298"/>
    <x v="0"/>
  </r>
  <r>
    <x v="0"/>
    <x v="22"/>
    <x v="22"/>
    <x v="6"/>
    <x v="6"/>
    <x v="6"/>
    <x v="8"/>
    <x v="59"/>
    <x v="312"/>
    <x v="55"/>
    <x v="10"/>
    <x v="57"/>
    <x v="303"/>
    <x v="0"/>
  </r>
  <r>
    <x v="0"/>
    <x v="22"/>
    <x v="22"/>
    <x v="10"/>
    <x v="10"/>
    <x v="10"/>
    <x v="9"/>
    <x v="101"/>
    <x v="313"/>
    <x v="48"/>
    <x v="160"/>
    <x v="108"/>
    <x v="10"/>
    <x v="0"/>
  </r>
  <r>
    <x v="0"/>
    <x v="22"/>
    <x v="22"/>
    <x v="11"/>
    <x v="11"/>
    <x v="11"/>
    <x v="10"/>
    <x v="133"/>
    <x v="314"/>
    <x v="86"/>
    <x v="339"/>
    <x v="97"/>
    <x v="304"/>
    <x v="0"/>
  </r>
  <r>
    <x v="0"/>
    <x v="22"/>
    <x v="22"/>
    <x v="9"/>
    <x v="9"/>
    <x v="9"/>
    <x v="11"/>
    <x v="104"/>
    <x v="52"/>
    <x v="105"/>
    <x v="340"/>
    <x v="97"/>
    <x v="304"/>
    <x v="2"/>
  </r>
  <r>
    <x v="0"/>
    <x v="22"/>
    <x v="22"/>
    <x v="12"/>
    <x v="12"/>
    <x v="12"/>
    <x v="12"/>
    <x v="143"/>
    <x v="315"/>
    <x v="35"/>
    <x v="341"/>
    <x v="57"/>
    <x v="303"/>
    <x v="0"/>
  </r>
  <r>
    <x v="0"/>
    <x v="22"/>
    <x v="22"/>
    <x v="13"/>
    <x v="13"/>
    <x v="13"/>
    <x v="13"/>
    <x v="122"/>
    <x v="270"/>
    <x v="36"/>
    <x v="342"/>
    <x v="93"/>
    <x v="305"/>
    <x v="0"/>
  </r>
  <r>
    <x v="0"/>
    <x v="22"/>
    <x v="22"/>
    <x v="15"/>
    <x v="15"/>
    <x v="15"/>
    <x v="14"/>
    <x v="129"/>
    <x v="90"/>
    <x v="92"/>
    <x v="343"/>
    <x v="76"/>
    <x v="299"/>
    <x v="0"/>
  </r>
  <r>
    <x v="0"/>
    <x v="22"/>
    <x v="22"/>
    <x v="27"/>
    <x v="27"/>
    <x v="27"/>
    <x v="14"/>
    <x v="129"/>
    <x v="90"/>
    <x v="50"/>
    <x v="344"/>
    <x v="89"/>
    <x v="298"/>
    <x v="0"/>
  </r>
  <r>
    <x v="0"/>
    <x v="22"/>
    <x v="22"/>
    <x v="17"/>
    <x v="17"/>
    <x v="17"/>
    <x v="16"/>
    <x v="147"/>
    <x v="316"/>
    <x v="81"/>
    <x v="345"/>
    <x v="94"/>
    <x v="103"/>
    <x v="0"/>
  </r>
  <r>
    <x v="0"/>
    <x v="22"/>
    <x v="22"/>
    <x v="14"/>
    <x v="14"/>
    <x v="14"/>
    <x v="16"/>
    <x v="147"/>
    <x v="316"/>
    <x v="122"/>
    <x v="346"/>
    <x v="107"/>
    <x v="306"/>
    <x v="0"/>
  </r>
  <r>
    <x v="0"/>
    <x v="22"/>
    <x v="22"/>
    <x v="18"/>
    <x v="18"/>
    <x v="18"/>
    <x v="18"/>
    <x v="148"/>
    <x v="91"/>
    <x v="116"/>
    <x v="277"/>
    <x v="88"/>
    <x v="307"/>
    <x v="0"/>
  </r>
  <r>
    <x v="0"/>
    <x v="22"/>
    <x v="22"/>
    <x v="16"/>
    <x v="16"/>
    <x v="16"/>
    <x v="19"/>
    <x v="157"/>
    <x v="19"/>
    <x v="50"/>
    <x v="344"/>
    <x v="57"/>
    <x v="303"/>
    <x v="0"/>
  </r>
  <r>
    <x v="0"/>
    <x v="23"/>
    <x v="23"/>
    <x v="0"/>
    <x v="0"/>
    <x v="0"/>
    <x v="0"/>
    <x v="196"/>
    <x v="152"/>
    <x v="155"/>
    <x v="347"/>
    <x v="65"/>
    <x v="308"/>
    <x v="0"/>
  </r>
  <r>
    <x v="0"/>
    <x v="23"/>
    <x v="23"/>
    <x v="2"/>
    <x v="2"/>
    <x v="2"/>
    <x v="1"/>
    <x v="197"/>
    <x v="317"/>
    <x v="156"/>
    <x v="348"/>
    <x v="133"/>
    <x v="309"/>
    <x v="0"/>
  </r>
  <r>
    <x v="0"/>
    <x v="23"/>
    <x v="23"/>
    <x v="1"/>
    <x v="1"/>
    <x v="1"/>
    <x v="2"/>
    <x v="198"/>
    <x v="318"/>
    <x v="157"/>
    <x v="349"/>
    <x v="71"/>
    <x v="209"/>
    <x v="0"/>
  </r>
  <r>
    <x v="0"/>
    <x v="23"/>
    <x v="23"/>
    <x v="3"/>
    <x v="3"/>
    <x v="3"/>
    <x v="3"/>
    <x v="199"/>
    <x v="319"/>
    <x v="158"/>
    <x v="350"/>
    <x v="134"/>
    <x v="310"/>
    <x v="0"/>
  </r>
  <r>
    <x v="0"/>
    <x v="23"/>
    <x v="23"/>
    <x v="4"/>
    <x v="4"/>
    <x v="4"/>
    <x v="4"/>
    <x v="183"/>
    <x v="320"/>
    <x v="159"/>
    <x v="351"/>
    <x v="119"/>
    <x v="151"/>
    <x v="0"/>
  </r>
  <r>
    <x v="0"/>
    <x v="23"/>
    <x v="23"/>
    <x v="5"/>
    <x v="5"/>
    <x v="5"/>
    <x v="5"/>
    <x v="200"/>
    <x v="46"/>
    <x v="160"/>
    <x v="352"/>
    <x v="41"/>
    <x v="311"/>
    <x v="0"/>
  </r>
  <r>
    <x v="0"/>
    <x v="23"/>
    <x v="23"/>
    <x v="6"/>
    <x v="6"/>
    <x v="6"/>
    <x v="6"/>
    <x v="201"/>
    <x v="227"/>
    <x v="126"/>
    <x v="353"/>
    <x v="105"/>
    <x v="312"/>
    <x v="0"/>
  </r>
  <r>
    <x v="0"/>
    <x v="23"/>
    <x v="23"/>
    <x v="7"/>
    <x v="7"/>
    <x v="7"/>
    <x v="7"/>
    <x v="108"/>
    <x v="321"/>
    <x v="112"/>
    <x v="354"/>
    <x v="135"/>
    <x v="313"/>
    <x v="0"/>
  </r>
  <r>
    <x v="0"/>
    <x v="23"/>
    <x v="23"/>
    <x v="8"/>
    <x v="8"/>
    <x v="8"/>
    <x v="8"/>
    <x v="202"/>
    <x v="85"/>
    <x v="161"/>
    <x v="355"/>
    <x v="48"/>
    <x v="314"/>
    <x v="0"/>
  </r>
  <r>
    <x v="0"/>
    <x v="23"/>
    <x v="23"/>
    <x v="17"/>
    <x v="17"/>
    <x v="17"/>
    <x v="9"/>
    <x v="69"/>
    <x v="322"/>
    <x v="119"/>
    <x v="356"/>
    <x v="96"/>
    <x v="239"/>
    <x v="0"/>
  </r>
  <r>
    <x v="0"/>
    <x v="23"/>
    <x v="23"/>
    <x v="11"/>
    <x v="11"/>
    <x v="11"/>
    <x v="10"/>
    <x v="52"/>
    <x v="69"/>
    <x v="85"/>
    <x v="231"/>
    <x v="54"/>
    <x v="315"/>
    <x v="0"/>
  </r>
  <r>
    <x v="0"/>
    <x v="23"/>
    <x v="23"/>
    <x v="9"/>
    <x v="9"/>
    <x v="9"/>
    <x v="11"/>
    <x v="86"/>
    <x v="323"/>
    <x v="88"/>
    <x v="357"/>
    <x v="86"/>
    <x v="281"/>
    <x v="0"/>
  </r>
  <r>
    <x v="0"/>
    <x v="23"/>
    <x v="23"/>
    <x v="10"/>
    <x v="10"/>
    <x v="10"/>
    <x v="12"/>
    <x v="140"/>
    <x v="148"/>
    <x v="61"/>
    <x v="358"/>
    <x v="94"/>
    <x v="316"/>
    <x v="0"/>
  </r>
  <r>
    <x v="0"/>
    <x v="23"/>
    <x v="23"/>
    <x v="14"/>
    <x v="14"/>
    <x v="14"/>
    <x v="13"/>
    <x v="90"/>
    <x v="149"/>
    <x v="45"/>
    <x v="63"/>
    <x v="56"/>
    <x v="201"/>
    <x v="0"/>
  </r>
  <r>
    <x v="0"/>
    <x v="23"/>
    <x v="23"/>
    <x v="12"/>
    <x v="12"/>
    <x v="12"/>
    <x v="14"/>
    <x v="59"/>
    <x v="248"/>
    <x v="54"/>
    <x v="32"/>
    <x v="67"/>
    <x v="317"/>
    <x v="0"/>
  </r>
  <r>
    <x v="0"/>
    <x v="23"/>
    <x v="23"/>
    <x v="13"/>
    <x v="13"/>
    <x v="13"/>
    <x v="15"/>
    <x v="142"/>
    <x v="137"/>
    <x v="87"/>
    <x v="259"/>
    <x v="97"/>
    <x v="318"/>
    <x v="0"/>
  </r>
  <r>
    <x v="0"/>
    <x v="23"/>
    <x v="23"/>
    <x v="23"/>
    <x v="23"/>
    <x v="23"/>
    <x v="16"/>
    <x v="151"/>
    <x v="38"/>
    <x v="81"/>
    <x v="359"/>
    <x v="81"/>
    <x v="319"/>
    <x v="0"/>
  </r>
  <r>
    <x v="0"/>
    <x v="23"/>
    <x v="23"/>
    <x v="15"/>
    <x v="15"/>
    <x v="15"/>
    <x v="17"/>
    <x v="191"/>
    <x v="324"/>
    <x v="37"/>
    <x v="360"/>
    <x v="105"/>
    <x v="312"/>
    <x v="0"/>
  </r>
  <r>
    <x v="0"/>
    <x v="23"/>
    <x v="23"/>
    <x v="33"/>
    <x v="33"/>
    <x v="33"/>
    <x v="18"/>
    <x v="133"/>
    <x v="57"/>
    <x v="97"/>
    <x v="361"/>
    <x v="89"/>
    <x v="63"/>
    <x v="0"/>
  </r>
  <r>
    <x v="0"/>
    <x v="23"/>
    <x v="23"/>
    <x v="25"/>
    <x v="25"/>
    <x v="25"/>
    <x v="19"/>
    <x v="134"/>
    <x v="123"/>
    <x v="35"/>
    <x v="362"/>
    <x v="29"/>
    <x v="320"/>
    <x v="0"/>
  </r>
  <r>
    <x v="0"/>
    <x v="24"/>
    <x v="24"/>
    <x v="2"/>
    <x v="2"/>
    <x v="2"/>
    <x v="0"/>
    <x v="203"/>
    <x v="325"/>
    <x v="160"/>
    <x v="363"/>
    <x v="136"/>
    <x v="321"/>
    <x v="0"/>
  </r>
  <r>
    <x v="0"/>
    <x v="24"/>
    <x v="24"/>
    <x v="4"/>
    <x v="4"/>
    <x v="4"/>
    <x v="1"/>
    <x v="65"/>
    <x v="326"/>
    <x v="95"/>
    <x v="364"/>
    <x v="137"/>
    <x v="322"/>
    <x v="0"/>
  </r>
  <r>
    <x v="0"/>
    <x v="24"/>
    <x v="24"/>
    <x v="0"/>
    <x v="0"/>
    <x v="0"/>
    <x v="2"/>
    <x v="204"/>
    <x v="327"/>
    <x v="162"/>
    <x v="365"/>
    <x v="57"/>
    <x v="323"/>
    <x v="0"/>
  </r>
  <r>
    <x v="0"/>
    <x v="24"/>
    <x v="24"/>
    <x v="3"/>
    <x v="3"/>
    <x v="3"/>
    <x v="3"/>
    <x v="109"/>
    <x v="264"/>
    <x v="63"/>
    <x v="366"/>
    <x v="66"/>
    <x v="324"/>
    <x v="2"/>
  </r>
  <r>
    <x v="0"/>
    <x v="24"/>
    <x v="24"/>
    <x v="1"/>
    <x v="1"/>
    <x v="1"/>
    <x v="3"/>
    <x v="109"/>
    <x v="264"/>
    <x v="25"/>
    <x v="367"/>
    <x v="57"/>
    <x v="323"/>
    <x v="0"/>
  </r>
  <r>
    <x v="0"/>
    <x v="24"/>
    <x v="24"/>
    <x v="7"/>
    <x v="7"/>
    <x v="7"/>
    <x v="5"/>
    <x v="71"/>
    <x v="328"/>
    <x v="86"/>
    <x v="368"/>
    <x v="96"/>
    <x v="325"/>
    <x v="0"/>
  </r>
  <r>
    <x v="0"/>
    <x v="24"/>
    <x v="24"/>
    <x v="5"/>
    <x v="5"/>
    <x v="5"/>
    <x v="6"/>
    <x v="87"/>
    <x v="329"/>
    <x v="48"/>
    <x v="323"/>
    <x v="65"/>
    <x v="144"/>
    <x v="0"/>
  </r>
  <r>
    <x v="0"/>
    <x v="24"/>
    <x v="24"/>
    <x v="6"/>
    <x v="6"/>
    <x v="6"/>
    <x v="7"/>
    <x v="112"/>
    <x v="299"/>
    <x v="121"/>
    <x v="369"/>
    <x v="82"/>
    <x v="326"/>
    <x v="0"/>
  </r>
  <r>
    <x v="0"/>
    <x v="24"/>
    <x v="24"/>
    <x v="8"/>
    <x v="8"/>
    <x v="8"/>
    <x v="8"/>
    <x v="100"/>
    <x v="242"/>
    <x v="119"/>
    <x v="370"/>
    <x v="90"/>
    <x v="87"/>
    <x v="0"/>
  </r>
  <r>
    <x v="0"/>
    <x v="24"/>
    <x v="24"/>
    <x v="11"/>
    <x v="11"/>
    <x v="11"/>
    <x v="9"/>
    <x v="169"/>
    <x v="330"/>
    <x v="79"/>
    <x v="371"/>
    <x v="54"/>
    <x v="327"/>
    <x v="0"/>
  </r>
  <r>
    <x v="0"/>
    <x v="24"/>
    <x v="24"/>
    <x v="10"/>
    <x v="10"/>
    <x v="10"/>
    <x v="10"/>
    <x v="170"/>
    <x v="331"/>
    <x v="80"/>
    <x v="372"/>
    <x v="93"/>
    <x v="29"/>
    <x v="0"/>
  </r>
  <r>
    <x v="0"/>
    <x v="24"/>
    <x v="24"/>
    <x v="17"/>
    <x v="17"/>
    <x v="17"/>
    <x v="11"/>
    <x v="142"/>
    <x v="332"/>
    <x v="105"/>
    <x v="373"/>
    <x v="83"/>
    <x v="35"/>
    <x v="0"/>
  </r>
  <r>
    <x v="0"/>
    <x v="24"/>
    <x v="24"/>
    <x v="24"/>
    <x v="24"/>
    <x v="24"/>
    <x v="12"/>
    <x v="118"/>
    <x v="333"/>
    <x v="81"/>
    <x v="374"/>
    <x v="95"/>
    <x v="37"/>
    <x v="0"/>
  </r>
  <r>
    <x v="0"/>
    <x v="24"/>
    <x v="24"/>
    <x v="14"/>
    <x v="14"/>
    <x v="14"/>
    <x v="13"/>
    <x v="119"/>
    <x v="53"/>
    <x v="52"/>
    <x v="375"/>
    <x v="50"/>
    <x v="116"/>
    <x v="0"/>
  </r>
  <r>
    <x v="0"/>
    <x v="24"/>
    <x v="24"/>
    <x v="9"/>
    <x v="9"/>
    <x v="9"/>
    <x v="14"/>
    <x v="103"/>
    <x v="334"/>
    <x v="96"/>
    <x v="376"/>
    <x v="107"/>
    <x v="328"/>
    <x v="0"/>
  </r>
  <r>
    <x v="0"/>
    <x v="24"/>
    <x v="24"/>
    <x v="26"/>
    <x v="26"/>
    <x v="26"/>
    <x v="15"/>
    <x v="104"/>
    <x v="316"/>
    <x v="105"/>
    <x v="373"/>
    <x v="88"/>
    <x v="11"/>
    <x v="0"/>
  </r>
  <r>
    <x v="0"/>
    <x v="24"/>
    <x v="24"/>
    <x v="15"/>
    <x v="15"/>
    <x v="15"/>
    <x v="15"/>
    <x v="104"/>
    <x v="316"/>
    <x v="113"/>
    <x v="377"/>
    <x v="63"/>
    <x v="176"/>
    <x v="0"/>
  </r>
  <r>
    <x v="0"/>
    <x v="24"/>
    <x v="24"/>
    <x v="16"/>
    <x v="16"/>
    <x v="16"/>
    <x v="15"/>
    <x v="104"/>
    <x v="316"/>
    <x v="98"/>
    <x v="378"/>
    <x v="65"/>
    <x v="144"/>
    <x v="0"/>
  </r>
  <r>
    <x v="0"/>
    <x v="24"/>
    <x v="24"/>
    <x v="12"/>
    <x v="12"/>
    <x v="12"/>
    <x v="18"/>
    <x v="143"/>
    <x v="15"/>
    <x v="122"/>
    <x v="379"/>
    <x v="54"/>
    <x v="327"/>
    <x v="0"/>
  </r>
  <r>
    <x v="0"/>
    <x v="24"/>
    <x v="24"/>
    <x v="13"/>
    <x v="13"/>
    <x v="13"/>
    <x v="19"/>
    <x v="105"/>
    <x v="58"/>
    <x v="69"/>
    <x v="380"/>
    <x v="87"/>
    <x v="329"/>
    <x v="0"/>
  </r>
  <r>
    <x v="0"/>
    <x v="25"/>
    <x v="25"/>
    <x v="0"/>
    <x v="0"/>
    <x v="0"/>
    <x v="0"/>
    <x v="205"/>
    <x v="335"/>
    <x v="145"/>
    <x v="381"/>
    <x v="86"/>
    <x v="1"/>
    <x v="0"/>
  </r>
  <r>
    <x v="0"/>
    <x v="25"/>
    <x v="25"/>
    <x v="2"/>
    <x v="2"/>
    <x v="2"/>
    <x v="1"/>
    <x v="194"/>
    <x v="336"/>
    <x v="152"/>
    <x v="382"/>
    <x v="72"/>
    <x v="330"/>
    <x v="0"/>
  </r>
  <r>
    <x v="0"/>
    <x v="25"/>
    <x v="25"/>
    <x v="4"/>
    <x v="4"/>
    <x v="4"/>
    <x v="2"/>
    <x v="69"/>
    <x v="318"/>
    <x v="64"/>
    <x v="383"/>
    <x v="81"/>
    <x v="331"/>
    <x v="0"/>
  </r>
  <r>
    <x v="0"/>
    <x v="25"/>
    <x v="25"/>
    <x v="3"/>
    <x v="3"/>
    <x v="3"/>
    <x v="3"/>
    <x v="206"/>
    <x v="337"/>
    <x v="64"/>
    <x v="383"/>
    <x v="83"/>
    <x v="332"/>
    <x v="0"/>
  </r>
  <r>
    <x v="0"/>
    <x v="25"/>
    <x v="25"/>
    <x v="1"/>
    <x v="1"/>
    <x v="1"/>
    <x v="4"/>
    <x v="90"/>
    <x v="338"/>
    <x v="88"/>
    <x v="384"/>
    <x v="108"/>
    <x v="333"/>
    <x v="0"/>
  </r>
  <r>
    <x v="0"/>
    <x v="25"/>
    <x v="25"/>
    <x v="6"/>
    <x v="6"/>
    <x v="6"/>
    <x v="5"/>
    <x v="56"/>
    <x v="339"/>
    <x v="152"/>
    <x v="382"/>
    <x v="54"/>
    <x v="228"/>
    <x v="0"/>
  </r>
  <r>
    <x v="0"/>
    <x v="25"/>
    <x v="25"/>
    <x v="8"/>
    <x v="8"/>
    <x v="8"/>
    <x v="5"/>
    <x v="56"/>
    <x v="339"/>
    <x v="119"/>
    <x v="385"/>
    <x v="79"/>
    <x v="334"/>
    <x v="0"/>
  </r>
  <r>
    <x v="0"/>
    <x v="25"/>
    <x v="25"/>
    <x v="11"/>
    <x v="11"/>
    <x v="11"/>
    <x v="7"/>
    <x v="113"/>
    <x v="340"/>
    <x v="49"/>
    <x v="386"/>
    <x v="94"/>
    <x v="91"/>
    <x v="0"/>
  </r>
  <r>
    <x v="0"/>
    <x v="25"/>
    <x v="25"/>
    <x v="7"/>
    <x v="7"/>
    <x v="7"/>
    <x v="8"/>
    <x v="114"/>
    <x v="341"/>
    <x v="105"/>
    <x v="61"/>
    <x v="90"/>
    <x v="335"/>
    <x v="0"/>
  </r>
  <r>
    <x v="0"/>
    <x v="25"/>
    <x v="25"/>
    <x v="10"/>
    <x v="10"/>
    <x v="10"/>
    <x v="9"/>
    <x v="116"/>
    <x v="342"/>
    <x v="111"/>
    <x v="387"/>
    <x v="97"/>
    <x v="99"/>
    <x v="0"/>
  </r>
  <r>
    <x v="0"/>
    <x v="25"/>
    <x v="25"/>
    <x v="14"/>
    <x v="14"/>
    <x v="14"/>
    <x v="10"/>
    <x v="128"/>
    <x v="343"/>
    <x v="81"/>
    <x v="301"/>
    <x v="90"/>
    <x v="335"/>
    <x v="0"/>
  </r>
  <r>
    <x v="0"/>
    <x v="25"/>
    <x v="25"/>
    <x v="5"/>
    <x v="5"/>
    <x v="5"/>
    <x v="11"/>
    <x v="104"/>
    <x v="133"/>
    <x v="90"/>
    <x v="388"/>
    <x v="76"/>
    <x v="336"/>
    <x v="0"/>
  </r>
  <r>
    <x v="0"/>
    <x v="25"/>
    <x v="25"/>
    <x v="9"/>
    <x v="9"/>
    <x v="9"/>
    <x v="12"/>
    <x v="122"/>
    <x v="174"/>
    <x v="35"/>
    <x v="193"/>
    <x v="88"/>
    <x v="337"/>
    <x v="0"/>
  </r>
  <r>
    <x v="0"/>
    <x v="25"/>
    <x v="25"/>
    <x v="17"/>
    <x v="17"/>
    <x v="17"/>
    <x v="13"/>
    <x v="129"/>
    <x v="186"/>
    <x v="113"/>
    <x v="389"/>
    <x v="79"/>
    <x v="334"/>
    <x v="0"/>
  </r>
  <r>
    <x v="0"/>
    <x v="25"/>
    <x v="25"/>
    <x v="24"/>
    <x v="24"/>
    <x v="24"/>
    <x v="14"/>
    <x v="136"/>
    <x v="137"/>
    <x v="34"/>
    <x v="267"/>
    <x v="54"/>
    <x v="228"/>
    <x v="0"/>
  </r>
  <r>
    <x v="0"/>
    <x v="25"/>
    <x v="25"/>
    <x v="12"/>
    <x v="12"/>
    <x v="12"/>
    <x v="14"/>
    <x v="136"/>
    <x v="137"/>
    <x v="116"/>
    <x v="390"/>
    <x v="76"/>
    <x v="336"/>
    <x v="0"/>
  </r>
  <r>
    <x v="0"/>
    <x v="25"/>
    <x v="25"/>
    <x v="15"/>
    <x v="15"/>
    <x v="15"/>
    <x v="16"/>
    <x v="157"/>
    <x v="232"/>
    <x v="50"/>
    <x v="391"/>
    <x v="57"/>
    <x v="102"/>
    <x v="0"/>
  </r>
  <r>
    <x v="0"/>
    <x v="25"/>
    <x v="25"/>
    <x v="18"/>
    <x v="18"/>
    <x v="18"/>
    <x v="16"/>
    <x v="157"/>
    <x v="232"/>
    <x v="67"/>
    <x v="17"/>
    <x v="76"/>
    <x v="336"/>
    <x v="0"/>
  </r>
  <r>
    <x v="0"/>
    <x v="25"/>
    <x v="25"/>
    <x v="25"/>
    <x v="25"/>
    <x v="25"/>
    <x v="18"/>
    <x v="152"/>
    <x v="271"/>
    <x v="68"/>
    <x v="392"/>
    <x v="54"/>
    <x v="228"/>
    <x v="0"/>
  </r>
  <r>
    <x v="0"/>
    <x v="25"/>
    <x v="25"/>
    <x v="29"/>
    <x v="29"/>
    <x v="29"/>
    <x v="19"/>
    <x v="192"/>
    <x v="234"/>
    <x v="34"/>
    <x v="267"/>
    <x v="93"/>
    <x v="84"/>
    <x v="0"/>
  </r>
  <r>
    <x v="0"/>
    <x v="25"/>
    <x v="25"/>
    <x v="32"/>
    <x v="32"/>
    <x v="32"/>
    <x v="19"/>
    <x v="192"/>
    <x v="234"/>
    <x v="34"/>
    <x v="267"/>
    <x v="93"/>
    <x v="84"/>
    <x v="0"/>
  </r>
  <r>
    <x v="0"/>
    <x v="26"/>
    <x v="26"/>
    <x v="5"/>
    <x v="5"/>
    <x v="5"/>
    <x v="0"/>
    <x v="207"/>
    <x v="344"/>
    <x v="61"/>
    <x v="393"/>
    <x v="56"/>
    <x v="338"/>
    <x v="0"/>
  </r>
  <r>
    <x v="0"/>
    <x v="26"/>
    <x v="26"/>
    <x v="0"/>
    <x v="0"/>
    <x v="0"/>
    <x v="1"/>
    <x v="111"/>
    <x v="345"/>
    <x v="147"/>
    <x v="394"/>
    <x v="88"/>
    <x v="339"/>
    <x v="0"/>
  </r>
  <r>
    <x v="0"/>
    <x v="26"/>
    <x v="26"/>
    <x v="2"/>
    <x v="2"/>
    <x v="2"/>
    <x v="2"/>
    <x v="145"/>
    <x v="346"/>
    <x v="97"/>
    <x v="134"/>
    <x v="58"/>
    <x v="340"/>
    <x v="0"/>
  </r>
  <r>
    <x v="0"/>
    <x v="26"/>
    <x v="26"/>
    <x v="4"/>
    <x v="4"/>
    <x v="4"/>
    <x v="3"/>
    <x v="88"/>
    <x v="81"/>
    <x v="119"/>
    <x v="395"/>
    <x v="65"/>
    <x v="341"/>
    <x v="0"/>
  </r>
  <r>
    <x v="0"/>
    <x v="26"/>
    <x v="26"/>
    <x v="7"/>
    <x v="7"/>
    <x v="7"/>
    <x v="4"/>
    <x v="55"/>
    <x v="347"/>
    <x v="69"/>
    <x v="396"/>
    <x v="116"/>
    <x v="342"/>
    <x v="0"/>
  </r>
  <r>
    <x v="0"/>
    <x v="26"/>
    <x v="26"/>
    <x v="1"/>
    <x v="1"/>
    <x v="1"/>
    <x v="5"/>
    <x v="142"/>
    <x v="348"/>
    <x v="48"/>
    <x v="397"/>
    <x v="107"/>
    <x v="343"/>
    <x v="0"/>
  </r>
  <r>
    <x v="0"/>
    <x v="26"/>
    <x v="26"/>
    <x v="11"/>
    <x v="11"/>
    <x v="11"/>
    <x v="6"/>
    <x v="91"/>
    <x v="349"/>
    <x v="84"/>
    <x v="398"/>
    <x v="88"/>
    <x v="339"/>
    <x v="0"/>
  </r>
  <r>
    <x v="0"/>
    <x v="26"/>
    <x v="26"/>
    <x v="8"/>
    <x v="8"/>
    <x v="8"/>
    <x v="7"/>
    <x v="134"/>
    <x v="350"/>
    <x v="54"/>
    <x v="399"/>
    <x v="79"/>
    <x v="344"/>
    <x v="0"/>
  </r>
  <r>
    <x v="0"/>
    <x v="26"/>
    <x v="26"/>
    <x v="3"/>
    <x v="3"/>
    <x v="3"/>
    <x v="7"/>
    <x v="134"/>
    <x v="350"/>
    <x v="104"/>
    <x v="400"/>
    <x v="90"/>
    <x v="345"/>
    <x v="0"/>
  </r>
  <r>
    <x v="0"/>
    <x v="26"/>
    <x v="26"/>
    <x v="6"/>
    <x v="6"/>
    <x v="6"/>
    <x v="9"/>
    <x v="114"/>
    <x v="158"/>
    <x v="62"/>
    <x v="401"/>
    <x v="93"/>
    <x v="66"/>
    <x v="2"/>
  </r>
  <r>
    <x v="0"/>
    <x v="26"/>
    <x v="26"/>
    <x v="27"/>
    <x v="27"/>
    <x v="27"/>
    <x v="10"/>
    <x v="135"/>
    <x v="105"/>
    <x v="91"/>
    <x v="109"/>
    <x v="95"/>
    <x v="346"/>
    <x v="0"/>
  </r>
  <r>
    <x v="0"/>
    <x v="26"/>
    <x v="26"/>
    <x v="9"/>
    <x v="9"/>
    <x v="9"/>
    <x v="11"/>
    <x v="122"/>
    <x v="13"/>
    <x v="35"/>
    <x v="51"/>
    <x v="93"/>
    <x v="66"/>
    <x v="0"/>
  </r>
  <r>
    <x v="0"/>
    <x v="26"/>
    <x v="26"/>
    <x v="10"/>
    <x v="10"/>
    <x v="10"/>
    <x v="12"/>
    <x v="136"/>
    <x v="186"/>
    <x v="122"/>
    <x v="44"/>
    <x v="87"/>
    <x v="347"/>
    <x v="0"/>
  </r>
  <r>
    <x v="0"/>
    <x v="26"/>
    <x v="26"/>
    <x v="17"/>
    <x v="17"/>
    <x v="17"/>
    <x v="13"/>
    <x v="148"/>
    <x v="351"/>
    <x v="98"/>
    <x v="377"/>
    <x v="57"/>
    <x v="348"/>
    <x v="0"/>
  </r>
  <r>
    <x v="0"/>
    <x v="26"/>
    <x v="26"/>
    <x v="15"/>
    <x v="15"/>
    <x v="15"/>
    <x v="14"/>
    <x v="157"/>
    <x v="258"/>
    <x v="98"/>
    <x v="377"/>
    <x v="86"/>
    <x v="190"/>
    <x v="0"/>
  </r>
  <r>
    <x v="0"/>
    <x v="26"/>
    <x v="26"/>
    <x v="25"/>
    <x v="25"/>
    <x v="25"/>
    <x v="15"/>
    <x v="152"/>
    <x v="56"/>
    <x v="68"/>
    <x v="74"/>
    <x v="54"/>
    <x v="349"/>
    <x v="0"/>
  </r>
  <r>
    <x v="0"/>
    <x v="26"/>
    <x v="26"/>
    <x v="13"/>
    <x v="13"/>
    <x v="13"/>
    <x v="16"/>
    <x v="192"/>
    <x v="123"/>
    <x v="116"/>
    <x v="402"/>
    <x v="94"/>
    <x v="238"/>
    <x v="0"/>
  </r>
  <r>
    <x v="0"/>
    <x v="26"/>
    <x v="26"/>
    <x v="37"/>
    <x v="37"/>
    <x v="37"/>
    <x v="16"/>
    <x v="192"/>
    <x v="123"/>
    <x v="98"/>
    <x v="377"/>
    <x v="54"/>
    <x v="349"/>
    <x v="0"/>
  </r>
  <r>
    <x v="0"/>
    <x v="26"/>
    <x v="26"/>
    <x v="19"/>
    <x v="19"/>
    <x v="19"/>
    <x v="18"/>
    <x v="188"/>
    <x v="19"/>
    <x v="50"/>
    <x v="200"/>
    <x v="54"/>
    <x v="349"/>
    <x v="0"/>
  </r>
  <r>
    <x v="0"/>
    <x v="26"/>
    <x v="26"/>
    <x v="29"/>
    <x v="29"/>
    <x v="29"/>
    <x v="19"/>
    <x v="208"/>
    <x v="352"/>
    <x v="67"/>
    <x v="267"/>
    <x v="94"/>
    <x v="238"/>
    <x v="0"/>
  </r>
  <r>
    <x v="0"/>
    <x v="26"/>
    <x v="26"/>
    <x v="12"/>
    <x v="12"/>
    <x v="12"/>
    <x v="19"/>
    <x v="208"/>
    <x v="352"/>
    <x v="67"/>
    <x v="267"/>
    <x v="94"/>
    <x v="238"/>
    <x v="0"/>
  </r>
  <r>
    <x v="0"/>
    <x v="26"/>
    <x v="26"/>
    <x v="38"/>
    <x v="38"/>
    <x v="38"/>
    <x v="19"/>
    <x v="208"/>
    <x v="352"/>
    <x v="68"/>
    <x v="74"/>
    <x v="97"/>
    <x v="119"/>
    <x v="0"/>
  </r>
  <r>
    <x v="0"/>
    <x v="26"/>
    <x v="26"/>
    <x v="21"/>
    <x v="21"/>
    <x v="21"/>
    <x v="19"/>
    <x v="208"/>
    <x v="352"/>
    <x v="91"/>
    <x v="109"/>
    <x v="54"/>
    <x v="349"/>
    <x v="0"/>
  </r>
  <r>
    <x v="0"/>
    <x v="27"/>
    <x v="27"/>
    <x v="28"/>
    <x v="28"/>
    <x v="28"/>
    <x v="0"/>
    <x v="28"/>
    <x v="353"/>
    <x v="146"/>
    <x v="403"/>
    <x v="138"/>
    <x v="350"/>
    <x v="0"/>
  </r>
  <r>
    <x v="0"/>
    <x v="27"/>
    <x v="27"/>
    <x v="3"/>
    <x v="3"/>
    <x v="3"/>
    <x v="1"/>
    <x v="201"/>
    <x v="354"/>
    <x v="77"/>
    <x v="404"/>
    <x v="40"/>
    <x v="351"/>
    <x v="0"/>
  </r>
  <r>
    <x v="0"/>
    <x v="27"/>
    <x v="27"/>
    <x v="0"/>
    <x v="0"/>
    <x v="0"/>
    <x v="2"/>
    <x v="202"/>
    <x v="109"/>
    <x v="19"/>
    <x v="405"/>
    <x v="50"/>
    <x v="308"/>
    <x v="0"/>
  </r>
  <r>
    <x v="0"/>
    <x v="27"/>
    <x v="27"/>
    <x v="2"/>
    <x v="2"/>
    <x v="2"/>
    <x v="3"/>
    <x v="37"/>
    <x v="308"/>
    <x v="51"/>
    <x v="191"/>
    <x v="103"/>
    <x v="352"/>
    <x v="0"/>
  </r>
  <r>
    <x v="0"/>
    <x v="27"/>
    <x v="27"/>
    <x v="4"/>
    <x v="4"/>
    <x v="4"/>
    <x v="4"/>
    <x v="207"/>
    <x v="355"/>
    <x v="163"/>
    <x v="162"/>
    <x v="48"/>
    <x v="353"/>
    <x v="0"/>
  </r>
  <r>
    <x v="0"/>
    <x v="27"/>
    <x v="27"/>
    <x v="1"/>
    <x v="1"/>
    <x v="1"/>
    <x v="5"/>
    <x v="52"/>
    <x v="356"/>
    <x v="137"/>
    <x v="406"/>
    <x v="93"/>
    <x v="281"/>
    <x v="0"/>
  </r>
  <r>
    <x v="0"/>
    <x v="27"/>
    <x v="27"/>
    <x v="6"/>
    <x v="6"/>
    <x v="6"/>
    <x v="6"/>
    <x v="53"/>
    <x v="357"/>
    <x v="151"/>
    <x v="407"/>
    <x v="93"/>
    <x v="281"/>
    <x v="0"/>
  </r>
  <r>
    <x v="0"/>
    <x v="27"/>
    <x v="27"/>
    <x v="7"/>
    <x v="7"/>
    <x v="7"/>
    <x v="7"/>
    <x v="151"/>
    <x v="31"/>
    <x v="52"/>
    <x v="408"/>
    <x v="104"/>
    <x v="354"/>
    <x v="0"/>
  </r>
  <r>
    <x v="0"/>
    <x v="27"/>
    <x v="27"/>
    <x v="11"/>
    <x v="11"/>
    <x v="11"/>
    <x v="8"/>
    <x v="102"/>
    <x v="358"/>
    <x v="112"/>
    <x v="105"/>
    <x v="88"/>
    <x v="355"/>
    <x v="0"/>
  </r>
  <r>
    <x v="0"/>
    <x v="27"/>
    <x v="27"/>
    <x v="8"/>
    <x v="8"/>
    <x v="8"/>
    <x v="9"/>
    <x v="133"/>
    <x v="322"/>
    <x v="97"/>
    <x v="103"/>
    <x v="89"/>
    <x v="356"/>
    <x v="0"/>
  </r>
  <r>
    <x v="0"/>
    <x v="27"/>
    <x v="27"/>
    <x v="10"/>
    <x v="10"/>
    <x v="10"/>
    <x v="10"/>
    <x v="128"/>
    <x v="185"/>
    <x v="111"/>
    <x v="236"/>
    <x v="108"/>
    <x v="357"/>
    <x v="0"/>
  </r>
  <r>
    <x v="0"/>
    <x v="27"/>
    <x v="27"/>
    <x v="15"/>
    <x v="15"/>
    <x v="15"/>
    <x v="11"/>
    <x v="119"/>
    <x v="12"/>
    <x v="113"/>
    <x v="224"/>
    <x v="56"/>
    <x v="168"/>
    <x v="0"/>
  </r>
  <r>
    <x v="0"/>
    <x v="27"/>
    <x v="27"/>
    <x v="5"/>
    <x v="5"/>
    <x v="5"/>
    <x v="12"/>
    <x v="103"/>
    <x v="87"/>
    <x v="92"/>
    <x v="409"/>
    <x v="82"/>
    <x v="33"/>
    <x v="0"/>
  </r>
  <r>
    <x v="0"/>
    <x v="27"/>
    <x v="27"/>
    <x v="13"/>
    <x v="13"/>
    <x v="13"/>
    <x v="12"/>
    <x v="103"/>
    <x v="87"/>
    <x v="105"/>
    <x v="410"/>
    <x v="76"/>
    <x v="252"/>
    <x v="0"/>
  </r>
  <r>
    <x v="0"/>
    <x v="27"/>
    <x v="27"/>
    <x v="17"/>
    <x v="17"/>
    <x v="17"/>
    <x v="14"/>
    <x v="104"/>
    <x v="303"/>
    <x v="35"/>
    <x v="291"/>
    <x v="79"/>
    <x v="15"/>
    <x v="0"/>
  </r>
  <r>
    <x v="0"/>
    <x v="27"/>
    <x v="27"/>
    <x v="20"/>
    <x v="20"/>
    <x v="20"/>
    <x v="15"/>
    <x v="121"/>
    <x v="334"/>
    <x v="37"/>
    <x v="411"/>
    <x v="57"/>
    <x v="141"/>
    <x v="0"/>
  </r>
  <r>
    <x v="0"/>
    <x v="27"/>
    <x v="27"/>
    <x v="14"/>
    <x v="14"/>
    <x v="14"/>
    <x v="16"/>
    <x v="135"/>
    <x v="122"/>
    <x v="106"/>
    <x v="412"/>
    <x v="94"/>
    <x v="358"/>
    <x v="0"/>
  </r>
  <r>
    <x v="0"/>
    <x v="27"/>
    <x v="27"/>
    <x v="12"/>
    <x v="12"/>
    <x v="12"/>
    <x v="17"/>
    <x v="129"/>
    <x v="123"/>
    <x v="37"/>
    <x v="411"/>
    <x v="76"/>
    <x v="252"/>
    <x v="0"/>
  </r>
  <r>
    <x v="0"/>
    <x v="27"/>
    <x v="27"/>
    <x v="9"/>
    <x v="9"/>
    <x v="9"/>
    <x v="18"/>
    <x v="136"/>
    <x v="234"/>
    <x v="35"/>
    <x v="291"/>
    <x v="94"/>
    <x v="358"/>
    <x v="0"/>
  </r>
  <r>
    <x v="0"/>
    <x v="27"/>
    <x v="27"/>
    <x v="33"/>
    <x v="33"/>
    <x v="33"/>
    <x v="19"/>
    <x v="148"/>
    <x v="352"/>
    <x v="50"/>
    <x v="413"/>
    <x v="79"/>
    <x v="15"/>
    <x v="0"/>
  </r>
  <r>
    <x v="0"/>
    <x v="28"/>
    <x v="28"/>
    <x v="0"/>
    <x v="0"/>
    <x v="0"/>
    <x v="0"/>
    <x v="209"/>
    <x v="261"/>
    <x v="164"/>
    <x v="414"/>
    <x v="78"/>
    <x v="87"/>
    <x v="0"/>
  </r>
  <r>
    <x v="0"/>
    <x v="28"/>
    <x v="28"/>
    <x v="1"/>
    <x v="1"/>
    <x v="1"/>
    <x v="1"/>
    <x v="210"/>
    <x v="346"/>
    <x v="165"/>
    <x v="415"/>
    <x v="110"/>
    <x v="251"/>
    <x v="0"/>
  </r>
  <r>
    <x v="0"/>
    <x v="28"/>
    <x v="28"/>
    <x v="5"/>
    <x v="5"/>
    <x v="5"/>
    <x v="2"/>
    <x v="211"/>
    <x v="359"/>
    <x v="124"/>
    <x v="416"/>
    <x v="139"/>
    <x v="359"/>
    <x v="0"/>
  </r>
  <r>
    <x v="0"/>
    <x v="28"/>
    <x v="28"/>
    <x v="7"/>
    <x v="7"/>
    <x v="7"/>
    <x v="3"/>
    <x v="212"/>
    <x v="360"/>
    <x v="96"/>
    <x v="417"/>
    <x v="30"/>
    <x v="360"/>
    <x v="0"/>
  </r>
  <r>
    <x v="0"/>
    <x v="28"/>
    <x v="28"/>
    <x v="2"/>
    <x v="2"/>
    <x v="2"/>
    <x v="4"/>
    <x v="213"/>
    <x v="361"/>
    <x v="65"/>
    <x v="27"/>
    <x v="140"/>
    <x v="361"/>
    <x v="0"/>
  </r>
  <r>
    <x v="0"/>
    <x v="28"/>
    <x v="28"/>
    <x v="4"/>
    <x v="4"/>
    <x v="4"/>
    <x v="5"/>
    <x v="201"/>
    <x v="252"/>
    <x v="112"/>
    <x v="418"/>
    <x v="43"/>
    <x v="207"/>
    <x v="0"/>
  </r>
  <r>
    <x v="0"/>
    <x v="28"/>
    <x v="28"/>
    <x v="3"/>
    <x v="3"/>
    <x v="3"/>
    <x v="6"/>
    <x v="139"/>
    <x v="362"/>
    <x v="94"/>
    <x v="352"/>
    <x v="127"/>
    <x v="362"/>
    <x v="0"/>
  </r>
  <r>
    <x v="0"/>
    <x v="28"/>
    <x v="28"/>
    <x v="6"/>
    <x v="6"/>
    <x v="6"/>
    <x v="7"/>
    <x v="194"/>
    <x v="363"/>
    <x v="115"/>
    <x v="144"/>
    <x v="95"/>
    <x v="363"/>
    <x v="2"/>
  </r>
  <r>
    <x v="0"/>
    <x v="28"/>
    <x v="28"/>
    <x v="9"/>
    <x v="9"/>
    <x v="9"/>
    <x v="8"/>
    <x v="112"/>
    <x v="364"/>
    <x v="48"/>
    <x v="104"/>
    <x v="95"/>
    <x v="363"/>
    <x v="0"/>
  </r>
  <r>
    <x v="0"/>
    <x v="28"/>
    <x v="28"/>
    <x v="11"/>
    <x v="11"/>
    <x v="11"/>
    <x v="9"/>
    <x v="89"/>
    <x v="365"/>
    <x v="79"/>
    <x v="122"/>
    <x v="79"/>
    <x v="364"/>
    <x v="0"/>
  </r>
  <r>
    <x v="0"/>
    <x v="28"/>
    <x v="28"/>
    <x v="10"/>
    <x v="10"/>
    <x v="10"/>
    <x v="10"/>
    <x v="169"/>
    <x v="51"/>
    <x v="32"/>
    <x v="326"/>
    <x v="88"/>
    <x v="365"/>
    <x v="0"/>
  </r>
  <r>
    <x v="0"/>
    <x v="28"/>
    <x v="28"/>
    <x v="15"/>
    <x v="15"/>
    <x v="15"/>
    <x v="11"/>
    <x v="170"/>
    <x v="366"/>
    <x v="113"/>
    <x v="35"/>
    <x v="45"/>
    <x v="248"/>
    <x v="0"/>
  </r>
  <r>
    <x v="0"/>
    <x v="28"/>
    <x v="28"/>
    <x v="12"/>
    <x v="12"/>
    <x v="12"/>
    <x v="12"/>
    <x v="101"/>
    <x v="149"/>
    <x v="122"/>
    <x v="419"/>
    <x v="81"/>
    <x v="55"/>
    <x v="0"/>
  </r>
  <r>
    <x v="0"/>
    <x v="28"/>
    <x v="28"/>
    <x v="39"/>
    <x v="39"/>
    <x v="39"/>
    <x v="13"/>
    <x v="151"/>
    <x v="231"/>
    <x v="91"/>
    <x v="109"/>
    <x v="45"/>
    <x v="248"/>
    <x v="0"/>
  </r>
  <r>
    <x v="0"/>
    <x v="28"/>
    <x v="28"/>
    <x v="8"/>
    <x v="8"/>
    <x v="8"/>
    <x v="14"/>
    <x v="191"/>
    <x v="74"/>
    <x v="101"/>
    <x v="410"/>
    <x v="89"/>
    <x v="84"/>
    <x v="0"/>
  </r>
  <r>
    <x v="0"/>
    <x v="28"/>
    <x v="28"/>
    <x v="16"/>
    <x v="16"/>
    <x v="16"/>
    <x v="15"/>
    <x v="134"/>
    <x v="75"/>
    <x v="68"/>
    <x v="37"/>
    <x v="116"/>
    <x v="176"/>
    <x v="0"/>
  </r>
  <r>
    <x v="0"/>
    <x v="28"/>
    <x v="28"/>
    <x v="30"/>
    <x v="30"/>
    <x v="30"/>
    <x v="16"/>
    <x v="113"/>
    <x v="367"/>
    <x v="54"/>
    <x v="420"/>
    <x v="57"/>
    <x v="366"/>
    <x v="0"/>
  </r>
  <r>
    <x v="0"/>
    <x v="28"/>
    <x v="28"/>
    <x v="14"/>
    <x v="14"/>
    <x v="14"/>
    <x v="17"/>
    <x v="117"/>
    <x v="232"/>
    <x v="52"/>
    <x v="329"/>
    <x v="79"/>
    <x v="364"/>
    <x v="0"/>
  </r>
  <r>
    <x v="0"/>
    <x v="28"/>
    <x v="28"/>
    <x v="19"/>
    <x v="19"/>
    <x v="19"/>
    <x v="18"/>
    <x v="128"/>
    <x v="197"/>
    <x v="37"/>
    <x v="421"/>
    <x v="67"/>
    <x v="89"/>
    <x v="0"/>
  </r>
  <r>
    <x v="0"/>
    <x v="28"/>
    <x v="28"/>
    <x v="18"/>
    <x v="18"/>
    <x v="18"/>
    <x v="19"/>
    <x v="104"/>
    <x v="368"/>
    <x v="35"/>
    <x v="422"/>
    <x v="79"/>
    <x v="364"/>
    <x v="0"/>
  </r>
  <r>
    <x v="0"/>
    <x v="29"/>
    <x v="29"/>
    <x v="2"/>
    <x v="2"/>
    <x v="2"/>
    <x v="0"/>
    <x v="167"/>
    <x v="369"/>
    <x v="24"/>
    <x v="423"/>
    <x v="40"/>
    <x v="367"/>
    <x v="0"/>
  </r>
  <r>
    <x v="0"/>
    <x v="29"/>
    <x v="29"/>
    <x v="0"/>
    <x v="0"/>
    <x v="0"/>
    <x v="1"/>
    <x v="39"/>
    <x v="370"/>
    <x v="16"/>
    <x v="424"/>
    <x v="97"/>
    <x v="368"/>
    <x v="0"/>
  </r>
  <r>
    <x v="0"/>
    <x v="29"/>
    <x v="29"/>
    <x v="4"/>
    <x v="4"/>
    <x v="4"/>
    <x v="2"/>
    <x v="52"/>
    <x v="371"/>
    <x v="44"/>
    <x v="425"/>
    <x v="90"/>
    <x v="341"/>
    <x v="0"/>
  </r>
  <r>
    <x v="0"/>
    <x v="29"/>
    <x v="29"/>
    <x v="6"/>
    <x v="6"/>
    <x v="6"/>
    <x v="3"/>
    <x v="140"/>
    <x v="372"/>
    <x v="103"/>
    <x v="426"/>
    <x v="54"/>
    <x v="153"/>
    <x v="2"/>
  </r>
  <r>
    <x v="0"/>
    <x v="29"/>
    <x v="29"/>
    <x v="3"/>
    <x v="3"/>
    <x v="3"/>
    <x v="4"/>
    <x v="155"/>
    <x v="373"/>
    <x v="120"/>
    <x v="427"/>
    <x v="82"/>
    <x v="369"/>
    <x v="0"/>
  </r>
  <r>
    <x v="0"/>
    <x v="29"/>
    <x v="29"/>
    <x v="1"/>
    <x v="1"/>
    <x v="1"/>
    <x v="5"/>
    <x v="156"/>
    <x v="374"/>
    <x v="65"/>
    <x v="428"/>
    <x v="94"/>
    <x v="370"/>
    <x v="0"/>
  </r>
  <r>
    <x v="0"/>
    <x v="29"/>
    <x v="29"/>
    <x v="7"/>
    <x v="7"/>
    <x v="7"/>
    <x v="6"/>
    <x v="59"/>
    <x v="375"/>
    <x v="97"/>
    <x v="47"/>
    <x v="65"/>
    <x v="371"/>
    <x v="0"/>
  </r>
  <r>
    <x v="0"/>
    <x v="29"/>
    <x v="29"/>
    <x v="8"/>
    <x v="8"/>
    <x v="8"/>
    <x v="7"/>
    <x v="127"/>
    <x v="376"/>
    <x v="86"/>
    <x v="324"/>
    <x v="50"/>
    <x v="48"/>
    <x v="0"/>
  </r>
  <r>
    <x v="0"/>
    <x v="29"/>
    <x v="29"/>
    <x v="11"/>
    <x v="11"/>
    <x v="11"/>
    <x v="8"/>
    <x v="151"/>
    <x v="377"/>
    <x v="80"/>
    <x v="429"/>
    <x v="87"/>
    <x v="372"/>
    <x v="0"/>
  </r>
  <r>
    <x v="0"/>
    <x v="29"/>
    <x v="29"/>
    <x v="29"/>
    <x v="29"/>
    <x v="29"/>
    <x v="9"/>
    <x v="106"/>
    <x v="378"/>
    <x v="105"/>
    <x v="430"/>
    <x v="94"/>
    <x v="370"/>
    <x v="0"/>
  </r>
  <r>
    <x v="0"/>
    <x v="29"/>
    <x v="29"/>
    <x v="10"/>
    <x v="10"/>
    <x v="10"/>
    <x v="9"/>
    <x v="106"/>
    <x v="378"/>
    <x v="104"/>
    <x v="388"/>
    <x v="107"/>
    <x v="373"/>
    <x v="0"/>
  </r>
  <r>
    <x v="0"/>
    <x v="29"/>
    <x v="29"/>
    <x v="17"/>
    <x v="17"/>
    <x v="17"/>
    <x v="11"/>
    <x v="135"/>
    <x v="379"/>
    <x v="92"/>
    <x v="75"/>
    <x v="50"/>
    <x v="48"/>
    <x v="0"/>
  </r>
  <r>
    <x v="0"/>
    <x v="29"/>
    <x v="29"/>
    <x v="25"/>
    <x v="25"/>
    <x v="25"/>
    <x v="12"/>
    <x v="122"/>
    <x v="280"/>
    <x v="34"/>
    <x v="431"/>
    <x v="57"/>
    <x v="374"/>
    <x v="0"/>
  </r>
  <r>
    <x v="0"/>
    <x v="29"/>
    <x v="29"/>
    <x v="12"/>
    <x v="12"/>
    <x v="12"/>
    <x v="12"/>
    <x v="122"/>
    <x v="280"/>
    <x v="35"/>
    <x v="253"/>
    <x v="93"/>
    <x v="337"/>
    <x v="0"/>
  </r>
  <r>
    <x v="0"/>
    <x v="29"/>
    <x v="29"/>
    <x v="24"/>
    <x v="24"/>
    <x v="24"/>
    <x v="14"/>
    <x v="147"/>
    <x v="248"/>
    <x v="53"/>
    <x v="361"/>
    <x v="97"/>
    <x v="368"/>
    <x v="0"/>
  </r>
  <r>
    <x v="0"/>
    <x v="29"/>
    <x v="29"/>
    <x v="14"/>
    <x v="14"/>
    <x v="14"/>
    <x v="15"/>
    <x v="136"/>
    <x v="75"/>
    <x v="92"/>
    <x v="75"/>
    <x v="97"/>
    <x v="368"/>
    <x v="0"/>
  </r>
  <r>
    <x v="0"/>
    <x v="29"/>
    <x v="29"/>
    <x v="5"/>
    <x v="5"/>
    <x v="5"/>
    <x v="15"/>
    <x v="136"/>
    <x v="75"/>
    <x v="92"/>
    <x v="75"/>
    <x v="97"/>
    <x v="368"/>
    <x v="0"/>
  </r>
  <r>
    <x v="0"/>
    <x v="29"/>
    <x v="29"/>
    <x v="9"/>
    <x v="9"/>
    <x v="9"/>
    <x v="15"/>
    <x v="136"/>
    <x v="75"/>
    <x v="81"/>
    <x v="63"/>
    <x v="87"/>
    <x v="372"/>
    <x v="0"/>
  </r>
  <r>
    <x v="0"/>
    <x v="29"/>
    <x v="29"/>
    <x v="15"/>
    <x v="15"/>
    <x v="15"/>
    <x v="18"/>
    <x v="157"/>
    <x v="232"/>
    <x v="116"/>
    <x v="91"/>
    <x v="97"/>
    <x v="368"/>
    <x v="0"/>
  </r>
  <r>
    <x v="0"/>
    <x v="29"/>
    <x v="29"/>
    <x v="27"/>
    <x v="27"/>
    <x v="27"/>
    <x v="19"/>
    <x v="192"/>
    <x v="234"/>
    <x v="91"/>
    <x v="109"/>
    <x v="86"/>
    <x v="375"/>
    <x v="0"/>
  </r>
  <r>
    <x v="0"/>
    <x v="30"/>
    <x v="30"/>
    <x v="0"/>
    <x v="0"/>
    <x v="0"/>
    <x v="0"/>
    <x v="214"/>
    <x v="380"/>
    <x v="149"/>
    <x v="432"/>
    <x v="57"/>
    <x v="92"/>
    <x v="0"/>
  </r>
  <r>
    <x v="0"/>
    <x v="30"/>
    <x v="30"/>
    <x v="2"/>
    <x v="2"/>
    <x v="2"/>
    <x v="1"/>
    <x v="108"/>
    <x v="381"/>
    <x v="24"/>
    <x v="433"/>
    <x v="84"/>
    <x v="376"/>
    <x v="0"/>
  </r>
  <r>
    <x v="0"/>
    <x v="30"/>
    <x v="30"/>
    <x v="3"/>
    <x v="3"/>
    <x v="3"/>
    <x v="2"/>
    <x v="85"/>
    <x v="382"/>
    <x v="161"/>
    <x v="434"/>
    <x v="81"/>
    <x v="377"/>
    <x v="0"/>
  </r>
  <r>
    <x v="0"/>
    <x v="30"/>
    <x v="30"/>
    <x v="1"/>
    <x v="1"/>
    <x v="1"/>
    <x v="3"/>
    <x v="52"/>
    <x v="111"/>
    <x v="24"/>
    <x v="433"/>
    <x v="108"/>
    <x v="131"/>
    <x v="0"/>
  </r>
  <r>
    <x v="0"/>
    <x v="30"/>
    <x v="30"/>
    <x v="4"/>
    <x v="4"/>
    <x v="4"/>
    <x v="4"/>
    <x v="215"/>
    <x v="383"/>
    <x v="135"/>
    <x v="435"/>
    <x v="65"/>
    <x v="378"/>
    <x v="0"/>
  </r>
  <r>
    <x v="0"/>
    <x v="30"/>
    <x v="30"/>
    <x v="7"/>
    <x v="7"/>
    <x v="7"/>
    <x v="5"/>
    <x v="73"/>
    <x v="384"/>
    <x v="97"/>
    <x v="310"/>
    <x v="83"/>
    <x v="313"/>
    <x v="0"/>
  </r>
  <r>
    <x v="0"/>
    <x v="30"/>
    <x v="30"/>
    <x v="6"/>
    <x v="6"/>
    <x v="6"/>
    <x v="6"/>
    <x v="142"/>
    <x v="385"/>
    <x v="128"/>
    <x v="436"/>
    <x v="88"/>
    <x v="379"/>
    <x v="0"/>
  </r>
  <r>
    <x v="0"/>
    <x v="30"/>
    <x v="30"/>
    <x v="8"/>
    <x v="8"/>
    <x v="8"/>
    <x v="7"/>
    <x v="91"/>
    <x v="386"/>
    <x v="84"/>
    <x v="437"/>
    <x v="88"/>
    <x v="379"/>
    <x v="0"/>
  </r>
  <r>
    <x v="0"/>
    <x v="30"/>
    <x v="30"/>
    <x v="5"/>
    <x v="5"/>
    <x v="5"/>
    <x v="8"/>
    <x v="113"/>
    <x v="242"/>
    <x v="54"/>
    <x v="236"/>
    <x v="57"/>
    <x v="92"/>
    <x v="0"/>
  </r>
  <r>
    <x v="0"/>
    <x v="30"/>
    <x v="30"/>
    <x v="11"/>
    <x v="11"/>
    <x v="11"/>
    <x v="9"/>
    <x v="114"/>
    <x v="30"/>
    <x v="112"/>
    <x v="438"/>
    <x v="87"/>
    <x v="328"/>
    <x v="0"/>
  </r>
  <r>
    <x v="0"/>
    <x v="30"/>
    <x v="30"/>
    <x v="10"/>
    <x v="10"/>
    <x v="10"/>
    <x v="10"/>
    <x v="105"/>
    <x v="387"/>
    <x v="78"/>
    <x v="33"/>
    <x v="106"/>
    <x v="155"/>
    <x v="0"/>
  </r>
  <r>
    <x v="0"/>
    <x v="30"/>
    <x v="30"/>
    <x v="9"/>
    <x v="9"/>
    <x v="9"/>
    <x v="11"/>
    <x v="106"/>
    <x v="388"/>
    <x v="106"/>
    <x v="410"/>
    <x v="93"/>
    <x v="18"/>
    <x v="0"/>
  </r>
  <r>
    <x v="0"/>
    <x v="30"/>
    <x v="30"/>
    <x v="13"/>
    <x v="13"/>
    <x v="13"/>
    <x v="12"/>
    <x v="135"/>
    <x v="161"/>
    <x v="122"/>
    <x v="439"/>
    <x v="93"/>
    <x v="18"/>
    <x v="0"/>
  </r>
  <r>
    <x v="0"/>
    <x v="30"/>
    <x v="30"/>
    <x v="25"/>
    <x v="25"/>
    <x v="25"/>
    <x v="13"/>
    <x v="122"/>
    <x v="389"/>
    <x v="68"/>
    <x v="198"/>
    <x v="98"/>
    <x v="380"/>
    <x v="0"/>
  </r>
  <r>
    <x v="0"/>
    <x v="30"/>
    <x v="30"/>
    <x v="12"/>
    <x v="12"/>
    <x v="12"/>
    <x v="13"/>
    <x v="122"/>
    <x v="389"/>
    <x v="92"/>
    <x v="170"/>
    <x v="88"/>
    <x v="379"/>
    <x v="0"/>
  </r>
  <r>
    <x v="0"/>
    <x v="30"/>
    <x v="30"/>
    <x v="27"/>
    <x v="27"/>
    <x v="27"/>
    <x v="15"/>
    <x v="129"/>
    <x v="390"/>
    <x v="50"/>
    <x v="344"/>
    <x v="82"/>
    <x v="381"/>
    <x v="0"/>
  </r>
  <r>
    <x v="0"/>
    <x v="30"/>
    <x v="30"/>
    <x v="20"/>
    <x v="20"/>
    <x v="20"/>
    <x v="16"/>
    <x v="147"/>
    <x v="334"/>
    <x v="116"/>
    <x v="440"/>
    <x v="54"/>
    <x v="382"/>
    <x v="0"/>
  </r>
  <r>
    <x v="0"/>
    <x v="30"/>
    <x v="30"/>
    <x v="19"/>
    <x v="19"/>
    <x v="19"/>
    <x v="17"/>
    <x v="157"/>
    <x v="271"/>
    <x v="50"/>
    <x v="344"/>
    <x v="57"/>
    <x v="92"/>
    <x v="0"/>
  </r>
  <r>
    <x v="0"/>
    <x v="30"/>
    <x v="30"/>
    <x v="14"/>
    <x v="14"/>
    <x v="14"/>
    <x v="18"/>
    <x v="152"/>
    <x v="209"/>
    <x v="92"/>
    <x v="170"/>
    <x v="108"/>
    <x v="131"/>
    <x v="0"/>
  </r>
  <r>
    <x v="0"/>
    <x v="30"/>
    <x v="30"/>
    <x v="29"/>
    <x v="29"/>
    <x v="29"/>
    <x v="19"/>
    <x v="192"/>
    <x v="391"/>
    <x v="37"/>
    <x v="315"/>
    <x v="108"/>
    <x v="131"/>
    <x v="0"/>
  </r>
  <r>
    <x v="0"/>
    <x v="31"/>
    <x v="31"/>
    <x v="0"/>
    <x v="0"/>
    <x v="0"/>
    <x v="0"/>
    <x v="111"/>
    <x v="392"/>
    <x v="115"/>
    <x v="441"/>
    <x v="54"/>
    <x v="234"/>
    <x v="0"/>
  </r>
  <r>
    <x v="0"/>
    <x v="31"/>
    <x v="31"/>
    <x v="2"/>
    <x v="2"/>
    <x v="2"/>
    <x v="1"/>
    <x v="145"/>
    <x v="393"/>
    <x v="84"/>
    <x v="442"/>
    <x v="127"/>
    <x v="383"/>
    <x v="0"/>
  </r>
  <r>
    <x v="0"/>
    <x v="31"/>
    <x v="31"/>
    <x v="4"/>
    <x v="4"/>
    <x v="4"/>
    <x v="2"/>
    <x v="53"/>
    <x v="141"/>
    <x v="112"/>
    <x v="443"/>
    <x v="78"/>
    <x v="62"/>
    <x v="0"/>
  </r>
  <r>
    <x v="0"/>
    <x v="31"/>
    <x v="31"/>
    <x v="1"/>
    <x v="1"/>
    <x v="1"/>
    <x v="3"/>
    <x v="55"/>
    <x v="394"/>
    <x v="121"/>
    <x v="444"/>
    <x v="76"/>
    <x v="223"/>
    <x v="0"/>
  </r>
  <r>
    <x v="0"/>
    <x v="31"/>
    <x v="31"/>
    <x v="3"/>
    <x v="3"/>
    <x v="3"/>
    <x v="4"/>
    <x v="170"/>
    <x v="395"/>
    <x v="52"/>
    <x v="445"/>
    <x v="111"/>
    <x v="384"/>
    <x v="0"/>
  </r>
  <r>
    <x v="0"/>
    <x v="31"/>
    <x v="31"/>
    <x v="7"/>
    <x v="7"/>
    <x v="7"/>
    <x v="5"/>
    <x v="127"/>
    <x v="396"/>
    <x v="53"/>
    <x v="446"/>
    <x v="100"/>
    <x v="385"/>
    <x v="0"/>
  </r>
  <r>
    <x v="0"/>
    <x v="31"/>
    <x v="31"/>
    <x v="8"/>
    <x v="8"/>
    <x v="8"/>
    <x v="6"/>
    <x v="191"/>
    <x v="397"/>
    <x v="111"/>
    <x v="447"/>
    <x v="79"/>
    <x v="237"/>
    <x v="0"/>
  </r>
  <r>
    <x v="0"/>
    <x v="31"/>
    <x v="31"/>
    <x v="6"/>
    <x v="6"/>
    <x v="6"/>
    <x v="7"/>
    <x v="116"/>
    <x v="398"/>
    <x v="97"/>
    <x v="448"/>
    <x v="76"/>
    <x v="223"/>
    <x v="0"/>
  </r>
  <r>
    <x v="0"/>
    <x v="31"/>
    <x v="31"/>
    <x v="5"/>
    <x v="5"/>
    <x v="5"/>
    <x v="8"/>
    <x v="103"/>
    <x v="330"/>
    <x v="98"/>
    <x v="449"/>
    <x v="104"/>
    <x v="386"/>
    <x v="0"/>
  </r>
  <r>
    <x v="0"/>
    <x v="31"/>
    <x v="31"/>
    <x v="12"/>
    <x v="12"/>
    <x v="12"/>
    <x v="9"/>
    <x v="143"/>
    <x v="399"/>
    <x v="116"/>
    <x v="450"/>
    <x v="82"/>
    <x v="387"/>
    <x v="0"/>
  </r>
  <r>
    <x v="0"/>
    <x v="31"/>
    <x v="31"/>
    <x v="10"/>
    <x v="10"/>
    <x v="10"/>
    <x v="9"/>
    <x v="143"/>
    <x v="399"/>
    <x v="104"/>
    <x v="451"/>
    <x v="94"/>
    <x v="281"/>
    <x v="0"/>
  </r>
  <r>
    <x v="0"/>
    <x v="31"/>
    <x v="31"/>
    <x v="9"/>
    <x v="9"/>
    <x v="9"/>
    <x v="11"/>
    <x v="105"/>
    <x v="400"/>
    <x v="106"/>
    <x v="272"/>
    <x v="93"/>
    <x v="305"/>
    <x v="0"/>
  </r>
  <r>
    <x v="0"/>
    <x v="31"/>
    <x v="31"/>
    <x v="13"/>
    <x v="13"/>
    <x v="13"/>
    <x v="12"/>
    <x v="122"/>
    <x v="33"/>
    <x v="116"/>
    <x v="450"/>
    <x v="86"/>
    <x v="382"/>
    <x v="0"/>
  </r>
  <r>
    <x v="0"/>
    <x v="31"/>
    <x v="31"/>
    <x v="11"/>
    <x v="11"/>
    <x v="11"/>
    <x v="12"/>
    <x v="122"/>
    <x v="33"/>
    <x v="122"/>
    <x v="452"/>
    <x v="94"/>
    <x v="281"/>
    <x v="0"/>
  </r>
  <r>
    <x v="0"/>
    <x v="31"/>
    <x v="31"/>
    <x v="15"/>
    <x v="15"/>
    <x v="15"/>
    <x v="14"/>
    <x v="157"/>
    <x v="351"/>
    <x v="98"/>
    <x v="449"/>
    <x v="86"/>
    <x v="382"/>
    <x v="0"/>
  </r>
  <r>
    <x v="0"/>
    <x v="31"/>
    <x v="31"/>
    <x v="17"/>
    <x v="17"/>
    <x v="17"/>
    <x v="15"/>
    <x v="152"/>
    <x v="367"/>
    <x v="68"/>
    <x v="453"/>
    <x v="54"/>
    <x v="234"/>
    <x v="0"/>
  </r>
  <r>
    <x v="0"/>
    <x v="31"/>
    <x v="31"/>
    <x v="23"/>
    <x v="23"/>
    <x v="23"/>
    <x v="16"/>
    <x v="192"/>
    <x v="401"/>
    <x v="68"/>
    <x v="453"/>
    <x v="76"/>
    <x v="223"/>
    <x v="0"/>
  </r>
  <r>
    <x v="0"/>
    <x v="31"/>
    <x v="31"/>
    <x v="40"/>
    <x v="40"/>
    <x v="40"/>
    <x v="16"/>
    <x v="192"/>
    <x v="401"/>
    <x v="98"/>
    <x v="449"/>
    <x v="54"/>
    <x v="234"/>
    <x v="0"/>
  </r>
  <r>
    <x v="0"/>
    <x v="31"/>
    <x v="31"/>
    <x v="14"/>
    <x v="14"/>
    <x v="14"/>
    <x v="16"/>
    <x v="192"/>
    <x v="401"/>
    <x v="67"/>
    <x v="75"/>
    <x v="97"/>
    <x v="241"/>
    <x v="0"/>
  </r>
  <r>
    <x v="0"/>
    <x v="31"/>
    <x v="31"/>
    <x v="16"/>
    <x v="16"/>
    <x v="16"/>
    <x v="19"/>
    <x v="188"/>
    <x v="91"/>
    <x v="50"/>
    <x v="125"/>
    <x v="54"/>
    <x v="234"/>
    <x v="0"/>
  </r>
  <r>
    <x v="0"/>
    <x v="32"/>
    <x v="32"/>
    <x v="0"/>
    <x v="0"/>
    <x v="0"/>
    <x v="0"/>
    <x v="201"/>
    <x v="402"/>
    <x v="166"/>
    <x v="454"/>
    <x v="50"/>
    <x v="388"/>
    <x v="0"/>
  </r>
  <r>
    <x v="0"/>
    <x v="32"/>
    <x v="32"/>
    <x v="2"/>
    <x v="2"/>
    <x v="2"/>
    <x v="1"/>
    <x v="216"/>
    <x v="403"/>
    <x v="152"/>
    <x v="455"/>
    <x v="68"/>
    <x v="389"/>
    <x v="0"/>
  </r>
  <r>
    <x v="0"/>
    <x v="32"/>
    <x v="32"/>
    <x v="4"/>
    <x v="4"/>
    <x v="4"/>
    <x v="2"/>
    <x v="215"/>
    <x v="404"/>
    <x v="60"/>
    <x v="456"/>
    <x v="56"/>
    <x v="233"/>
    <x v="0"/>
  </r>
  <r>
    <x v="0"/>
    <x v="32"/>
    <x v="32"/>
    <x v="3"/>
    <x v="3"/>
    <x v="3"/>
    <x v="3"/>
    <x v="112"/>
    <x v="23"/>
    <x v="84"/>
    <x v="457"/>
    <x v="100"/>
    <x v="390"/>
    <x v="0"/>
  </r>
  <r>
    <x v="0"/>
    <x v="32"/>
    <x v="32"/>
    <x v="1"/>
    <x v="1"/>
    <x v="1"/>
    <x v="4"/>
    <x v="89"/>
    <x v="405"/>
    <x v="64"/>
    <x v="321"/>
    <x v="93"/>
    <x v="391"/>
    <x v="0"/>
  </r>
  <r>
    <x v="0"/>
    <x v="32"/>
    <x v="32"/>
    <x v="5"/>
    <x v="5"/>
    <x v="5"/>
    <x v="5"/>
    <x v="169"/>
    <x v="406"/>
    <x v="86"/>
    <x v="401"/>
    <x v="63"/>
    <x v="214"/>
    <x v="0"/>
  </r>
  <r>
    <x v="0"/>
    <x v="32"/>
    <x v="32"/>
    <x v="7"/>
    <x v="7"/>
    <x v="7"/>
    <x v="6"/>
    <x v="74"/>
    <x v="278"/>
    <x v="105"/>
    <x v="222"/>
    <x v="80"/>
    <x v="392"/>
    <x v="0"/>
  </r>
  <r>
    <x v="0"/>
    <x v="32"/>
    <x v="32"/>
    <x v="6"/>
    <x v="6"/>
    <x v="6"/>
    <x v="7"/>
    <x v="102"/>
    <x v="407"/>
    <x v="86"/>
    <x v="401"/>
    <x v="76"/>
    <x v="323"/>
    <x v="0"/>
  </r>
  <r>
    <x v="0"/>
    <x v="32"/>
    <x v="32"/>
    <x v="11"/>
    <x v="11"/>
    <x v="11"/>
    <x v="8"/>
    <x v="191"/>
    <x v="408"/>
    <x v="45"/>
    <x v="458"/>
    <x v="50"/>
    <x v="388"/>
    <x v="0"/>
  </r>
  <r>
    <x v="0"/>
    <x v="32"/>
    <x v="32"/>
    <x v="8"/>
    <x v="8"/>
    <x v="8"/>
    <x v="9"/>
    <x v="113"/>
    <x v="409"/>
    <x v="148"/>
    <x v="459"/>
    <x v="76"/>
    <x v="323"/>
    <x v="0"/>
  </r>
  <r>
    <x v="0"/>
    <x v="32"/>
    <x v="32"/>
    <x v="9"/>
    <x v="9"/>
    <x v="9"/>
    <x v="10"/>
    <x v="103"/>
    <x v="410"/>
    <x v="106"/>
    <x v="460"/>
    <x v="93"/>
    <x v="391"/>
    <x v="0"/>
  </r>
  <r>
    <x v="0"/>
    <x v="32"/>
    <x v="32"/>
    <x v="12"/>
    <x v="12"/>
    <x v="12"/>
    <x v="11"/>
    <x v="106"/>
    <x v="34"/>
    <x v="35"/>
    <x v="461"/>
    <x v="50"/>
    <x v="388"/>
    <x v="0"/>
  </r>
  <r>
    <x v="0"/>
    <x v="32"/>
    <x v="32"/>
    <x v="14"/>
    <x v="14"/>
    <x v="14"/>
    <x v="12"/>
    <x v="122"/>
    <x v="196"/>
    <x v="81"/>
    <x v="181"/>
    <x v="97"/>
    <x v="327"/>
    <x v="0"/>
  </r>
  <r>
    <x v="0"/>
    <x v="32"/>
    <x v="32"/>
    <x v="15"/>
    <x v="15"/>
    <x v="15"/>
    <x v="13"/>
    <x v="147"/>
    <x v="36"/>
    <x v="68"/>
    <x v="462"/>
    <x v="79"/>
    <x v="145"/>
    <x v="0"/>
  </r>
  <r>
    <x v="0"/>
    <x v="32"/>
    <x v="32"/>
    <x v="10"/>
    <x v="10"/>
    <x v="10"/>
    <x v="13"/>
    <x v="147"/>
    <x v="36"/>
    <x v="122"/>
    <x v="209"/>
    <x v="107"/>
    <x v="393"/>
    <x v="0"/>
  </r>
  <r>
    <x v="0"/>
    <x v="32"/>
    <x v="32"/>
    <x v="19"/>
    <x v="19"/>
    <x v="19"/>
    <x v="15"/>
    <x v="136"/>
    <x v="37"/>
    <x v="98"/>
    <x v="463"/>
    <x v="79"/>
    <x v="145"/>
    <x v="0"/>
  </r>
  <r>
    <x v="0"/>
    <x v="32"/>
    <x v="32"/>
    <x v="18"/>
    <x v="18"/>
    <x v="18"/>
    <x v="15"/>
    <x v="136"/>
    <x v="37"/>
    <x v="67"/>
    <x v="331"/>
    <x v="50"/>
    <x v="388"/>
    <x v="0"/>
  </r>
  <r>
    <x v="0"/>
    <x v="32"/>
    <x v="32"/>
    <x v="25"/>
    <x v="25"/>
    <x v="25"/>
    <x v="17"/>
    <x v="148"/>
    <x v="15"/>
    <x v="68"/>
    <x v="462"/>
    <x v="86"/>
    <x v="235"/>
    <x v="0"/>
  </r>
  <r>
    <x v="0"/>
    <x v="32"/>
    <x v="32"/>
    <x v="27"/>
    <x v="27"/>
    <x v="27"/>
    <x v="17"/>
    <x v="148"/>
    <x v="15"/>
    <x v="91"/>
    <x v="109"/>
    <x v="89"/>
    <x v="294"/>
    <x v="0"/>
  </r>
  <r>
    <x v="0"/>
    <x v="32"/>
    <x v="32"/>
    <x v="13"/>
    <x v="13"/>
    <x v="13"/>
    <x v="19"/>
    <x v="157"/>
    <x v="123"/>
    <x v="116"/>
    <x v="464"/>
    <x v="97"/>
    <x v="327"/>
    <x v="0"/>
  </r>
  <r>
    <x v="0"/>
    <x v="33"/>
    <x v="33"/>
    <x v="2"/>
    <x v="2"/>
    <x v="2"/>
    <x v="0"/>
    <x v="132"/>
    <x v="411"/>
    <x v="131"/>
    <x v="203"/>
    <x v="92"/>
    <x v="394"/>
    <x v="0"/>
  </r>
  <r>
    <x v="0"/>
    <x v="33"/>
    <x v="33"/>
    <x v="0"/>
    <x v="0"/>
    <x v="0"/>
    <x v="1"/>
    <x v="70"/>
    <x v="412"/>
    <x v="77"/>
    <x v="465"/>
    <x v="88"/>
    <x v="228"/>
    <x v="0"/>
  </r>
  <r>
    <x v="0"/>
    <x v="33"/>
    <x v="33"/>
    <x v="4"/>
    <x v="4"/>
    <x v="4"/>
    <x v="2"/>
    <x v="99"/>
    <x v="413"/>
    <x v="89"/>
    <x v="466"/>
    <x v="80"/>
    <x v="395"/>
    <x v="0"/>
  </r>
  <r>
    <x v="0"/>
    <x v="33"/>
    <x v="33"/>
    <x v="7"/>
    <x v="7"/>
    <x v="7"/>
    <x v="3"/>
    <x v="57"/>
    <x v="414"/>
    <x v="78"/>
    <x v="457"/>
    <x v="111"/>
    <x v="396"/>
    <x v="0"/>
  </r>
  <r>
    <x v="0"/>
    <x v="33"/>
    <x v="33"/>
    <x v="6"/>
    <x v="6"/>
    <x v="6"/>
    <x v="4"/>
    <x v="102"/>
    <x v="415"/>
    <x v="45"/>
    <x v="467"/>
    <x v="54"/>
    <x v="303"/>
    <x v="5"/>
  </r>
  <r>
    <x v="0"/>
    <x v="33"/>
    <x v="33"/>
    <x v="11"/>
    <x v="11"/>
    <x v="11"/>
    <x v="5"/>
    <x v="134"/>
    <x v="266"/>
    <x v="55"/>
    <x v="468"/>
    <x v="107"/>
    <x v="397"/>
    <x v="0"/>
  </r>
  <r>
    <x v="0"/>
    <x v="33"/>
    <x v="33"/>
    <x v="3"/>
    <x v="3"/>
    <x v="3"/>
    <x v="6"/>
    <x v="113"/>
    <x v="99"/>
    <x v="122"/>
    <x v="142"/>
    <x v="67"/>
    <x v="45"/>
    <x v="0"/>
  </r>
  <r>
    <x v="0"/>
    <x v="33"/>
    <x v="33"/>
    <x v="1"/>
    <x v="1"/>
    <x v="1"/>
    <x v="7"/>
    <x v="116"/>
    <x v="114"/>
    <x v="45"/>
    <x v="467"/>
    <x v="108"/>
    <x v="103"/>
    <x v="0"/>
  </r>
  <r>
    <x v="0"/>
    <x v="33"/>
    <x v="33"/>
    <x v="8"/>
    <x v="8"/>
    <x v="8"/>
    <x v="8"/>
    <x v="104"/>
    <x v="416"/>
    <x v="81"/>
    <x v="469"/>
    <x v="57"/>
    <x v="375"/>
    <x v="0"/>
  </r>
  <r>
    <x v="0"/>
    <x v="33"/>
    <x v="33"/>
    <x v="5"/>
    <x v="5"/>
    <x v="5"/>
    <x v="9"/>
    <x v="105"/>
    <x v="183"/>
    <x v="90"/>
    <x v="272"/>
    <x v="97"/>
    <x v="299"/>
    <x v="0"/>
  </r>
  <r>
    <x v="0"/>
    <x v="33"/>
    <x v="33"/>
    <x v="9"/>
    <x v="9"/>
    <x v="9"/>
    <x v="10"/>
    <x v="147"/>
    <x v="118"/>
    <x v="92"/>
    <x v="470"/>
    <x v="88"/>
    <x v="228"/>
    <x v="0"/>
  </r>
  <r>
    <x v="0"/>
    <x v="33"/>
    <x v="33"/>
    <x v="10"/>
    <x v="10"/>
    <x v="10"/>
    <x v="11"/>
    <x v="157"/>
    <x v="333"/>
    <x v="35"/>
    <x v="460"/>
    <x v="107"/>
    <x v="397"/>
    <x v="0"/>
  </r>
  <r>
    <x v="0"/>
    <x v="33"/>
    <x v="33"/>
    <x v="40"/>
    <x v="40"/>
    <x v="40"/>
    <x v="12"/>
    <x v="188"/>
    <x v="15"/>
    <x v="67"/>
    <x v="471"/>
    <x v="93"/>
    <x v="363"/>
    <x v="0"/>
  </r>
  <r>
    <x v="0"/>
    <x v="33"/>
    <x v="33"/>
    <x v="16"/>
    <x v="16"/>
    <x v="16"/>
    <x v="12"/>
    <x v="188"/>
    <x v="15"/>
    <x v="98"/>
    <x v="360"/>
    <x v="76"/>
    <x v="398"/>
    <x v="0"/>
  </r>
  <r>
    <x v="0"/>
    <x v="33"/>
    <x v="33"/>
    <x v="14"/>
    <x v="14"/>
    <x v="14"/>
    <x v="12"/>
    <x v="188"/>
    <x v="15"/>
    <x v="50"/>
    <x v="37"/>
    <x v="54"/>
    <x v="303"/>
    <x v="0"/>
  </r>
  <r>
    <x v="0"/>
    <x v="33"/>
    <x v="33"/>
    <x v="29"/>
    <x v="29"/>
    <x v="29"/>
    <x v="15"/>
    <x v="208"/>
    <x v="197"/>
    <x v="116"/>
    <x v="472"/>
    <x v="107"/>
    <x v="397"/>
    <x v="0"/>
  </r>
  <r>
    <x v="0"/>
    <x v="33"/>
    <x v="33"/>
    <x v="36"/>
    <x v="36"/>
    <x v="36"/>
    <x v="15"/>
    <x v="208"/>
    <x v="197"/>
    <x v="116"/>
    <x v="472"/>
    <x v="107"/>
    <x v="397"/>
    <x v="0"/>
  </r>
  <r>
    <x v="0"/>
    <x v="33"/>
    <x v="33"/>
    <x v="15"/>
    <x v="15"/>
    <x v="15"/>
    <x v="15"/>
    <x v="208"/>
    <x v="197"/>
    <x v="98"/>
    <x v="360"/>
    <x v="88"/>
    <x v="228"/>
    <x v="0"/>
  </r>
  <r>
    <x v="0"/>
    <x v="33"/>
    <x v="33"/>
    <x v="41"/>
    <x v="41"/>
    <x v="41"/>
    <x v="18"/>
    <x v="153"/>
    <x v="304"/>
    <x v="116"/>
    <x v="472"/>
    <x v="87"/>
    <x v="399"/>
    <x v="0"/>
  </r>
  <r>
    <x v="0"/>
    <x v="33"/>
    <x v="33"/>
    <x v="25"/>
    <x v="25"/>
    <x v="25"/>
    <x v="18"/>
    <x v="153"/>
    <x v="304"/>
    <x v="68"/>
    <x v="111"/>
    <x v="93"/>
    <x v="363"/>
    <x v="0"/>
  </r>
  <r>
    <x v="0"/>
    <x v="33"/>
    <x v="33"/>
    <x v="12"/>
    <x v="12"/>
    <x v="12"/>
    <x v="18"/>
    <x v="153"/>
    <x v="304"/>
    <x v="68"/>
    <x v="111"/>
    <x v="93"/>
    <x v="363"/>
    <x v="0"/>
  </r>
  <r>
    <x v="0"/>
    <x v="33"/>
    <x v="33"/>
    <x v="21"/>
    <x v="21"/>
    <x v="21"/>
    <x v="18"/>
    <x v="153"/>
    <x v="304"/>
    <x v="50"/>
    <x v="37"/>
    <x v="88"/>
    <x v="228"/>
    <x v="0"/>
  </r>
  <r>
    <x v="0"/>
    <x v="34"/>
    <x v="34"/>
    <x v="1"/>
    <x v="1"/>
    <x v="1"/>
    <x v="0"/>
    <x v="124"/>
    <x v="417"/>
    <x v="75"/>
    <x v="473"/>
    <x v="95"/>
    <x v="400"/>
    <x v="0"/>
  </r>
  <r>
    <x v="0"/>
    <x v="34"/>
    <x v="34"/>
    <x v="3"/>
    <x v="3"/>
    <x v="3"/>
    <x v="1"/>
    <x v="100"/>
    <x v="418"/>
    <x v="55"/>
    <x v="474"/>
    <x v="67"/>
    <x v="401"/>
    <x v="0"/>
  </r>
  <r>
    <x v="0"/>
    <x v="34"/>
    <x v="34"/>
    <x v="6"/>
    <x v="6"/>
    <x v="6"/>
    <x v="2"/>
    <x v="55"/>
    <x v="419"/>
    <x v="79"/>
    <x v="475"/>
    <x v="86"/>
    <x v="402"/>
    <x v="0"/>
  </r>
  <r>
    <x v="0"/>
    <x v="34"/>
    <x v="34"/>
    <x v="0"/>
    <x v="0"/>
    <x v="0"/>
    <x v="3"/>
    <x v="169"/>
    <x v="420"/>
    <x v="135"/>
    <x v="476"/>
    <x v="108"/>
    <x v="66"/>
    <x v="0"/>
  </r>
  <r>
    <x v="0"/>
    <x v="34"/>
    <x v="34"/>
    <x v="2"/>
    <x v="2"/>
    <x v="2"/>
    <x v="4"/>
    <x v="134"/>
    <x v="83"/>
    <x v="36"/>
    <x v="180"/>
    <x v="104"/>
    <x v="403"/>
    <x v="0"/>
  </r>
  <r>
    <x v="0"/>
    <x v="34"/>
    <x v="34"/>
    <x v="4"/>
    <x v="4"/>
    <x v="4"/>
    <x v="5"/>
    <x v="128"/>
    <x v="421"/>
    <x v="81"/>
    <x v="477"/>
    <x v="90"/>
    <x v="404"/>
    <x v="0"/>
  </r>
  <r>
    <x v="0"/>
    <x v="34"/>
    <x v="34"/>
    <x v="30"/>
    <x v="30"/>
    <x v="30"/>
    <x v="6"/>
    <x v="143"/>
    <x v="422"/>
    <x v="106"/>
    <x v="478"/>
    <x v="76"/>
    <x v="405"/>
    <x v="0"/>
  </r>
  <r>
    <x v="0"/>
    <x v="34"/>
    <x v="34"/>
    <x v="8"/>
    <x v="8"/>
    <x v="8"/>
    <x v="7"/>
    <x v="136"/>
    <x v="171"/>
    <x v="36"/>
    <x v="180"/>
    <x v="107"/>
    <x v="406"/>
    <x v="0"/>
  </r>
  <r>
    <x v="0"/>
    <x v="34"/>
    <x v="34"/>
    <x v="7"/>
    <x v="7"/>
    <x v="7"/>
    <x v="8"/>
    <x v="157"/>
    <x v="11"/>
    <x v="68"/>
    <x v="479"/>
    <x v="50"/>
    <x v="407"/>
    <x v="0"/>
  </r>
  <r>
    <x v="0"/>
    <x v="34"/>
    <x v="34"/>
    <x v="29"/>
    <x v="29"/>
    <x v="29"/>
    <x v="8"/>
    <x v="157"/>
    <x v="11"/>
    <x v="113"/>
    <x v="374"/>
    <x v="54"/>
    <x v="408"/>
    <x v="0"/>
  </r>
  <r>
    <x v="0"/>
    <x v="34"/>
    <x v="34"/>
    <x v="25"/>
    <x v="25"/>
    <x v="25"/>
    <x v="10"/>
    <x v="152"/>
    <x v="105"/>
    <x v="67"/>
    <x v="480"/>
    <x v="88"/>
    <x v="181"/>
    <x v="0"/>
  </r>
  <r>
    <x v="0"/>
    <x v="34"/>
    <x v="34"/>
    <x v="5"/>
    <x v="5"/>
    <x v="5"/>
    <x v="11"/>
    <x v="192"/>
    <x v="35"/>
    <x v="98"/>
    <x v="74"/>
    <x v="54"/>
    <x v="408"/>
    <x v="0"/>
  </r>
  <r>
    <x v="0"/>
    <x v="34"/>
    <x v="34"/>
    <x v="20"/>
    <x v="20"/>
    <x v="20"/>
    <x v="12"/>
    <x v="188"/>
    <x v="174"/>
    <x v="98"/>
    <x v="74"/>
    <x v="76"/>
    <x v="405"/>
    <x v="0"/>
  </r>
  <r>
    <x v="0"/>
    <x v="34"/>
    <x v="34"/>
    <x v="9"/>
    <x v="9"/>
    <x v="9"/>
    <x v="12"/>
    <x v="188"/>
    <x v="174"/>
    <x v="37"/>
    <x v="430"/>
    <x v="107"/>
    <x v="406"/>
    <x v="0"/>
  </r>
  <r>
    <x v="0"/>
    <x v="34"/>
    <x v="34"/>
    <x v="10"/>
    <x v="10"/>
    <x v="10"/>
    <x v="12"/>
    <x v="188"/>
    <x v="174"/>
    <x v="53"/>
    <x v="481"/>
    <x v="106"/>
    <x v="155"/>
    <x v="0"/>
  </r>
  <r>
    <x v="0"/>
    <x v="34"/>
    <x v="34"/>
    <x v="14"/>
    <x v="14"/>
    <x v="14"/>
    <x v="15"/>
    <x v="208"/>
    <x v="219"/>
    <x v="98"/>
    <x v="74"/>
    <x v="88"/>
    <x v="181"/>
    <x v="0"/>
  </r>
  <r>
    <x v="0"/>
    <x v="34"/>
    <x v="34"/>
    <x v="15"/>
    <x v="15"/>
    <x v="15"/>
    <x v="16"/>
    <x v="153"/>
    <x v="423"/>
    <x v="98"/>
    <x v="74"/>
    <x v="97"/>
    <x v="44"/>
    <x v="0"/>
  </r>
  <r>
    <x v="0"/>
    <x v="34"/>
    <x v="34"/>
    <x v="41"/>
    <x v="41"/>
    <x v="41"/>
    <x v="17"/>
    <x v="154"/>
    <x v="123"/>
    <x v="34"/>
    <x v="412"/>
    <x v="87"/>
    <x v="409"/>
    <x v="0"/>
  </r>
  <r>
    <x v="0"/>
    <x v="34"/>
    <x v="34"/>
    <x v="40"/>
    <x v="40"/>
    <x v="40"/>
    <x v="17"/>
    <x v="154"/>
    <x v="123"/>
    <x v="91"/>
    <x v="109"/>
    <x v="88"/>
    <x v="181"/>
    <x v="0"/>
  </r>
  <r>
    <x v="0"/>
    <x v="34"/>
    <x v="34"/>
    <x v="18"/>
    <x v="18"/>
    <x v="18"/>
    <x v="19"/>
    <x v="217"/>
    <x v="424"/>
    <x v="50"/>
    <x v="288"/>
    <x v="93"/>
    <x v="254"/>
    <x v="0"/>
  </r>
  <r>
    <x v="0"/>
    <x v="34"/>
    <x v="34"/>
    <x v="32"/>
    <x v="32"/>
    <x v="32"/>
    <x v="19"/>
    <x v="217"/>
    <x v="424"/>
    <x v="113"/>
    <x v="374"/>
    <x v="107"/>
    <x v="406"/>
    <x v="0"/>
  </r>
  <r>
    <x v="0"/>
    <x v="35"/>
    <x v="35"/>
    <x v="4"/>
    <x v="4"/>
    <x v="4"/>
    <x v="0"/>
    <x v="74"/>
    <x v="425"/>
    <x v="112"/>
    <x v="433"/>
    <x v="89"/>
    <x v="410"/>
    <x v="0"/>
  </r>
  <r>
    <x v="0"/>
    <x v="35"/>
    <x v="35"/>
    <x v="0"/>
    <x v="0"/>
    <x v="0"/>
    <x v="1"/>
    <x v="170"/>
    <x v="426"/>
    <x v="131"/>
    <x v="482"/>
    <x v="97"/>
    <x v="411"/>
    <x v="0"/>
  </r>
  <r>
    <x v="0"/>
    <x v="35"/>
    <x v="35"/>
    <x v="2"/>
    <x v="2"/>
    <x v="2"/>
    <x v="2"/>
    <x v="134"/>
    <x v="427"/>
    <x v="97"/>
    <x v="483"/>
    <x v="57"/>
    <x v="412"/>
    <x v="0"/>
  </r>
  <r>
    <x v="0"/>
    <x v="35"/>
    <x v="35"/>
    <x v="3"/>
    <x v="3"/>
    <x v="3"/>
    <x v="3"/>
    <x v="115"/>
    <x v="141"/>
    <x v="54"/>
    <x v="145"/>
    <x v="50"/>
    <x v="396"/>
    <x v="0"/>
  </r>
  <r>
    <x v="0"/>
    <x v="35"/>
    <x v="35"/>
    <x v="6"/>
    <x v="6"/>
    <x v="6"/>
    <x v="4"/>
    <x v="146"/>
    <x v="286"/>
    <x v="97"/>
    <x v="483"/>
    <x v="108"/>
    <x v="118"/>
    <x v="0"/>
  </r>
  <r>
    <x v="0"/>
    <x v="35"/>
    <x v="35"/>
    <x v="7"/>
    <x v="7"/>
    <x v="7"/>
    <x v="5"/>
    <x v="104"/>
    <x v="415"/>
    <x v="122"/>
    <x v="62"/>
    <x v="50"/>
    <x v="396"/>
    <x v="0"/>
  </r>
  <r>
    <x v="0"/>
    <x v="35"/>
    <x v="35"/>
    <x v="1"/>
    <x v="1"/>
    <x v="1"/>
    <x v="6"/>
    <x v="121"/>
    <x v="428"/>
    <x v="104"/>
    <x v="484"/>
    <x v="87"/>
    <x v="267"/>
    <x v="0"/>
  </r>
  <r>
    <x v="0"/>
    <x v="35"/>
    <x v="35"/>
    <x v="11"/>
    <x v="11"/>
    <x v="11"/>
    <x v="7"/>
    <x v="122"/>
    <x v="429"/>
    <x v="90"/>
    <x v="485"/>
    <x v="107"/>
    <x v="17"/>
    <x v="0"/>
  </r>
  <r>
    <x v="0"/>
    <x v="35"/>
    <x v="35"/>
    <x v="8"/>
    <x v="8"/>
    <x v="8"/>
    <x v="8"/>
    <x v="129"/>
    <x v="115"/>
    <x v="36"/>
    <x v="486"/>
    <x v="94"/>
    <x v="413"/>
    <x v="0"/>
  </r>
  <r>
    <x v="0"/>
    <x v="35"/>
    <x v="35"/>
    <x v="12"/>
    <x v="12"/>
    <x v="12"/>
    <x v="9"/>
    <x v="152"/>
    <x v="430"/>
    <x v="67"/>
    <x v="341"/>
    <x v="97"/>
    <x v="411"/>
    <x v="0"/>
  </r>
  <r>
    <x v="0"/>
    <x v="35"/>
    <x v="35"/>
    <x v="9"/>
    <x v="9"/>
    <x v="9"/>
    <x v="9"/>
    <x v="152"/>
    <x v="430"/>
    <x v="53"/>
    <x v="487"/>
    <x v="87"/>
    <x v="267"/>
    <x v="0"/>
  </r>
  <r>
    <x v="0"/>
    <x v="35"/>
    <x v="35"/>
    <x v="10"/>
    <x v="10"/>
    <x v="10"/>
    <x v="9"/>
    <x v="152"/>
    <x v="430"/>
    <x v="53"/>
    <x v="487"/>
    <x v="106"/>
    <x v="155"/>
    <x v="0"/>
  </r>
  <r>
    <x v="0"/>
    <x v="35"/>
    <x v="35"/>
    <x v="15"/>
    <x v="15"/>
    <x v="15"/>
    <x v="12"/>
    <x v="188"/>
    <x v="246"/>
    <x v="34"/>
    <x v="193"/>
    <x v="94"/>
    <x v="413"/>
    <x v="0"/>
  </r>
  <r>
    <x v="0"/>
    <x v="35"/>
    <x v="35"/>
    <x v="28"/>
    <x v="28"/>
    <x v="28"/>
    <x v="13"/>
    <x v="153"/>
    <x v="280"/>
    <x v="34"/>
    <x v="193"/>
    <x v="107"/>
    <x v="17"/>
    <x v="0"/>
  </r>
  <r>
    <x v="0"/>
    <x v="35"/>
    <x v="35"/>
    <x v="13"/>
    <x v="13"/>
    <x v="13"/>
    <x v="13"/>
    <x v="153"/>
    <x v="280"/>
    <x v="116"/>
    <x v="408"/>
    <x v="87"/>
    <x v="267"/>
    <x v="0"/>
  </r>
  <r>
    <x v="0"/>
    <x v="35"/>
    <x v="35"/>
    <x v="18"/>
    <x v="18"/>
    <x v="18"/>
    <x v="15"/>
    <x v="154"/>
    <x v="270"/>
    <x v="113"/>
    <x v="464"/>
    <x v="108"/>
    <x v="118"/>
    <x v="0"/>
  </r>
  <r>
    <x v="0"/>
    <x v="35"/>
    <x v="35"/>
    <x v="29"/>
    <x v="29"/>
    <x v="29"/>
    <x v="16"/>
    <x v="218"/>
    <x v="107"/>
    <x v="113"/>
    <x v="464"/>
    <x v="87"/>
    <x v="267"/>
    <x v="0"/>
  </r>
  <r>
    <x v="0"/>
    <x v="35"/>
    <x v="35"/>
    <x v="42"/>
    <x v="42"/>
    <x v="42"/>
    <x v="16"/>
    <x v="218"/>
    <x v="107"/>
    <x v="67"/>
    <x v="341"/>
    <x v="106"/>
    <x v="155"/>
    <x v="0"/>
  </r>
  <r>
    <x v="0"/>
    <x v="35"/>
    <x v="35"/>
    <x v="24"/>
    <x v="24"/>
    <x v="24"/>
    <x v="16"/>
    <x v="218"/>
    <x v="107"/>
    <x v="68"/>
    <x v="302"/>
    <x v="107"/>
    <x v="17"/>
    <x v="0"/>
  </r>
  <r>
    <x v="0"/>
    <x v="35"/>
    <x v="35"/>
    <x v="26"/>
    <x v="26"/>
    <x v="26"/>
    <x v="19"/>
    <x v="219"/>
    <x v="431"/>
    <x v="68"/>
    <x v="302"/>
    <x v="87"/>
    <x v="267"/>
    <x v="0"/>
  </r>
  <r>
    <x v="0"/>
    <x v="35"/>
    <x v="35"/>
    <x v="41"/>
    <x v="41"/>
    <x v="41"/>
    <x v="19"/>
    <x v="219"/>
    <x v="431"/>
    <x v="68"/>
    <x v="302"/>
    <x v="87"/>
    <x v="267"/>
    <x v="0"/>
  </r>
  <r>
    <x v="0"/>
    <x v="35"/>
    <x v="35"/>
    <x v="14"/>
    <x v="14"/>
    <x v="14"/>
    <x v="19"/>
    <x v="219"/>
    <x v="431"/>
    <x v="113"/>
    <x v="464"/>
    <x v="106"/>
    <x v="155"/>
    <x v="0"/>
  </r>
  <r>
    <x v="0"/>
    <x v="35"/>
    <x v="35"/>
    <x v="19"/>
    <x v="19"/>
    <x v="19"/>
    <x v="19"/>
    <x v="219"/>
    <x v="431"/>
    <x v="50"/>
    <x v="72"/>
    <x v="108"/>
    <x v="118"/>
    <x v="0"/>
  </r>
  <r>
    <x v="0"/>
    <x v="36"/>
    <x v="36"/>
    <x v="0"/>
    <x v="0"/>
    <x v="0"/>
    <x v="0"/>
    <x v="70"/>
    <x v="432"/>
    <x v="46"/>
    <x v="488"/>
    <x v="93"/>
    <x v="17"/>
    <x v="0"/>
  </r>
  <r>
    <x v="0"/>
    <x v="36"/>
    <x v="36"/>
    <x v="1"/>
    <x v="1"/>
    <x v="1"/>
    <x v="1"/>
    <x v="89"/>
    <x v="433"/>
    <x v="135"/>
    <x v="489"/>
    <x v="88"/>
    <x v="38"/>
    <x v="0"/>
  </r>
  <r>
    <x v="0"/>
    <x v="36"/>
    <x v="36"/>
    <x v="5"/>
    <x v="5"/>
    <x v="5"/>
    <x v="2"/>
    <x v="101"/>
    <x v="434"/>
    <x v="45"/>
    <x v="490"/>
    <x v="98"/>
    <x v="411"/>
    <x v="0"/>
  </r>
  <r>
    <x v="0"/>
    <x v="36"/>
    <x v="36"/>
    <x v="2"/>
    <x v="2"/>
    <x v="2"/>
    <x v="3"/>
    <x v="91"/>
    <x v="435"/>
    <x v="67"/>
    <x v="329"/>
    <x v="100"/>
    <x v="414"/>
    <x v="0"/>
  </r>
  <r>
    <x v="0"/>
    <x v="36"/>
    <x v="36"/>
    <x v="7"/>
    <x v="7"/>
    <x v="7"/>
    <x v="3"/>
    <x v="91"/>
    <x v="435"/>
    <x v="67"/>
    <x v="329"/>
    <x v="100"/>
    <x v="414"/>
    <x v="0"/>
  </r>
  <r>
    <x v="0"/>
    <x v="36"/>
    <x v="36"/>
    <x v="3"/>
    <x v="3"/>
    <x v="3"/>
    <x v="3"/>
    <x v="91"/>
    <x v="435"/>
    <x v="105"/>
    <x v="48"/>
    <x v="63"/>
    <x v="415"/>
    <x v="0"/>
  </r>
  <r>
    <x v="0"/>
    <x v="36"/>
    <x v="36"/>
    <x v="4"/>
    <x v="4"/>
    <x v="4"/>
    <x v="6"/>
    <x v="116"/>
    <x v="406"/>
    <x v="53"/>
    <x v="491"/>
    <x v="65"/>
    <x v="416"/>
    <x v="0"/>
  </r>
  <r>
    <x v="0"/>
    <x v="36"/>
    <x v="36"/>
    <x v="6"/>
    <x v="6"/>
    <x v="6"/>
    <x v="7"/>
    <x v="120"/>
    <x v="429"/>
    <x v="90"/>
    <x v="492"/>
    <x v="50"/>
    <x v="413"/>
    <x v="0"/>
  </r>
  <r>
    <x v="0"/>
    <x v="36"/>
    <x v="36"/>
    <x v="9"/>
    <x v="9"/>
    <x v="9"/>
    <x v="8"/>
    <x v="104"/>
    <x v="408"/>
    <x v="36"/>
    <x v="370"/>
    <x v="54"/>
    <x v="417"/>
    <x v="0"/>
  </r>
  <r>
    <x v="0"/>
    <x v="36"/>
    <x v="36"/>
    <x v="10"/>
    <x v="10"/>
    <x v="10"/>
    <x v="9"/>
    <x v="121"/>
    <x v="436"/>
    <x v="105"/>
    <x v="48"/>
    <x v="108"/>
    <x v="418"/>
    <x v="0"/>
  </r>
  <r>
    <x v="0"/>
    <x v="36"/>
    <x v="36"/>
    <x v="11"/>
    <x v="11"/>
    <x v="11"/>
    <x v="10"/>
    <x v="135"/>
    <x v="183"/>
    <x v="105"/>
    <x v="48"/>
    <x v="107"/>
    <x v="419"/>
    <x v="0"/>
  </r>
  <r>
    <x v="0"/>
    <x v="36"/>
    <x v="36"/>
    <x v="8"/>
    <x v="8"/>
    <x v="8"/>
    <x v="11"/>
    <x v="147"/>
    <x v="437"/>
    <x v="53"/>
    <x v="491"/>
    <x v="97"/>
    <x v="135"/>
    <x v="0"/>
  </r>
  <r>
    <x v="0"/>
    <x v="36"/>
    <x v="36"/>
    <x v="12"/>
    <x v="12"/>
    <x v="12"/>
    <x v="12"/>
    <x v="148"/>
    <x v="438"/>
    <x v="113"/>
    <x v="493"/>
    <x v="54"/>
    <x v="417"/>
    <x v="0"/>
  </r>
  <r>
    <x v="0"/>
    <x v="36"/>
    <x v="36"/>
    <x v="30"/>
    <x v="30"/>
    <x v="30"/>
    <x v="12"/>
    <x v="148"/>
    <x v="438"/>
    <x v="92"/>
    <x v="460"/>
    <x v="93"/>
    <x v="17"/>
    <x v="0"/>
  </r>
  <r>
    <x v="0"/>
    <x v="36"/>
    <x v="36"/>
    <x v="16"/>
    <x v="16"/>
    <x v="16"/>
    <x v="14"/>
    <x v="157"/>
    <x v="387"/>
    <x v="98"/>
    <x v="333"/>
    <x v="86"/>
    <x v="35"/>
    <x v="0"/>
  </r>
  <r>
    <x v="0"/>
    <x v="36"/>
    <x v="36"/>
    <x v="17"/>
    <x v="17"/>
    <x v="17"/>
    <x v="15"/>
    <x v="192"/>
    <x v="231"/>
    <x v="113"/>
    <x v="493"/>
    <x v="88"/>
    <x v="38"/>
    <x v="0"/>
  </r>
  <r>
    <x v="0"/>
    <x v="36"/>
    <x v="36"/>
    <x v="14"/>
    <x v="14"/>
    <x v="14"/>
    <x v="16"/>
    <x v="188"/>
    <x v="220"/>
    <x v="67"/>
    <x v="329"/>
    <x v="93"/>
    <x v="17"/>
    <x v="0"/>
  </r>
  <r>
    <x v="0"/>
    <x v="36"/>
    <x v="36"/>
    <x v="18"/>
    <x v="18"/>
    <x v="18"/>
    <x v="17"/>
    <x v="153"/>
    <x v="123"/>
    <x v="67"/>
    <x v="329"/>
    <x v="108"/>
    <x v="418"/>
    <x v="0"/>
  </r>
  <r>
    <x v="0"/>
    <x v="36"/>
    <x v="36"/>
    <x v="24"/>
    <x v="24"/>
    <x v="24"/>
    <x v="18"/>
    <x v="217"/>
    <x v="439"/>
    <x v="50"/>
    <x v="93"/>
    <x v="93"/>
    <x v="17"/>
    <x v="0"/>
  </r>
  <r>
    <x v="0"/>
    <x v="36"/>
    <x v="36"/>
    <x v="23"/>
    <x v="23"/>
    <x v="23"/>
    <x v="18"/>
    <x v="217"/>
    <x v="439"/>
    <x v="98"/>
    <x v="333"/>
    <x v="94"/>
    <x v="420"/>
    <x v="0"/>
  </r>
  <r>
    <x v="0"/>
    <x v="36"/>
    <x v="36"/>
    <x v="34"/>
    <x v="34"/>
    <x v="34"/>
    <x v="18"/>
    <x v="217"/>
    <x v="439"/>
    <x v="91"/>
    <x v="109"/>
    <x v="97"/>
    <x v="135"/>
    <x v="0"/>
  </r>
  <r>
    <x v="0"/>
    <x v="36"/>
    <x v="36"/>
    <x v="43"/>
    <x v="43"/>
    <x v="43"/>
    <x v="18"/>
    <x v="217"/>
    <x v="439"/>
    <x v="91"/>
    <x v="109"/>
    <x v="97"/>
    <x v="135"/>
    <x v="0"/>
  </r>
  <r>
    <x v="0"/>
    <x v="36"/>
    <x v="36"/>
    <x v="27"/>
    <x v="27"/>
    <x v="27"/>
    <x v="18"/>
    <x v="217"/>
    <x v="439"/>
    <x v="91"/>
    <x v="109"/>
    <x v="93"/>
    <x v="17"/>
    <x v="0"/>
  </r>
  <r>
    <x v="0"/>
    <x v="36"/>
    <x v="36"/>
    <x v="38"/>
    <x v="38"/>
    <x v="38"/>
    <x v="18"/>
    <x v="217"/>
    <x v="439"/>
    <x v="68"/>
    <x v="331"/>
    <x v="108"/>
    <x v="418"/>
    <x v="0"/>
  </r>
  <r>
    <x v="0"/>
    <x v="36"/>
    <x v="36"/>
    <x v="21"/>
    <x v="21"/>
    <x v="21"/>
    <x v="18"/>
    <x v="217"/>
    <x v="439"/>
    <x v="50"/>
    <x v="93"/>
    <x v="93"/>
    <x v="17"/>
    <x v="0"/>
  </r>
  <r>
    <x v="0"/>
    <x v="37"/>
    <x v="37"/>
    <x v="6"/>
    <x v="6"/>
    <x v="6"/>
    <x v="0"/>
    <x v="52"/>
    <x v="440"/>
    <x v="144"/>
    <x v="494"/>
    <x v="57"/>
    <x v="421"/>
    <x v="0"/>
  </r>
  <r>
    <x v="0"/>
    <x v="37"/>
    <x v="37"/>
    <x v="2"/>
    <x v="2"/>
    <x v="2"/>
    <x v="1"/>
    <x v="125"/>
    <x v="441"/>
    <x v="79"/>
    <x v="495"/>
    <x v="56"/>
    <x v="422"/>
    <x v="0"/>
  </r>
  <r>
    <x v="0"/>
    <x v="37"/>
    <x v="37"/>
    <x v="3"/>
    <x v="3"/>
    <x v="3"/>
    <x v="1"/>
    <x v="125"/>
    <x v="441"/>
    <x v="121"/>
    <x v="175"/>
    <x v="67"/>
    <x v="423"/>
    <x v="0"/>
  </r>
  <r>
    <x v="0"/>
    <x v="37"/>
    <x v="37"/>
    <x v="0"/>
    <x v="0"/>
    <x v="0"/>
    <x v="3"/>
    <x v="165"/>
    <x v="177"/>
    <x v="94"/>
    <x v="496"/>
    <x v="97"/>
    <x v="57"/>
    <x v="0"/>
  </r>
  <r>
    <x v="0"/>
    <x v="37"/>
    <x v="37"/>
    <x v="1"/>
    <x v="1"/>
    <x v="1"/>
    <x v="4"/>
    <x v="89"/>
    <x v="442"/>
    <x v="88"/>
    <x v="497"/>
    <x v="97"/>
    <x v="57"/>
    <x v="0"/>
  </r>
  <r>
    <x v="0"/>
    <x v="37"/>
    <x v="37"/>
    <x v="4"/>
    <x v="4"/>
    <x v="4"/>
    <x v="5"/>
    <x v="169"/>
    <x v="443"/>
    <x v="131"/>
    <x v="498"/>
    <x v="79"/>
    <x v="424"/>
    <x v="0"/>
  </r>
  <r>
    <x v="0"/>
    <x v="37"/>
    <x v="37"/>
    <x v="8"/>
    <x v="8"/>
    <x v="8"/>
    <x v="6"/>
    <x v="135"/>
    <x v="444"/>
    <x v="90"/>
    <x v="499"/>
    <x v="108"/>
    <x v="425"/>
    <x v="0"/>
  </r>
  <r>
    <x v="0"/>
    <x v="37"/>
    <x v="37"/>
    <x v="7"/>
    <x v="7"/>
    <x v="7"/>
    <x v="7"/>
    <x v="129"/>
    <x v="445"/>
    <x v="35"/>
    <x v="500"/>
    <x v="97"/>
    <x v="57"/>
    <x v="0"/>
  </r>
  <r>
    <x v="0"/>
    <x v="37"/>
    <x v="37"/>
    <x v="5"/>
    <x v="5"/>
    <x v="5"/>
    <x v="7"/>
    <x v="129"/>
    <x v="445"/>
    <x v="90"/>
    <x v="499"/>
    <x v="87"/>
    <x v="365"/>
    <x v="0"/>
  </r>
  <r>
    <x v="0"/>
    <x v="37"/>
    <x v="37"/>
    <x v="9"/>
    <x v="9"/>
    <x v="9"/>
    <x v="7"/>
    <x v="129"/>
    <x v="445"/>
    <x v="37"/>
    <x v="345"/>
    <x v="87"/>
    <x v="365"/>
    <x v="0"/>
  </r>
  <r>
    <x v="0"/>
    <x v="37"/>
    <x v="37"/>
    <x v="29"/>
    <x v="29"/>
    <x v="29"/>
    <x v="10"/>
    <x v="148"/>
    <x v="118"/>
    <x v="116"/>
    <x v="289"/>
    <x v="88"/>
    <x v="426"/>
    <x v="0"/>
  </r>
  <r>
    <x v="0"/>
    <x v="37"/>
    <x v="37"/>
    <x v="11"/>
    <x v="11"/>
    <x v="11"/>
    <x v="10"/>
    <x v="148"/>
    <x v="118"/>
    <x v="122"/>
    <x v="357"/>
    <x v="106"/>
    <x v="155"/>
    <x v="0"/>
  </r>
  <r>
    <x v="0"/>
    <x v="37"/>
    <x v="37"/>
    <x v="14"/>
    <x v="14"/>
    <x v="14"/>
    <x v="12"/>
    <x v="152"/>
    <x v="446"/>
    <x v="37"/>
    <x v="345"/>
    <x v="94"/>
    <x v="427"/>
    <x v="0"/>
  </r>
  <r>
    <x v="0"/>
    <x v="37"/>
    <x v="37"/>
    <x v="30"/>
    <x v="30"/>
    <x v="30"/>
    <x v="13"/>
    <x v="208"/>
    <x v="122"/>
    <x v="37"/>
    <x v="345"/>
    <x v="87"/>
    <x v="365"/>
    <x v="0"/>
  </r>
  <r>
    <x v="0"/>
    <x v="37"/>
    <x v="37"/>
    <x v="31"/>
    <x v="31"/>
    <x v="31"/>
    <x v="14"/>
    <x v="153"/>
    <x v="59"/>
    <x v="98"/>
    <x v="227"/>
    <x v="97"/>
    <x v="57"/>
    <x v="0"/>
  </r>
  <r>
    <x v="0"/>
    <x v="37"/>
    <x v="37"/>
    <x v="10"/>
    <x v="10"/>
    <x v="10"/>
    <x v="14"/>
    <x v="153"/>
    <x v="59"/>
    <x v="37"/>
    <x v="345"/>
    <x v="106"/>
    <x v="155"/>
    <x v="0"/>
  </r>
  <r>
    <x v="0"/>
    <x v="37"/>
    <x v="37"/>
    <x v="42"/>
    <x v="42"/>
    <x v="42"/>
    <x v="16"/>
    <x v="154"/>
    <x v="304"/>
    <x v="68"/>
    <x v="279"/>
    <x v="94"/>
    <x v="427"/>
    <x v="0"/>
  </r>
  <r>
    <x v="0"/>
    <x v="37"/>
    <x v="37"/>
    <x v="12"/>
    <x v="12"/>
    <x v="12"/>
    <x v="16"/>
    <x v="154"/>
    <x v="304"/>
    <x v="113"/>
    <x v="17"/>
    <x v="107"/>
    <x v="143"/>
    <x v="0"/>
  </r>
  <r>
    <x v="0"/>
    <x v="37"/>
    <x v="37"/>
    <x v="13"/>
    <x v="13"/>
    <x v="13"/>
    <x v="18"/>
    <x v="217"/>
    <x v="447"/>
    <x v="34"/>
    <x v="157"/>
    <x v="106"/>
    <x v="155"/>
    <x v="0"/>
  </r>
  <r>
    <x v="0"/>
    <x v="37"/>
    <x v="37"/>
    <x v="44"/>
    <x v="44"/>
    <x v="44"/>
    <x v="19"/>
    <x v="218"/>
    <x v="448"/>
    <x v="113"/>
    <x v="17"/>
    <x v="87"/>
    <x v="365"/>
    <x v="0"/>
  </r>
  <r>
    <x v="0"/>
    <x v="37"/>
    <x v="37"/>
    <x v="36"/>
    <x v="36"/>
    <x v="36"/>
    <x v="19"/>
    <x v="218"/>
    <x v="448"/>
    <x v="113"/>
    <x v="17"/>
    <x v="87"/>
    <x v="365"/>
    <x v="0"/>
  </r>
  <r>
    <x v="0"/>
    <x v="37"/>
    <x v="37"/>
    <x v="20"/>
    <x v="20"/>
    <x v="20"/>
    <x v="19"/>
    <x v="218"/>
    <x v="448"/>
    <x v="98"/>
    <x v="227"/>
    <x v="108"/>
    <x v="425"/>
    <x v="0"/>
  </r>
  <r>
    <x v="0"/>
    <x v="37"/>
    <x v="37"/>
    <x v="37"/>
    <x v="37"/>
    <x v="37"/>
    <x v="19"/>
    <x v="218"/>
    <x v="448"/>
    <x v="98"/>
    <x v="227"/>
    <x v="108"/>
    <x v="425"/>
    <x v="0"/>
  </r>
  <r>
    <x v="0"/>
    <x v="38"/>
    <x v="38"/>
    <x v="1"/>
    <x v="1"/>
    <x v="1"/>
    <x v="0"/>
    <x v="113"/>
    <x v="449"/>
    <x v="49"/>
    <x v="501"/>
    <x v="94"/>
    <x v="28"/>
    <x v="0"/>
  </r>
  <r>
    <x v="0"/>
    <x v="38"/>
    <x v="38"/>
    <x v="2"/>
    <x v="2"/>
    <x v="2"/>
    <x v="1"/>
    <x v="146"/>
    <x v="109"/>
    <x v="37"/>
    <x v="205"/>
    <x v="85"/>
    <x v="428"/>
    <x v="0"/>
  </r>
  <r>
    <x v="0"/>
    <x v="38"/>
    <x v="38"/>
    <x v="3"/>
    <x v="3"/>
    <x v="3"/>
    <x v="2"/>
    <x v="121"/>
    <x v="142"/>
    <x v="35"/>
    <x v="502"/>
    <x v="54"/>
    <x v="429"/>
    <x v="0"/>
  </r>
  <r>
    <x v="0"/>
    <x v="38"/>
    <x v="38"/>
    <x v="0"/>
    <x v="0"/>
    <x v="0"/>
    <x v="2"/>
    <x v="121"/>
    <x v="142"/>
    <x v="52"/>
    <x v="503"/>
    <x v="107"/>
    <x v="430"/>
    <x v="0"/>
  </r>
  <r>
    <x v="0"/>
    <x v="38"/>
    <x v="38"/>
    <x v="6"/>
    <x v="6"/>
    <x v="6"/>
    <x v="4"/>
    <x v="135"/>
    <x v="190"/>
    <x v="90"/>
    <x v="320"/>
    <x v="108"/>
    <x v="431"/>
    <x v="0"/>
  </r>
  <r>
    <x v="0"/>
    <x v="38"/>
    <x v="38"/>
    <x v="7"/>
    <x v="7"/>
    <x v="7"/>
    <x v="5"/>
    <x v="136"/>
    <x v="450"/>
    <x v="113"/>
    <x v="209"/>
    <x v="86"/>
    <x v="137"/>
    <x v="0"/>
  </r>
  <r>
    <x v="0"/>
    <x v="38"/>
    <x v="38"/>
    <x v="21"/>
    <x v="21"/>
    <x v="21"/>
    <x v="6"/>
    <x v="152"/>
    <x v="451"/>
    <x v="91"/>
    <x v="109"/>
    <x v="57"/>
    <x v="432"/>
    <x v="0"/>
  </r>
  <r>
    <x v="0"/>
    <x v="38"/>
    <x v="38"/>
    <x v="4"/>
    <x v="4"/>
    <x v="4"/>
    <x v="7"/>
    <x v="192"/>
    <x v="386"/>
    <x v="116"/>
    <x v="371"/>
    <x v="94"/>
    <x v="28"/>
    <x v="0"/>
  </r>
  <r>
    <x v="0"/>
    <x v="38"/>
    <x v="38"/>
    <x v="8"/>
    <x v="8"/>
    <x v="8"/>
    <x v="7"/>
    <x v="192"/>
    <x v="386"/>
    <x v="116"/>
    <x v="371"/>
    <x v="94"/>
    <x v="28"/>
    <x v="0"/>
  </r>
  <r>
    <x v="0"/>
    <x v="38"/>
    <x v="38"/>
    <x v="10"/>
    <x v="10"/>
    <x v="10"/>
    <x v="7"/>
    <x v="192"/>
    <x v="386"/>
    <x v="116"/>
    <x v="371"/>
    <x v="94"/>
    <x v="28"/>
    <x v="0"/>
  </r>
  <r>
    <x v="0"/>
    <x v="38"/>
    <x v="38"/>
    <x v="12"/>
    <x v="12"/>
    <x v="12"/>
    <x v="10"/>
    <x v="188"/>
    <x v="243"/>
    <x v="98"/>
    <x v="464"/>
    <x v="76"/>
    <x v="433"/>
    <x v="0"/>
  </r>
  <r>
    <x v="0"/>
    <x v="38"/>
    <x v="38"/>
    <x v="5"/>
    <x v="5"/>
    <x v="5"/>
    <x v="11"/>
    <x v="208"/>
    <x v="322"/>
    <x v="50"/>
    <x v="504"/>
    <x v="76"/>
    <x v="433"/>
    <x v="0"/>
  </r>
  <r>
    <x v="0"/>
    <x v="38"/>
    <x v="38"/>
    <x v="9"/>
    <x v="9"/>
    <x v="9"/>
    <x v="12"/>
    <x v="153"/>
    <x v="452"/>
    <x v="67"/>
    <x v="505"/>
    <x v="87"/>
    <x v="434"/>
    <x v="0"/>
  </r>
  <r>
    <x v="0"/>
    <x v="38"/>
    <x v="38"/>
    <x v="11"/>
    <x v="11"/>
    <x v="11"/>
    <x v="12"/>
    <x v="153"/>
    <x v="452"/>
    <x v="37"/>
    <x v="205"/>
    <x v="106"/>
    <x v="155"/>
    <x v="0"/>
  </r>
  <r>
    <x v="0"/>
    <x v="38"/>
    <x v="38"/>
    <x v="15"/>
    <x v="15"/>
    <x v="15"/>
    <x v="14"/>
    <x v="154"/>
    <x v="51"/>
    <x v="98"/>
    <x v="464"/>
    <x v="93"/>
    <x v="435"/>
    <x v="0"/>
  </r>
  <r>
    <x v="0"/>
    <x v="38"/>
    <x v="38"/>
    <x v="27"/>
    <x v="27"/>
    <x v="27"/>
    <x v="14"/>
    <x v="154"/>
    <x v="51"/>
    <x v="91"/>
    <x v="109"/>
    <x v="93"/>
    <x v="435"/>
    <x v="0"/>
  </r>
  <r>
    <x v="0"/>
    <x v="38"/>
    <x v="38"/>
    <x v="45"/>
    <x v="45"/>
    <x v="45"/>
    <x v="16"/>
    <x v="218"/>
    <x v="281"/>
    <x v="68"/>
    <x v="506"/>
    <x v="107"/>
    <x v="430"/>
    <x v="0"/>
  </r>
  <r>
    <x v="0"/>
    <x v="38"/>
    <x v="38"/>
    <x v="37"/>
    <x v="37"/>
    <x v="37"/>
    <x v="16"/>
    <x v="218"/>
    <x v="281"/>
    <x v="50"/>
    <x v="504"/>
    <x v="94"/>
    <x v="28"/>
    <x v="0"/>
  </r>
  <r>
    <x v="0"/>
    <x v="38"/>
    <x v="38"/>
    <x v="29"/>
    <x v="29"/>
    <x v="29"/>
    <x v="18"/>
    <x v="219"/>
    <x v="453"/>
    <x v="98"/>
    <x v="464"/>
    <x v="107"/>
    <x v="430"/>
    <x v="0"/>
  </r>
  <r>
    <x v="0"/>
    <x v="38"/>
    <x v="38"/>
    <x v="19"/>
    <x v="19"/>
    <x v="19"/>
    <x v="18"/>
    <x v="219"/>
    <x v="453"/>
    <x v="91"/>
    <x v="109"/>
    <x v="94"/>
    <x v="28"/>
    <x v="0"/>
  </r>
  <r>
    <x v="0"/>
    <x v="38"/>
    <x v="38"/>
    <x v="32"/>
    <x v="32"/>
    <x v="32"/>
    <x v="18"/>
    <x v="219"/>
    <x v="453"/>
    <x v="98"/>
    <x v="464"/>
    <x v="87"/>
    <x v="434"/>
    <x v="2"/>
  </r>
  <r>
    <x v="0"/>
    <x v="39"/>
    <x v="39"/>
    <x v="0"/>
    <x v="0"/>
    <x v="0"/>
    <x v="0"/>
    <x v="220"/>
    <x v="454"/>
    <x v="156"/>
    <x v="507"/>
    <x v="86"/>
    <x v="44"/>
    <x v="0"/>
  </r>
  <r>
    <x v="0"/>
    <x v="39"/>
    <x v="39"/>
    <x v="1"/>
    <x v="1"/>
    <x v="1"/>
    <x v="1"/>
    <x v="52"/>
    <x v="455"/>
    <x v="103"/>
    <x v="508"/>
    <x v="79"/>
    <x v="436"/>
    <x v="0"/>
  </r>
  <r>
    <x v="0"/>
    <x v="39"/>
    <x v="39"/>
    <x v="4"/>
    <x v="4"/>
    <x v="4"/>
    <x v="2"/>
    <x v="89"/>
    <x v="201"/>
    <x v="69"/>
    <x v="509"/>
    <x v="77"/>
    <x v="437"/>
    <x v="0"/>
  </r>
  <r>
    <x v="0"/>
    <x v="39"/>
    <x v="39"/>
    <x v="2"/>
    <x v="2"/>
    <x v="2"/>
    <x v="3"/>
    <x v="169"/>
    <x v="456"/>
    <x v="69"/>
    <x v="509"/>
    <x v="105"/>
    <x v="438"/>
    <x v="0"/>
  </r>
  <r>
    <x v="0"/>
    <x v="39"/>
    <x v="39"/>
    <x v="3"/>
    <x v="3"/>
    <x v="3"/>
    <x v="4"/>
    <x v="74"/>
    <x v="5"/>
    <x v="106"/>
    <x v="220"/>
    <x v="100"/>
    <x v="439"/>
    <x v="0"/>
  </r>
  <r>
    <x v="0"/>
    <x v="39"/>
    <x v="39"/>
    <x v="10"/>
    <x v="10"/>
    <x v="10"/>
    <x v="5"/>
    <x v="91"/>
    <x v="457"/>
    <x v="86"/>
    <x v="510"/>
    <x v="93"/>
    <x v="63"/>
    <x v="0"/>
  </r>
  <r>
    <x v="0"/>
    <x v="39"/>
    <x v="39"/>
    <x v="7"/>
    <x v="7"/>
    <x v="7"/>
    <x v="6"/>
    <x v="134"/>
    <x v="458"/>
    <x v="81"/>
    <x v="167"/>
    <x v="56"/>
    <x v="440"/>
    <x v="0"/>
  </r>
  <r>
    <x v="0"/>
    <x v="39"/>
    <x v="39"/>
    <x v="14"/>
    <x v="14"/>
    <x v="14"/>
    <x v="7"/>
    <x v="113"/>
    <x v="66"/>
    <x v="34"/>
    <x v="12"/>
    <x v="81"/>
    <x v="441"/>
    <x v="0"/>
  </r>
  <r>
    <x v="0"/>
    <x v="39"/>
    <x v="39"/>
    <x v="11"/>
    <x v="11"/>
    <x v="11"/>
    <x v="8"/>
    <x v="114"/>
    <x v="459"/>
    <x v="69"/>
    <x v="509"/>
    <x v="79"/>
    <x v="436"/>
    <x v="0"/>
  </r>
  <r>
    <x v="0"/>
    <x v="39"/>
    <x v="39"/>
    <x v="6"/>
    <x v="6"/>
    <x v="6"/>
    <x v="9"/>
    <x v="119"/>
    <x v="314"/>
    <x v="104"/>
    <x v="511"/>
    <x v="54"/>
    <x v="320"/>
    <x v="0"/>
  </r>
  <r>
    <x v="0"/>
    <x v="39"/>
    <x v="39"/>
    <x v="8"/>
    <x v="8"/>
    <x v="8"/>
    <x v="10"/>
    <x v="104"/>
    <x v="460"/>
    <x v="36"/>
    <x v="236"/>
    <x v="86"/>
    <x v="44"/>
    <x v="0"/>
  </r>
  <r>
    <x v="0"/>
    <x v="39"/>
    <x v="39"/>
    <x v="5"/>
    <x v="5"/>
    <x v="5"/>
    <x v="10"/>
    <x v="104"/>
    <x v="460"/>
    <x v="98"/>
    <x v="224"/>
    <x v="67"/>
    <x v="442"/>
    <x v="0"/>
  </r>
  <r>
    <x v="0"/>
    <x v="39"/>
    <x v="39"/>
    <x v="9"/>
    <x v="9"/>
    <x v="9"/>
    <x v="12"/>
    <x v="143"/>
    <x v="103"/>
    <x v="52"/>
    <x v="62"/>
    <x v="94"/>
    <x v="200"/>
    <x v="0"/>
  </r>
  <r>
    <x v="0"/>
    <x v="39"/>
    <x v="39"/>
    <x v="19"/>
    <x v="19"/>
    <x v="19"/>
    <x v="13"/>
    <x v="147"/>
    <x v="379"/>
    <x v="116"/>
    <x v="14"/>
    <x v="54"/>
    <x v="320"/>
    <x v="0"/>
  </r>
  <r>
    <x v="0"/>
    <x v="39"/>
    <x v="39"/>
    <x v="12"/>
    <x v="12"/>
    <x v="12"/>
    <x v="13"/>
    <x v="147"/>
    <x v="379"/>
    <x v="98"/>
    <x v="224"/>
    <x v="89"/>
    <x v="64"/>
    <x v="0"/>
  </r>
  <r>
    <x v="0"/>
    <x v="39"/>
    <x v="39"/>
    <x v="21"/>
    <x v="21"/>
    <x v="21"/>
    <x v="15"/>
    <x v="136"/>
    <x v="247"/>
    <x v="50"/>
    <x v="37"/>
    <x v="89"/>
    <x v="64"/>
    <x v="0"/>
  </r>
  <r>
    <x v="0"/>
    <x v="39"/>
    <x v="39"/>
    <x v="25"/>
    <x v="25"/>
    <x v="25"/>
    <x v="16"/>
    <x v="192"/>
    <x v="39"/>
    <x v="68"/>
    <x v="111"/>
    <x v="76"/>
    <x v="240"/>
    <x v="0"/>
  </r>
  <r>
    <x v="0"/>
    <x v="39"/>
    <x v="39"/>
    <x v="13"/>
    <x v="13"/>
    <x v="13"/>
    <x v="16"/>
    <x v="192"/>
    <x v="39"/>
    <x v="34"/>
    <x v="12"/>
    <x v="93"/>
    <x v="63"/>
    <x v="0"/>
  </r>
  <r>
    <x v="0"/>
    <x v="39"/>
    <x v="39"/>
    <x v="18"/>
    <x v="18"/>
    <x v="18"/>
    <x v="16"/>
    <x v="192"/>
    <x v="39"/>
    <x v="98"/>
    <x v="224"/>
    <x v="54"/>
    <x v="320"/>
    <x v="0"/>
  </r>
  <r>
    <x v="0"/>
    <x v="39"/>
    <x v="39"/>
    <x v="17"/>
    <x v="17"/>
    <x v="17"/>
    <x v="19"/>
    <x v="188"/>
    <x v="106"/>
    <x v="67"/>
    <x v="374"/>
    <x v="93"/>
    <x v="63"/>
    <x v="0"/>
  </r>
  <r>
    <x v="0"/>
    <x v="40"/>
    <x v="40"/>
    <x v="2"/>
    <x v="2"/>
    <x v="2"/>
    <x v="0"/>
    <x v="119"/>
    <x v="461"/>
    <x v="92"/>
    <x v="512"/>
    <x v="85"/>
    <x v="443"/>
    <x v="0"/>
  </r>
  <r>
    <x v="0"/>
    <x v="40"/>
    <x v="40"/>
    <x v="0"/>
    <x v="0"/>
    <x v="0"/>
    <x v="1"/>
    <x v="106"/>
    <x v="462"/>
    <x v="69"/>
    <x v="513"/>
    <x v="106"/>
    <x v="155"/>
    <x v="0"/>
  </r>
  <r>
    <x v="0"/>
    <x v="40"/>
    <x v="40"/>
    <x v="4"/>
    <x v="4"/>
    <x v="4"/>
    <x v="2"/>
    <x v="129"/>
    <x v="463"/>
    <x v="81"/>
    <x v="514"/>
    <x v="93"/>
    <x v="444"/>
    <x v="0"/>
  </r>
  <r>
    <x v="0"/>
    <x v="40"/>
    <x v="40"/>
    <x v="8"/>
    <x v="8"/>
    <x v="8"/>
    <x v="3"/>
    <x v="148"/>
    <x v="464"/>
    <x v="35"/>
    <x v="498"/>
    <x v="108"/>
    <x v="445"/>
    <x v="0"/>
  </r>
  <r>
    <x v="0"/>
    <x v="40"/>
    <x v="40"/>
    <x v="3"/>
    <x v="3"/>
    <x v="3"/>
    <x v="3"/>
    <x v="148"/>
    <x v="464"/>
    <x v="37"/>
    <x v="515"/>
    <x v="97"/>
    <x v="446"/>
    <x v="0"/>
  </r>
  <r>
    <x v="0"/>
    <x v="40"/>
    <x v="40"/>
    <x v="11"/>
    <x v="11"/>
    <x v="11"/>
    <x v="5"/>
    <x v="152"/>
    <x v="465"/>
    <x v="53"/>
    <x v="516"/>
    <x v="107"/>
    <x v="150"/>
    <x v="0"/>
  </r>
  <r>
    <x v="0"/>
    <x v="40"/>
    <x v="40"/>
    <x v="7"/>
    <x v="7"/>
    <x v="7"/>
    <x v="6"/>
    <x v="188"/>
    <x v="278"/>
    <x v="116"/>
    <x v="517"/>
    <x v="108"/>
    <x v="445"/>
    <x v="0"/>
  </r>
  <r>
    <x v="0"/>
    <x v="40"/>
    <x v="40"/>
    <x v="1"/>
    <x v="1"/>
    <x v="1"/>
    <x v="6"/>
    <x v="188"/>
    <x v="278"/>
    <x v="37"/>
    <x v="515"/>
    <x v="107"/>
    <x v="150"/>
    <x v="0"/>
  </r>
  <r>
    <x v="0"/>
    <x v="40"/>
    <x v="40"/>
    <x v="6"/>
    <x v="6"/>
    <x v="6"/>
    <x v="8"/>
    <x v="153"/>
    <x v="466"/>
    <x v="37"/>
    <x v="515"/>
    <x v="106"/>
    <x v="155"/>
    <x v="0"/>
  </r>
  <r>
    <x v="0"/>
    <x v="40"/>
    <x v="40"/>
    <x v="14"/>
    <x v="14"/>
    <x v="14"/>
    <x v="9"/>
    <x v="217"/>
    <x v="69"/>
    <x v="113"/>
    <x v="222"/>
    <x v="107"/>
    <x v="150"/>
    <x v="0"/>
  </r>
  <r>
    <x v="0"/>
    <x v="40"/>
    <x v="40"/>
    <x v="23"/>
    <x v="23"/>
    <x v="23"/>
    <x v="10"/>
    <x v="218"/>
    <x v="246"/>
    <x v="98"/>
    <x v="518"/>
    <x v="108"/>
    <x v="445"/>
    <x v="0"/>
  </r>
  <r>
    <x v="0"/>
    <x v="40"/>
    <x v="40"/>
    <x v="10"/>
    <x v="10"/>
    <x v="10"/>
    <x v="10"/>
    <x v="218"/>
    <x v="246"/>
    <x v="68"/>
    <x v="356"/>
    <x v="107"/>
    <x v="150"/>
    <x v="0"/>
  </r>
  <r>
    <x v="0"/>
    <x v="40"/>
    <x v="40"/>
    <x v="29"/>
    <x v="29"/>
    <x v="29"/>
    <x v="12"/>
    <x v="219"/>
    <x v="280"/>
    <x v="98"/>
    <x v="518"/>
    <x v="107"/>
    <x v="150"/>
    <x v="0"/>
  </r>
  <r>
    <x v="0"/>
    <x v="40"/>
    <x v="40"/>
    <x v="5"/>
    <x v="5"/>
    <x v="5"/>
    <x v="12"/>
    <x v="219"/>
    <x v="280"/>
    <x v="50"/>
    <x v="519"/>
    <x v="108"/>
    <x v="445"/>
    <x v="0"/>
  </r>
  <r>
    <x v="0"/>
    <x v="40"/>
    <x v="40"/>
    <x v="26"/>
    <x v="26"/>
    <x v="26"/>
    <x v="14"/>
    <x v="221"/>
    <x v="324"/>
    <x v="91"/>
    <x v="109"/>
    <x v="108"/>
    <x v="445"/>
    <x v="0"/>
  </r>
  <r>
    <x v="0"/>
    <x v="40"/>
    <x v="40"/>
    <x v="17"/>
    <x v="17"/>
    <x v="17"/>
    <x v="14"/>
    <x v="221"/>
    <x v="324"/>
    <x v="50"/>
    <x v="519"/>
    <x v="107"/>
    <x v="150"/>
    <x v="0"/>
  </r>
  <r>
    <x v="0"/>
    <x v="40"/>
    <x v="40"/>
    <x v="15"/>
    <x v="15"/>
    <x v="15"/>
    <x v="14"/>
    <x v="221"/>
    <x v="324"/>
    <x v="98"/>
    <x v="518"/>
    <x v="87"/>
    <x v="63"/>
    <x v="0"/>
  </r>
  <r>
    <x v="0"/>
    <x v="40"/>
    <x v="40"/>
    <x v="16"/>
    <x v="16"/>
    <x v="16"/>
    <x v="14"/>
    <x v="221"/>
    <x v="324"/>
    <x v="91"/>
    <x v="109"/>
    <x v="108"/>
    <x v="445"/>
    <x v="0"/>
  </r>
  <r>
    <x v="0"/>
    <x v="40"/>
    <x v="40"/>
    <x v="12"/>
    <x v="12"/>
    <x v="12"/>
    <x v="14"/>
    <x v="221"/>
    <x v="324"/>
    <x v="98"/>
    <x v="518"/>
    <x v="106"/>
    <x v="155"/>
    <x v="0"/>
  </r>
  <r>
    <x v="0"/>
    <x v="40"/>
    <x v="40"/>
    <x v="31"/>
    <x v="31"/>
    <x v="31"/>
    <x v="19"/>
    <x v="222"/>
    <x v="431"/>
    <x v="91"/>
    <x v="109"/>
    <x v="107"/>
    <x v="150"/>
    <x v="0"/>
  </r>
  <r>
    <x v="0"/>
    <x v="40"/>
    <x v="40"/>
    <x v="41"/>
    <x v="41"/>
    <x v="41"/>
    <x v="19"/>
    <x v="222"/>
    <x v="431"/>
    <x v="50"/>
    <x v="519"/>
    <x v="87"/>
    <x v="63"/>
    <x v="0"/>
  </r>
  <r>
    <x v="0"/>
    <x v="40"/>
    <x v="40"/>
    <x v="24"/>
    <x v="24"/>
    <x v="24"/>
    <x v="19"/>
    <x v="222"/>
    <x v="431"/>
    <x v="91"/>
    <x v="109"/>
    <x v="107"/>
    <x v="150"/>
    <x v="0"/>
  </r>
  <r>
    <x v="0"/>
    <x v="40"/>
    <x v="40"/>
    <x v="28"/>
    <x v="28"/>
    <x v="28"/>
    <x v="19"/>
    <x v="222"/>
    <x v="431"/>
    <x v="91"/>
    <x v="109"/>
    <x v="107"/>
    <x v="150"/>
    <x v="0"/>
  </r>
  <r>
    <x v="0"/>
    <x v="40"/>
    <x v="40"/>
    <x v="46"/>
    <x v="46"/>
    <x v="46"/>
    <x v="19"/>
    <x v="222"/>
    <x v="431"/>
    <x v="50"/>
    <x v="519"/>
    <x v="87"/>
    <x v="63"/>
    <x v="0"/>
  </r>
  <r>
    <x v="0"/>
    <x v="40"/>
    <x v="40"/>
    <x v="20"/>
    <x v="20"/>
    <x v="20"/>
    <x v="19"/>
    <x v="222"/>
    <x v="431"/>
    <x v="91"/>
    <x v="109"/>
    <x v="107"/>
    <x v="150"/>
    <x v="0"/>
  </r>
  <r>
    <x v="0"/>
    <x v="40"/>
    <x v="40"/>
    <x v="33"/>
    <x v="33"/>
    <x v="33"/>
    <x v="19"/>
    <x v="222"/>
    <x v="431"/>
    <x v="50"/>
    <x v="519"/>
    <x v="87"/>
    <x v="63"/>
    <x v="0"/>
  </r>
  <r>
    <x v="0"/>
    <x v="40"/>
    <x v="40"/>
    <x v="18"/>
    <x v="18"/>
    <x v="18"/>
    <x v="19"/>
    <x v="222"/>
    <x v="431"/>
    <x v="50"/>
    <x v="519"/>
    <x v="106"/>
    <x v="155"/>
    <x v="2"/>
  </r>
  <r>
    <x v="0"/>
    <x v="40"/>
    <x v="40"/>
    <x v="9"/>
    <x v="9"/>
    <x v="9"/>
    <x v="19"/>
    <x v="222"/>
    <x v="431"/>
    <x v="98"/>
    <x v="518"/>
    <x v="106"/>
    <x v="155"/>
    <x v="0"/>
  </r>
  <r>
    <x v="0"/>
    <x v="40"/>
    <x v="40"/>
    <x v="27"/>
    <x v="27"/>
    <x v="27"/>
    <x v="19"/>
    <x v="222"/>
    <x v="431"/>
    <x v="91"/>
    <x v="109"/>
    <x v="106"/>
    <x v="155"/>
    <x v="0"/>
  </r>
  <r>
    <x v="0"/>
    <x v="41"/>
    <x v="41"/>
    <x v="4"/>
    <x v="4"/>
    <x v="4"/>
    <x v="0"/>
    <x v="97"/>
    <x v="467"/>
    <x v="60"/>
    <x v="520"/>
    <x v="45"/>
    <x v="447"/>
    <x v="0"/>
  </r>
  <r>
    <x v="0"/>
    <x v="41"/>
    <x v="41"/>
    <x v="2"/>
    <x v="2"/>
    <x v="2"/>
    <x v="1"/>
    <x v="72"/>
    <x v="468"/>
    <x v="152"/>
    <x v="521"/>
    <x v="111"/>
    <x v="448"/>
    <x v="0"/>
  </r>
  <r>
    <x v="0"/>
    <x v="41"/>
    <x v="41"/>
    <x v="0"/>
    <x v="0"/>
    <x v="0"/>
    <x v="2"/>
    <x v="57"/>
    <x v="469"/>
    <x v="32"/>
    <x v="522"/>
    <x v="94"/>
    <x v="27"/>
    <x v="0"/>
  </r>
  <r>
    <x v="0"/>
    <x v="41"/>
    <x v="41"/>
    <x v="3"/>
    <x v="3"/>
    <x v="3"/>
    <x v="3"/>
    <x v="59"/>
    <x v="470"/>
    <x v="62"/>
    <x v="523"/>
    <x v="95"/>
    <x v="404"/>
    <x v="0"/>
  </r>
  <r>
    <x v="0"/>
    <x v="41"/>
    <x v="41"/>
    <x v="7"/>
    <x v="7"/>
    <x v="7"/>
    <x v="4"/>
    <x v="116"/>
    <x v="471"/>
    <x v="122"/>
    <x v="524"/>
    <x v="95"/>
    <x v="404"/>
    <x v="0"/>
  </r>
  <r>
    <x v="0"/>
    <x v="41"/>
    <x v="41"/>
    <x v="1"/>
    <x v="1"/>
    <x v="1"/>
    <x v="5"/>
    <x v="128"/>
    <x v="472"/>
    <x v="111"/>
    <x v="525"/>
    <x v="108"/>
    <x v="449"/>
    <x v="0"/>
  </r>
  <r>
    <x v="0"/>
    <x v="41"/>
    <x v="41"/>
    <x v="11"/>
    <x v="11"/>
    <x v="11"/>
    <x v="6"/>
    <x v="103"/>
    <x v="459"/>
    <x v="78"/>
    <x v="526"/>
    <x v="108"/>
    <x v="449"/>
    <x v="0"/>
  </r>
  <r>
    <x v="0"/>
    <x v="41"/>
    <x v="41"/>
    <x v="6"/>
    <x v="6"/>
    <x v="6"/>
    <x v="7"/>
    <x v="105"/>
    <x v="68"/>
    <x v="104"/>
    <x v="509"/>
    <x v="108"/>
    <x v="449"/>
    <x v="0"/>
  </r>
  <r>
    <x v="0"/>
    <x v="41"/>
    <x v="41"/>
    <x v="8"/>
    <x v="8"/>
    <x v="8"/>
    <x v="8"/>
    <x v="147"/>
    <x v="364"/>
    <x v="37"/>
    <x v="206"/>
    <x v="76"/>
    <x v="104"/>
    <x v="0"/>
  </r>
  <r>
    <x v="0"/>
    <x v="41"/>
    <x v="41"/>
    <x v="17"/>
    <x v="17"/>
    <x v="17"/>
    <x v="9"/>
    <x v="157"/>
    <x v="378"/>
    <x v="116"/>
    <x v="193"/>
    <x v="97"/>
    <x v="319"/>
    <x v="0"/>
  </r>
  <r>
    <x v="0"/>
    <x v="41"/>
    <x v="41"/>
    <x v="36"/>
    <x v="36"/>
    <x v="36"/>
    <x v="9"/>
    <x v="157"/>
    <x v="378"/>
    <x v="92"/>
    <x v="340"/>
    <x v="94"/>
    <x v="27"/>
    <x v="0"/>
  </r>
  <r>
    <x v="0"/>
    <x v="41"/>
    <x v="41"/>
    <x v="10"/>
    <x v="10"/>
    <x v="10"/>
    <x v="11"/>
    <x v="152"/>
    <x v="14"/>
    <x v="81"/>
    <x v="527"/>
    <x v="106"/>
    <x v="155"/>
    <x v="0"/>
  </r>
  <r>
    <x v="0"/>
    <x v="41"/>
    <x v="41"/>
    <x v="12"/>
    <x v="12"/>
    <x v="12"/>
    <x v="12"/>
    <x v="192"/>
    <x v="247"/>
    <x v="37"/>
    <x v="206"/>
    <x v="108"/>
    <x v="449"/>
    <x v="0"/>
  </r>
  <r>
    <x v="0"/>
    <x v="41"/>
    <x v="41"/>
    <x v="23"/>
    <x v="23"/>
    <x v="23"/>
    <x v="13"/>
    <x v="188"/>
    <x v="473"/>
    <x v="116"/>
    <x v="193"/>
    <x v="108"/>
    <x v="449"/>
    <x v="0"/>
  </r>
  <r>
    <x v="0"/>
    <x v="41"/>
    <x v="41"/>
    <x v="24"/>
    <x v="24"/>
    <x v="24"/>
    <x v="14"/>
    <x v="208"/>
    <x v="367"/>
    <x v="50"/>
    <x v="139"/>
    <x v="76"/>
    <x v="104"/>
    <x v="0"/>
  </r>
  <r>
    <x v="0"/>
    <x v="41"/>
    <x v="41"/>
    <x v="15"/>
    <x v="15"/>
    <x v="15"/>
    <x v="14"/>
    <x v="208"/>
    <x v="367"/>
    <x v="50"/>
    <x v="139"/>
    <x v="76"/>
    <x v="104"/>
    <x v="0"/>
  </r>
  <r>
    <x v="0"/>
    <x v="41"/>
    <x v="41"/>
    <x v="14"/>
    <x v="14"/>
    <x v="14"/>
    <x v="14"/>
    <x v="208"/>
    <x v="367"/>
    <x v="34"/>
    <x v="528"/>
    <x v="108"/>
    <x v="449"/>
    <x v="0"/>
  </r>
  <r>
    <x v="0"/>
    <x v="41"/>
    <x v="41"/>
    <x v="9"/>
    <x v="9"/>
    <x v="9"/>
    <x v="14"/>
    <x v="208"/>
    <x v="367"/>
    <x v="116"/>
    <x v="193"/>
    <x v="87"/>
    <x v="450"/>
    <x v="0"/>
  </r>
  <r>
    <x v="0"/>
    <x v="41"/>
    <x v="41"/>
    <x v="25"/>
    <x v="25"/>
    <x v="25"/>
    <x v="18"/>
    <x v="153"/>
    <x v="232"/>
    <x v="67"/>
    <x v="291"/>
    <x v="108"/>
    <x v="449"/>
    <x v="0"/>
  </r>
  <r>
    <x v="0"/>
    <x v="41"/>
    <x v="41"/>
    <x v="5"/>
    <x v="5"/>
    <x v="5"/>
    <x v="18"/>
    <x v="153"/>
    <x v="232"/>
    <x v="98"/>
    <x v="529"/>
    <x v="97"/>
    <x v="319"/>
    <x v="0"/>
  </r>
  <r>
    <x v="0"/>
    <x v="42"/>
    <x v="42"/>
    <x v="2"/>
    <x v="2"/>
    <x v="2"/>
    <x v="0"/>
    <x v="133"/>
    <x v="474"/>
    <x v="105"/>
    <x v="530"/>
    <x v="67"/>
    <x v="451"/>
    <x v="0"/>
  </r>
  <r>
    <x v="0"/>
    <x v="42"/>
    <x v="42"/>
    <x v="4"/>
    <x v="4"/>
    <x v="4"/>
    <x v="1"/>
    <x v="116"/>
    <x v="475"/>
    <x v="35"/>
    <x v="531"/>
    <x v="67"/>
    <x v="451"/>
    <x v="0"/>
  </r>
  <r>
    <x v="0"/>
    <x v="42"/>
    <x v="42"/>
    <x v="7"/>
    <x v="7"/>
    <x v="7"/>
    <x v="2"/>
    <x v="129"/>
    <x v="476"/>
    <x v="37"/>
    <x v="532"/>
    <x v="54"/>
    <x v="331"/>
    <x v="0"/>
  </r>
  <r>
    <x v="0"/>
    <x v="42"/>
    <x v="42"/>
    <x v="1"/>
    <x v="1"/>
    <x v="1"/>
    <x v="3"/>
    <x v="147"/>
    <x v="477"/>
    <x v="81"/>
    <x v="533"/>
    <x v="94"/>
    <x v="452"/>
    <x v="0"/>
  </r>
  <r>
    <x v="0"/>
    <x v="42"/>
    <x v="42"/>
    <x v="0"/>
    <x v="0"/>
    <x v="0"/>
    <x v="3"/>
    <x v="147"/>
    <x v="477"/>
    <x v="90"/>
    <x v="534"/>
    <x v="106"/>
    <x v="155"/>
    <x v="0"/>
  </r>
  <r>
    <x v="0"/>
    <x v="42"/>
    <x v="42"/>
    <x v="3"/>
    <x v="3"/>
    <x v="3"/>
    <x v="5"/>
    <x v="208"/>
    <x v="478"/>
    <x v="98"/>
    <x v="412"/>
    <x v="88"/>
    <x v="453"/>
    <x v="0"/>
  </r>
  <r>
    <x v="0"/>
    <x v="42"/>
    <x v="42"/>
    <x v="12"/>
    <x v="12"/>
    <x v="12"/>
    <x v="6"/>
    <x v="153"/>
    <x v="8"/>
    <x v="98"/>
    <x v="412"/>
    <x v="97"/>
    <x v="454"/>
    <x v="0"/>
  </r>
  <r>
    <x v="0"/>
    <x v="42"/>
    <x v="42"/>
    <x v="6"/>
    <x v="6"/>
    <x v="6"/>
    <x v="7"/>
    <x v="154"/>
    <x v="86"/>
    <x v="67"/>
    <x v="478"/>
    <x v="107"/>
    <x v="147"/>
    <x v="0"/>
  </r>
  <r>
    <x v="0"/>
    <x v="42"/>
    <x v="42"/>
    <x v="8"/>
    <x v="8"/>
    <x v="8"/>
    <x v="7"/>
    <x v="154"/>
    <x v="86"/>
    <x v="67"/>
    <x v="478"/>
    <x v="107"/>
    <x v="147"/>
    <x v="0"/>
  </r>
  <r>
    <x v="0"/>
    <x v="42"/>
    <x v="42"/>
    <x v="17"/>
    <x v="17"/>
    <x v="17"/>
    <x v="9"/>
    <x v="217"/>
    <x v="479"/>
    <x v="113"/>
    <x v="477"/>
    <x v="107"/>
    <x v="147"/>
    <x v="0"/>
  </r>
  <r>
    <x v="0"/>
    <x v="42"/>
    <x v="42"/>
    <x v="9"/>
    <x v="9"/>
    <x v="9"/>
    <x v="9"/>
    <x v="217"/>
    <x v="479"/>
    <x v="67"/>
    <x v="478"/>
    <x v="87"/>
    <x v="315"/>
    <x v="0"/>
  </r>
  <r>
    <x v="0"/>
    <x v="42"/>
    <x v="42"/>
    <x v="27"/>
    <x v="27"/>
    <x v="27"/>
    <x v="9"/>
    <x v="217"/>
    <x v="479"/>
    <x v="91"/>
    <x v="109"/>
    <x v="108"/>
    <x v="192"/>
    <x v="0"/>
  </r>
  <r>
    <x v="0"/>
    <x v="42"/>
    <x v="42"/>
    <x v="11"/>
    <x v="11"/>
    <x v="11"/>
    <x v="9"/>
    <x v="217"/>
    <x v="479"/>
    <x v="113"/>
    <x v="477"/>
    <x v="107"/>
    <x v="147"/>
    <x v="0"/>
  </r>
  <r>
    <x v="0"/>
    <x v="42"/>
    <x v="42"/>
    <x v="15"/>
    <x v="15"/>
    <x v="15"/>
    <x v="13"/>
    <x v="218"/>
    <x v="480"/>
    <x v="91"/>
    <x v="109"/>
    <x v="93"/>
    <x v="455"/>
    <x v="0"/>
  </r>
  <r>
    <x v="0"/>
    <x v="42"/>
    <x v="42"/>
    <x v="24"/>
    <x v="24"/>
    <x v="24"/>
    <x v="14"/>
    <x v="219"/>
    <x v="53"/>
    <x v="98"/>
    <x v="412"/>
    <x v="107"/>
    <x v="147"/>
    <x v="0"/>
  </r>
  <r>
    <x v="0"/>
    <x v="42"/>
    <x v="42"/>
    <x v="23"/>
    <x v="23"/>
    <x v="23"/>
    <x v="14"/>
    <x v="219"/>
    <x v="53"/>
    <x v="98"/>
    <x v="412"/>
    <x v="107"/>
    <x v="147"/>
    <x v="0"/>
  </r>
  <r>
    <x v="0"/>
    <x v="42"/>
    <x v="42"/>
    <x v="39"/>
    <x v="39"/>
    <x v="39"/>
    <x v="14"/>
    <x v="219"/>
    <x v="53"/>
    <x v="91"/>
    <x v="109"/>
    <x v="94"/>
    <x v="452"/>
    <x v="0"/>
  </r>
  <r>
    <x v="0"/>
    <x v="42"/>
    <x v="42"/>
    <x v="10"/>
    <x v="10"/>
    <x v="10"/>
    <x v="14"/>
    <x v="219"/>
    <x v="53"/>
    <x v="68"/>
    <x v="535"/>
    <x v="87"/>
    <x v="315"/>
    <x v="0"/>
  </r>
  <r>
    <x v="0"/>
    <x v="42"/>
    <x v="42"/>
    <x v="19"/>
    <x v="19"/>
    <x v="19"/>
    <x v="18"/>
    <x v="221"/>
    <x v="59"/>
    <x v="50"/>
    <x v="479"/>
    <x v="107"/>
    <x v="147"/>
    <x v="0"/>
  </r>
  <r>
    <x v="0"/>
    <x v="42"/>
    <x v="42"/>
    <x v="5"/>
    <x v="5"/>
    <x v="5"/>
    <x v="18"/>
    <x v="221"/>
    <x v="59"/>
    <x v="91"/>
    <x v="109"/>
    <x v="108"/>
    <x v="192"/>
    <x v="0"/>
  </r>
  <r>
    <x v="0"/>
    <x v="42"/>
    <x v="42"/>
    <x v="13"/>
    <x v="13"/>
    <x v="13"/>
    <x v="18"/>
    <x v="221"/>
    <x v="59"/>
    <x v="98"/>
    <x v="412"/>
    <x v="87"/>
    <x v="315"/>
    <x v="0"/>
  </r>
  <r>
    <x v="0"/>
    <x v="43"/>
    <x v="43"/>
    <x v="0"/>
    <x v="0"/>
    <x v="0"/>
    <x v="0"/>
    <x v="69"/>
    <x v="481"/>
    <x v="144"/>
    <x v="536"/>
    <x v="89"/>
    <x v="243"/>
    <x v="0"/>
  </r>
  <r>
    <x v="0"/>
    <x v="43"/>
    <x v="43"/>
    <x v="2"/>
    <x v="2"/>
    <x v="2"/>
    <x v="1"/>
    <x v="215"/>
    <x v="199"/>
    <x v="48"/>
    <x v="537"/>
    <x v="80"/>
    <x v="456"/>
    <x v="0"/>
  </r>
  <r>
    <x v="0"/>
    <x v="43"/>
    <x v="43"/>
    <x v="1"/>
    <x v="1"/>
    <x v="1"/>
    <x v="2"/>
    <x v="72"/>
    <x v="482"/>
    <x v="120"/>
    <x v="538"/>
    <x v="57"/>
    <x v="457"/>
    <x v="0"/>
  </r>
  <r>
    <x v="0"/>
    <x v="43"/>
    <x v="43"/>
    <x v="4"/>
    <x v="4"/>
    <x v="4"/>
    <x v="3"/>
    <x v="165"/>
    <x v="483"/>
    <x v="119"/>
    <x v="296"/>
    <x v="78"/>
    <x v="458"/>
    <x v="0"/>
  </r>
  <r>
    <x v="0"/>
    <x v="43"/>
    <x v="43"/>
    <x v="3"/>
    <x v="3"/>
    <x v="3"/>
    <x v="4"/>
    <x v="87"/>
    <x v="484"/>
    <x v="80"/>
    <x v="285"/>
    <x v="104"/>
    <x v="459"/>
    <x v="0"/>
  </r>
  <r>
    <x v="0"/>
    <x v="43"/>
    <x v="43"/>
    <x v="5"/>
    <x v="5"/>
    <x v="5"/>
    <x v="5"/>
    <x v="151"/>
    <x v="485"/>
    <x v="45"/>
    <x v="539"/>
    <x v="57"/>
    <x v="457"/>
    <x v="0"/>
  </r>
  <r>
    <x v="0"/>
    <x v="43"/>
    <x v="43"/>
    <x v="6"/>
    <x v="6"/>
    <x v="6"/>
    <x v="6"/>
    <x v="102"/>
    <x v="486"/>
    <x v="112"/>
    <x v="28"/>
    <x v="88"/>
    <x v="213"/>
    <x v="0"/>
  </r>
  <r>
    <x v="0"/>
    <x v="43"/>
    <x v="43"/>
    <x v="8"/>
    <x v="8"/>
    <x v="8"/>
    <x v="6"/>
    <x v="102"/>
    <x v="486"/>
    <x v="78"/>
    <x v="299"/>
    <x v="95"/>
    <x v="460"/>
    <x v="0"/>
  </r>
  <r>
    <x v="0"/>
    <x v="43"/>
    <x v="43"/>
    <x v="7"/>
    <x v="7"/>
    <x v="7"/>
    <x v="8"/>
    <x v="115"/>
    <x v="408"/>
    <x v="122"/>
    <x v="540"/>
    <x v="85"/>
    <x v="461"/>
    <x v="0"/>
  </r>
  <r>
    <x v="0"/>
    <x v="43"/>
    <x v="43"/>
    <x v="11"/>
    <x v="11"/>
    <x v="11"/>
    <x v="9"/>
    <x v="120"/>
    <x v="487"/>
    <x v="52"/>
    <x v="298"/>
    <x v="76"/>
    <x v="349"/>
    <x v="0"/>
  </r>
  <r>
    <x v="0"/>
    <x v="43"/>
    <x v="43"/>
    <x v="17"/>
    <x v="17"/>
    <x v="17"/>
    <x v="10"/>
    <x v="103"/>
    <x v="488"/>
    <x v="122"/>
    <x v="540"/>
    <x v="86"/>
    <x v="74"/>
    <x v="0"/>
  </r>
  <r>
    <x v="0"/>
    <x v="43"/>
    <x v="43"/>
    <x v="10"/>
    <x v="10"/>
    <x v="10"/>
    <x v="11"/>
    <x v="143"/>
    <x v="148"/>
    <x v="69"/>
    <x v="541"/>
    <x v="107"/>
    <x v="293"/>
    <x v="0"/>
  </r>
  <r>
    <x v="0"/>
    <x v="43"/>
    <x v="43"/>
    <x v="14"/>
    <x v="14"/>
    <x v="14"/>
    <x v="12"/>
    <x v="105"/>
    <x v="437"/>
    <x v="105"/>
    <x v="542"/>
    <x v="93"/>
    <x v="462"/>
    <x v="0"/>
  </r>
  <r>
    <x v="0"/>
    <x v="43"/>
    <x v="43"/>
    <x v="23"/>
    <x v="23"/>
    <x v="23"/>
    <x v="13"/>
    <x v="122"/>
    <x v="480"/>
    <x v="113"/>
    <x v="303"/>
    <x v="89"/>
    <x v="243"/>
    <x v="0"/>
  </r>
  <r>
    <x v="0"/>
    <x v="43"/>
    <x v="43"/>
    <x v="15"/>
    <x v="15"/>
    <x v="15"/>
    <x v="14"/>
    <x v="147"/>
    <x v="489"/>
    <x v="35"/>
    <x v="301"/>
    <x v="93"/>
    <x v="462"/>
    <x v="0"/>
  </r>
  <r>
    <x v="0"/>
    <x v="43"/>
    <x v="43"/>
    <x v="25"/>
    <x v="25"/>
    <x v="25"/>
    <x v="15"/>
    <x v="152"/>
    <x v="56"/>
    <x v="34"/>
    <x v="172"/>
    <x v="97"/>
    <x v="463"/>
    <x v="0"/>
  </r>
  <r>
    <x v="0"/>
    <x v="43"/>
    <x v="43"/>
    <x v="42"/>
    <x v="42"/>
    <x v="42"/>
    <x v="16"/>
    <x v="192"/>
    <x v="123"/>
    <x v="37"/>
    <x v="289"/>
    <x v="107"/>
    <x v="293"/>
    <x v="2"/>
  </r>
  <r>
    <x v="0"/>
    <x v="43"/>
    <x v="43"/>
    <x v="13"/>
    <x v="13"/>
    <x v="13"/>
    <x v="17"/>
    <x v="188"/>
    <x v="19"/>
    <x v="37"/>
    <x v="289"/>
    <x v="107"/>
    <x v="293"/>
    <x v="0"/>
  </r>
  <r>
    <x v="0"/>
    <x v="43"/>
    <x v="43"/>
    <x v="29"/>
    <x v="29"/>
    <x v="29"/>
    <x v="18"/>
    <x v="208"/>
    <x v="352"/>
    <x v="113"/>
    <x v="303"/>
    <x v="93"/>
    <x v="462"/>
    <x v="0"/>
  </r>
  <r>
    <x v="0"/>
    <x v="43"/>
    <x v="43"/>
    <x v="18"/>
    <x v="18"/>
    <x v="18"/>
    <x v="18"/>
    <x v="208"/>
    <x v="352"/>
    <x v="68"/>
    <x v="543"/>
    <x v="97"/>
    <x v="463"/>
    <x v="0"/>
  </r>
  <r>
    <x v="0"/>
    <x v="43"/>
    <x v="43"/>
    <x v="9"/>
    <x v="9"/>
    <x v="9"/>
    <x v="18"/>
    <x v="208"/>
    <x v="352"/>
    <x v="67"/>
    <x v="302"/>
    <x v="108"/>
    <x v="292"/>
    <x v="0"/>
  </r>
  <r>
    <x v="0"/>
    <x v="43"/>
    <x v="43"/>
    <x v="21"/>
    <x v="21"/>
    <x v="21"/>
    <x v="18"/>
    <x v="208"/>
    <x v="352"/>
    <x v="50"/>
    <x v="73"/>
    <x v="88"/>
    <x v="213"/>
    <x v="2"/>
  </r>
  <r>
    <x v="0"/>
    <x v="44"/>
    <x v="44"/>
    <x v="0"/>
    <x v="0"/>
    <x v="0"/>
    <x v="0"/>
    <x v="117"/>
    <x v="490"/>
    <x v="84"/>
    <x v="544"/>
    <x v="87"/>
    <x v="187"/>
    <x v="0"/>
  </r>
  <r>
    <x v="0"/>
    <x v="44"/>
    <x v="44"/>
    <x v="2"/>
    <x v="2"/>
    <x v="2"/>
    <x v="1"/>
    <x v="143"/>
    <x v="491"/>
    <x v="34"/>
    <x v="255"/>
    <x v="90"/>
    <x v="464"/>
    <x v="0"/>
  </r>
  <r>
    <x v="0"/>
    <x v="44"/>
    <x v="44"/>
    <x v="3"/>
    <x v="3"/>
    <x v="3"/>
    <x v="2"/>
    <x v="106"/>
    <x v="492"/>
    <x v="116"/>
    <x v="26"/>
    <x v="89"/>
    <x v="244"/>
    <x v="0"/>
  </r>
  <r>
    <x v="0"/>
    <x v="44"/>
    <x v="44"/>
    <x v="4"/>
    <x v="4"/>
    <x v="4"/>
    <x v="3"/>
    <x v="122"/>
    <x v="493"/>
    <x v="37"/>
    <x v="4"/>
    <x v="50"/>
    <x v="465"/>
    <x v="0"/>
  </r>
  <r>
    <x v="0"/>
    <x v="44"/>
    <x v="44"/>
    <x v="8"/>
    <x v="8"/>
    <x v="8"/>
    <x v="3"/>
    <x v="122"/>
    <x v="493"/>
    <x v="35"/>
    <x v="545"/>
    <x v="88"/>
    <x v="466"/>
    <x v="0"/>
  </r>
  <r>
    <x v="0"/>
    <x v="44"/>
    <x v="44"/>
    <x v="1"/>
    <x v="1"/>
    <x v="1"/>
    <x v="5"/>
    <x v="129"/>
    <x v="494"/>
    <x v="90"/>
    <x v="546"/>
    <x v="87"/>
    <x v="187"/>
    <x v="0"/>
  </r>
  <r>
    <x v="0"/>
    <x v="44"/>
    <x v="44"/>
    <x v="6"/>
    <x v="6"/>
    <x v="6"/>
    <x v="6"/>
    <x v="147"/>
    <x v="495"/>
    <x v="36"/>
    <x v="547"/>
    <x v="108"/>
    <x v="55"/>
    <x v="0"/>
  </r>
  <r>
    <x v="0"/>
    <x v="44"/>
    <x v="44"/>
    <x v="7"/>
    <x v="7"/>
    <x v="7"/>
    <x v="7"/>
    <x v="136"/>
    <x v="277"/>
    <x v="98"/>
    <x v="548"/>
    <x v="79"/>
    <x v="467"/>
    <x v="0"/>
  </r>
  <r>
    <x v="0"/>
    <x v="44"/>
    <x v="44"/>
    <x v="9"/>
    <x v="9"/>
    <x v="9"/>
    <x v="8"/>
    <x v="208"/>
    <x v="496"/>
    <x v="116"/>
    <x v="26"/>
    <x v="106"/>
    <x v="155"/>
    <x v="0"/>
  </r>
  <r>
    <x v="0"/>
    <x v="44"/>
    <x v="44"/>
    <x v="12"/>
    <x v="12"/>
    <x v="12"/>
    <x v="9"/>
    <x v="153"/>
    <x v="487"/>
    <x v="67"/>
    <x v="47"/>
    <x v="108"/>
    <x v="55"/>
    <x v="0"/>
  </r>
  <r>
    <x v="0"/>
    <x v="44"/>
    <x v="44"/>
    <x v="11"/>
    <x v="11"/>
    <x v="11"/>
    <x v="9"/>
    <x v="153"/>
    <x v="487"/>
    <x v="67"/>
    <x v="47"/>
    <x v="108"/>
    <x v="55"/>
    <x v="0"/>
  </r>
  <r>
    <x v="0"/>
    <x v="44"/>
    <x v="44"/>
    <x v="34"/>
    <x v="34"/>
    <x v="34"/>
    <x v="11"/>
    <x v="154"/>
    <x v="244"/>
    <x v="91"/>
    <x v="109"/>
    <x v="88"/>
    <x v="466"/>
    <x v="0"/>
  </r>
  <r>
    <x v="0"/>
    <x v="44"/>
    <x v="44"/>
    <x v="13"/>
    <x v="13"/>
    <x v="13"/>
    <x v="11"/>
    <x v="154"/>
    <x v="244"/>
    <x v="67"/>
    <x v="47"/>
    <x v="107"/>
    <x v="186"/>
    <x v="0"/>
  </r>
  <r>
    <x v="0"/>
    <x v="44"/>
    <x v="44"/>
    <x v="10"/>
    <x v="10"/>
    <x v="10"/>
    <x v="11"/>
    <x v="154"/>
    <x v="244"/>
    <x v="116"/>
    <x v="26"/>
    <x v="106"/>
    <x v="155"/>
    <x v="0"/>
  </r>
  <r>
    <x v="0"/>
    <x v="44"/>
    <x v="44"/>
    <x v="5"/>
    <x v="5"/>
    <x v="5"/>
    <x v="14"/>
    <x v="217"/>
    <x v="497"/>
    <x v="68"/>
    <x v="410"/>
    <x v="108"/>
    <x v="55"/>
    <x v="0"/>
  </r>
  <r>
    <x v="0"/>
    <x v="44"/>
    <x v="44"/>
    <x v="15"/>
    <x v="15"/>
    <x v="15"/>
    <x v="15"/>
    <x v="219"/>
    <x v="258"/>
    <x v="91"/>
    <x v="109"/>
    <x v="94"/>
    <x v="468"/>
    <x v="0"/>
  </r>
  <r>
    <x v="0"/>
    <x v="44"/>
    <x v="44"/>
    <x v="27"/>
    <x v="27"/>
    <x v="27"/>
    <x v="15"/>
    <x v="219"/>
    <x v="258"/>
    <x v="91"/>
    <x v="109"/>
    <x v="94"/>
    <x v="468"/>
    <x v="0"/>
  </r>
  <r>
    <x v="0"/>
    <x v="44"/>
    <x v="44"/>
    <x v="17"/>
    <x v="17"/>
    <x v="17"/>
    <x v="17"/>
    <x v="221"/>
    <x v="209"/>
    <x v="50"/>
    <x v="549"/>
    <x v="107"/>
    <x v="186"/>
    <x v="0"/>
  </r>
  <r>
    <x v="0"/>
    <x v="44"/>
    <x v="44"/>
    <x v="40"/>
    <x v="40"/>
    <x v="40"/>
    <x v="17"/>
    <x v="221"/>
    <x v="209"/>
    <x v="50"/>
    <x v="549"/>
    <x v="107"/>
    <x v="186"/>
    <x v="0"/>
  </r>
  <r>
    <x v="0"/>
    <x v="44"/>
    <x v="44"/>
    <x v="14"/>
    <x v="14"/>
    <x v="14"/>
    <x v="17"/>
    <x v="221"/>
    <x v="209"/>
    <x v="98"/>
    <x v="548"/>
    <x v="87"/>
    <x v="187"/>
    <x v="0"/>
  </r>
  <r>
    <x v="0"/>
    <x v="44"/>
    <x v="44"/>
    <x v="21"/>
    <x v="21"/>
    <x v="21"/>
    <x v="17"/>
    <x v="221"/>
    <x v="209"/>
    <x v="91"/>
    <x v="109"/>
    <x v="108"/>
    <x v="55"/>
    <x v="0"/>
  </r>
  <r>
    <x v="0"/>
    <x v="44"/>
    <x v="44"/>
    <x v="47"/>
    <x v="47"/>
    <x v="47"/>
    <x v="17"/>
    <x v="221"/>
    <x v="209"/>
    <x v="50"/>
    <x v="549"/>
    <x v="106"/>
    <x v="15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2"/>
    <x v="0"/>
  </r>
  <r>
    <x v="0"/>
    <x v="0"/>
    <x v="0"/>
    <x v="11"/>
    <x v="11"/>
    <x v="11"/>
    <x v="11"/>
    <x v="11"/>
    <x v="11"/>
    <x v="11"/>
    <x v="11"/>
    <x v="11"/>
    <x v="10"/>
    <x v="1"/>
  </r>
  <r>
    <x v="0"/>
    <x v="0"/>
    <x v="0"/>
    <x v="12"/>
    <x v="12"/>
    <x v="12"/>
    <x v="12"/>
    <x v="12"/>
    <x v="12"/>
    <x v="12"/>
    <x v="12"/>
    <x v="12"/>
    <x v="11"/>
    <x v="2"/>
  </r>
  <r>
    <x v="0"/>
    <x v="0"/>
    <x v="0"/>
    <x v="13"/>
    <x v="13"/>
    <x v="13"/>
    <x v="13"/>
    <x v="13"/>
    <x v="13"/>
    <x v="13"/>
    <x v="13"/>
    <x v="13"/>
    <x v="12"/>
    <x v="3"/>
  </r>
  <r>
    <x v="0"/>
    <x v="0"/>
    <x v="0"/>
    <x v="14"/>
    <x v="14"/>
    <x v="14"/>
    <x v="14"/>
    <x v="14"/>
    <x v="14"/>
    <x v="14"/>
    <x v="14"/>
    <x v="14"/>
    <x v="13"/>
    <x v="0"/>
  </r>
  <r>
    <x v="0"/>
    <x v="0"/>
    <x v="0"/>
    <x v="15"/>
    <x v="15"/>
    <x v="15"/>
    <x v="15"/>
    <x v="15"/>
    <x v="15"/>
    <x v="15"/>
    <x v="15"/>
    <x v="15"/>
    <x v="14"/>
    <x v="0"/>
  </r>
  <r>
    <x v="0"/>
    <x v="0"/>
    <x v="0"/>
    <x v="16"/>
    <x v="16"/>
    <x v="16"/>
    <x v="16"/>
    <x v="16"/>
    <x v="16"/>
    <x v="16"/>
    <x v="16"/>
    <x v="16"/>
    <x v="15"/>
    <x v="0"/>
  </r>
  <r>
    <x v="0"/>
    <x v="0"/>
    <x v="0"/>
    <x v="17"/>
    <x v="17"/>
    <x v="17"/>
    <x v="17"/>
    <x v="17"/>
    <x v="17"/>
    <x v="17"/>
    <x v="17"/>
    <x v="17"/>
    <x v="16"/>
    <x v="0"/>
  </r>
  <r>
    <x v="0"/>
    <x v="0"/>
    <x v="0"/>
    <x v="18"/>
    <x v="18"/>
    <x v="18"/>
    <x v="18"/>
    <x v="18"/>
    <x v="18"/>
    <x v="18"/>
    <x v="18"/>
    <x v="18"/>
    <x v="17"/>
    <x v="0"/>
  </r>
  <r>
    <x v="0"/>
    <x v="0"/>
    <x v="0"/>
    <x v="19"/>
    <x v="19"/>
    <x v="19"/>
    <x v="19"/>
    <x v="19"/>
    <x v="19"/>
    <x v="19"/>
    <x v="19"/>
    <x v="19"/>
    <x v="18"/>
    <x v="0"/>
  </r>
  <r>
    <x v="0"/>
    <x v="1"/>
    <x v="1"/>
    <x v="2"/>
    <x v="2"/>
    <x v="2"/>
    <x v="0"/>
    <x v="20"/>
    <x v="20"/>
    <x v="20"/>
    <x v="20"/>
    <x v="20"/>
    <x v="19"/>
    <x v="0"/>
  </r>
  <r>
    <x v="0"/>
    <x v="1"/>
    <x v="1"/>
    <x v="0"/>
    <x v="0"/>
    <x v="0"/>
    <x v="1"/>
    <x v="21"/>
    <x v="21"/>
    <x v="21"/>
    <x v="21"/>
    <x v="21"/>
    <x v="20"/>
    <x v="0"/>
  </r>
  <r>
    <x v="0"/>
    <x v="1"/>
    <x v="1"/>
    <x v="4"/>
    <x v="4"/>
    <x v="4"/>
    <x v="2"/>
    <x v="22"/>
    <x v="22"/>
    <x v="22"/>
    <x v="22"/>
    <x v="22"/>
    <x v="21"/>
    <x v="0"/>
  </r>
  <r>
    <x v="0"/>
    <x v="1"/>
    <x v="1"/>
    <x v="1"/>
    <x v="1"/>
    <x v="1"/>
    <x v="3"/>
    <x v="23"/>
    <x v="23"/>
    <x v="23"/>
    <x v="23"/>
    <x v="23"/>
    <x v="22"/>
    <x v="0"/>
  </r>
  <r>
    <x v="0"/>
    <x v="1"/>
    <x v="1"/>
    <x v="7"/>
    <x v="7"/>
    <x v="7"/>
    <x v="4"/>
    <x v="24"/>
    <x v="24"/>
    <x v="24"/>
    <x v="24"/>
    <x v="23"/>
    <x v="22"/>
    <x v="0"/>
  </r>
  <r>
    <x v="0"/>
    <x v="1"/>
    <x v="1"/>
    <x v="16"/>
    <x v="16"/>
    <x v="16"/>
    <x v="5"/>
    <x v="25"/>
    <x v="7"/>
    <x v="25"/>
    <x v="25"/>
    <x v="24"/>
    <x v="23"/>
    <x v="0"/>
  </r>
  <r>
    <x v="0"/>
    <x v="1"/>
    <x v="1"/>
    <x v="12"/>
    <x v="12"/>
    <x v="12"/>
    <x v="6"/>
    <x v="26"/>
    <x v="25"/>
    <x v="26"/>
    <x v="5"/>
    <x v="25"/>
    <x v="24"/>
    <x v="1"/>
  </r>
  <r>
    <x v="0"/>
    <x v="1"/>
    <x v="1"/>
    <x v="9"/>
    <x v="9"/>
    <x v="9"/>
    <x v="6"/>
    <x v="26"/>
    <x v="25"/>
    <x v="27"/>
    <x v="26"/>
    <x v="26"/>
    <x v="25"/>
    <x v="0"/>
  </r>
  <r>
    <x v="0"/>
    <x v="1"/>
    <x v="1"/>
    <x v="5"/>
    <x v="5"/>
    <x v="5"/>
    <x v="8"/>
    <x v="27"/>
    <x v="26"/>
    <x v="28"/>
    <x v="27"/>
    <x v="27"/>
    <x v="12"/>
    <x v="0"/>
  </r>
  <r>
    <x v="0"/>
    <x v="1"/>
    <x v="1"/>
    <x v="19"/>
    <x v="19"/>
    <x v="19"/>
    <x v="9"/>
    <x v="28"/>
    <x v="27"/>
    <x v="29"/>
    <x v="28"/>
    <x v="28"/>
    <x v="26"/>
    <x v="0"/>
  </r>
  <r>
    <x v="0"/>
    <x v="1"/>
    <x v="1"/>
    <x v="11"/>
    <x v="11"/>
    <x v="11"/>
    <x v="10"/>
    <x v="29"/>
    <x v="28"/>
    <x v="30"/>
    <x v="29"/>
    <x v="29"/>
    <x v="27"/>
    <x v="0"/>
  </r>
  <r>
    <x v="0"/>
    <x v="1"/>
    <x v="1"/>
    <x v="8"/>
    <x v="8"/>
    <x v="8"/>
    <x v="11"/>
    <x v="30"/>
    <x v="29"/>
    <x v="31"/>
    <x v="30"/>
    <x v="30"/>
    <x v="28"/>
    <x v="0"/>
  </r>
  <r>
    <x v="0"/>
    <x v="1"/>
    <x v="1"/>
    <x v="6"/>
    <x v="6"/>
    <x v="6"/>
    <x v="12"/>
    <x v="31"/>
    <x v="30"/>
    <x v="29"/>
    <x v="28"/>
    <x v="31"/>
    <x v="29"/>
    <x v="0"/>
  </r>
  <r>
    <x v="0"/>
    <x v="1"/>
    <x v="1"/>
    <x v="15"/>
    <x v="15"/>
    <x v="15"/>
    <x v="13"/>
    <x v="32"/>
    <x v="15"/>
    <x v="32"/>
    <x v="31"/>
    <x v="32"/>
    <x v="30"/>
    <x v="0"/>
  </r>
  <r>
    <x v="0"/>
    <x v="1"/>
    <x v="1"/>
    <x v="17"/>
    <x v="17"/>
    <x v="17"/>
    <x v="14"/>
    <x v="33"/>
    <x v="31"/>
    <x v="33"/>
    <x v="32"/>
    <x v="33"/>
    <x v="31"/>
    <x v="0"/>
  </r>
  <r>
    <x v="0"/>
    <x v="1"/>
    <x v="1"/>
    <x v="20"/>
    <x v="20"/>
    <x v="20"/>
    <x v="15"/>
    <x v="34"/>
    <x v="32"/>
    <x v="34"/>
    <x v="33"/>
    <x v="34"/>
    <x v="32"/>
    <x v="0"/>
  </r>
  <r>
    <x v="0"/>
    <x v="1"/>
    <x v="1"/>
    <x v="13"/>
    <x v="13"/>
    <x v="13"/>
    <x v="16"/>
    <x v="35"/>
    <x v="33"/>
    <x v="35"/>
    <x v="34"/>
    <x v="35"/>
    <x v="33"/>
    <x v="0"/>
  </r>
  <r>
    <x v="0"/>
    <x v="1"/>
    <x v="1"/>
    <x v="3"/>
    <x v="3"/>
    <x v="3"/>
    <x v="17"/>
    <x v="36"/>
    <x v="34"/>
    <x v="36"/>
    <x v="35"/>
    <x v="36"/>
    <x v="34"/>
    <x v="0"/>
  </r>
  <r>
    <x v="0"/>
    <x v="1"/>
    <x v="1"/>
    <x v="21"/>
    <x v="21"/>
    <x v="21"/>
    <x v="18"/>
    <x v="37"/>
    <x v="35"/>
    <x v="37"/>
    <x v="36"/>
    <x v="37"/>
    <x v="35"/>
    <x v="0"/>
  </r>
  <r>
    <x v="0"/>
    <x v="1"/>
    <x v="1"/>
    <x v="14"/>
    <x v="14"/>
    <x v="14"/>
    <x v="19"/>
    <x v="38"/>
    <x v="36"/>
    <x v="38"/>
    <x v="37"/>
    <x v="38"/>
    <x v="36"/>
    <x v="0"/>
  </r>
  <r>
    <x v="0"/>
    <x v="2"/>
    <x v="2"/>
    <x v="0"/>
    <x v="0"/>
    <x v="0"/>
    <x v="0"/>
    <x v="39"/>
    <x v="37"/>
    <x v="39"/>
    <x v="38"/>
    <x v="39"/>
    <x v="22"/>
    <x v="0"/>
  </r>
  <r>
    <x v="0"/>
    <x v="2"/>
    <x v="2"/>
    <x v="1"/>
    <x v="1"/>
    <x v="1"/>
    <x v="1"/>
    <x v="40"/>
    <x v="38"/>
    <x v="40"/>
    <x v="39"/>
    <x v="40"/>
    <x v="37"/>
    <x v="0"/>
  </r>
  <r>
    <x v="0"/>
    <x v="2"/>
    <x v="2"/>
    <x v="7"/>
    <x v="7"/>
    <x v="7"/>
    <x v="2"/>
    <x v="41"/>
    <x v="39"/>
    <x v="41"/>
    <x v="40"/>
    <x v="39"/>
    <x v="22"/>
    <x v="0"/>
  </r>
  <r>
    <x v="0"/>
    <x v="2"/>
    <x v="2"/>
    <x v="2"/>
    <x v="2"/>
    <x v="2"/>
    <x v="3"/>
    <x v="42"/>
    <x v="40"/>
    <x v="42"/>
    <x v="41"/>
    <x v="41"/>
    <x v="38"/>
    <x v="0"/>
  </r>
  <r>
    <x v="0"/>
    <x v="2"/>
    <x v="2"/>
    <x v="4"/>
    <x v="4"/>
    <x v="4"/>
    <x v="4"/>
    <x v="31"/>
    <x v="41"/>
    <x v="43"/>
    <x v="42"/>
    <x v="23"/>
    <x v="39"/>
    <x v="0"/>
  </r>
  <r>
    <x v="0"/>
    <x v="2"/>
    <x v="2"/>
    <x v="9"/>
    <x v="9"/>
    <x v="9"/>
    <x v="5"/>
    <x v="43"/>
    <x v="42"/>
    <x v="44"/>
    <x v="43"/>
    <x v="42"/>
    <x v="40"/>
    <x v="0"/>
  </r>
  <r>
    <x v="0"/>
    <x v="2"/>
    <x v="2"/>
    <x v="20"/>
    <x v="20"/>
    <x v="20"/>
    <x v="6"/>
    <x v="44"/>
    <x v="43"/>
    <x v="45"/>
    <x v="44"/>
    <x v="43"/>
    <x v="41"/>
    <x v="0"/>
  </r>
  <r>
    <x v="0"/>
    <x v="2"/>
    <x v="2"/>
    <x v="12"/>
    <x v="12"/>
    <x v="12"/>
    <x v="7"/>
    <x v="45"/>
    <x v="44"/>
    <x v="46"/>
    <x v="45"/>
    <x v="44"/>
    <x v="42"/>
    <x v="0"/>
  </r>
  <r>
    <x v="0"/>
    <x v="2"/>
    <x v="2"/>
    <x v="11"/>
    <x v="11"/>
    <x v="11"/>
    <x v="8"/>
    <x v="46"/>
    <x v="45"/>
    <x v="37"/>
    <x v="46"/>
    <x v="45"/>
    <x v="43"/>
    <x v="0"/>
  </r>
  <r>
    <x v="0"/>
    <x v="2"/>
    <x v="2"/>
    <x v="8"/>
    <x v="8"/>
    <x v="8"/>
    <x v="9"/>
    <x v="47"/>
    <x v="46"/>
    <x v="36"/>
    <x v="47"/>
    <x v="46"/>
    <x v="44"/>
    <x v="0"/>
  </r>
  <r>
    <x v="0"/>
    <x v="2"/>
    <x v="2"/>
    <x v="10"/>
    <x v="10"/>
    <x v="10"/>
    <x v="10"/>
    <x v="48"/>
    <x v="12"/>
    <x v="47"/>
    <x v="48"/>
    <x v="47"/>
    <x v="45"/>
    <x v="0"/>
  </r>
  <r>
    <x v="0"/>
    <x v="2"/>
    <x v="2"/>
    <x v="21"/>
    <x v="21"/>
    <x v="21"/>
    <x v="10"/>
    <x v="48"/>
    <x v="12"/>
    <x v="48"/>
    <x v="49"/>
    <x v="48"/>
    <x v="46"/>
    <x v="0"/>
  </r>
  <r>
    <x v="0"/>
    <x v="2"/>
    <x v="2"/>
    <x v="13"/>
    <x v="13"/>
    <x v="13"/>
    <x v="12"/>
    <x v="49"/>
    <x v="47"/>
    <x v="49"/>
    <x v="50"/>
    <x v="49"/>
    <x v="47"/>
    <x v="0"/>
  </r>
  <r>
    <x v="0"/>
    <x v="2"/>
    <x v="2"/>
    <x v="17"/>
    <x v="17"/>
    <x v="17"/>
    <x v="13"/>
    <x v="50"/>
    <x v="48"/>
    <x v="50"/>
    <x v="51"/>
    <x v="50"/>
    <x v="48"/>
    <x v="0"/>
  </r>
  <r>
    <x v="0"/>
    <x v="2"/>
    <x v="2"/>
    <x v="14"/>
    <x v="14"/>
    <x v="14"/>
    <x v="14"/>
    <x v="51"/>
    <x v="49"/>
    <x v="51"/>
    <x v="52"/>
    <x v="21"/>
    <x v="49"/>
    <x v="0"/>
  </r>
  <r>
    <x v="0"/>
    <x v="2"/>
    <x v="2"/>
    <x v="22"/>
    <x v="22"/>
    <x v="22"/>
    <x v="15"/>
    <x v="52"/>
    <x v="31"/>
    <x v="52"/>
    <x v="53"/>
    <x v="44"/>
    <x v="42"/>
    <x v="0"/>
  </r>
  <r>
    <x v="0"/>
    <x v="2"/>
    <x v="2"/>
    <x v="23"/>
    <x v="23"/>
    <x v="23"/>
    <x v="16"/>
    <x v="53"/>
    <x v="50"/>
    <x v="48"/>
    <x v="49"/>
    <x v="23"/>
    <x v="39"/>
    <x v="0"/>
  </r>
  <r>
    <x v="0"/>
    <x v="2"/>
    <x v="2"/>
    <x v="15"/>
    <x v="15"/>
    <x v="15"/>
    <x v="17"/>
    <x v="54"/>
    <x v="51"/>
    <x v="29"/>
    <x v="54"/>
    <x v="46"/>
    <x v="44"/>
    <x v="0"/>
  </r>
  <r>
    <x v="0"/>
    <x v="2"/>
    <x v="2"/>
    <x v="3"/>
    <x v="3"/>
    <x v="3"/>
    <x v="17"/>
    <x v="54"/>
    <x v="51"/>
    <x v="36"/>
    <x v="47"/>
    <x v="23"/>
    <x v="39"/>
    <x v="0"/>
  </r>
  <r>
    <x v="0"/>
    <x v="2"/>
    <x v="2"/>
    <x v="5"/>
    <x v="5"/>
    <x v="5"/>
    <x v="19"/>
    <x v="55"/>
    <x v="16"/>
    <x v="36"/>
    <x v="47"/>
    <x v="26"/>
    <x v="50"/>
    <x v="0"/>
  </r>
  <r>
    <x v="0"/>
    <x v="3"/>
    <x v="3"/>
    <x v="2"/>
    <x v="2"/>
    <x v="2"/>
    <x v="0"/>
    <x v="25"/>
    <x v="52"/>
    <x v="53"/>
    <x v="55"/>
    <x v="51"/>
    <x v="51"/>
    <x v="0"/>
  </r>
  <r>
    <x v="0"/>
    <x v="3"/>
    <x v="3"/>
    <x v="0"/>
    <x v="0"/>
    <x v="0"/>
    <x v="1"/>
    <x v="27"/>
    <x v="53"/>
    <x v="26"/>
    <x v="56"/>
    <x v="52"/>
    <x v="52"/>
    <x v="0"/>
  </r>
  <r>
    <x v="0"/>
    <x v="3"/>
    <x v="3"/>
    <x v="1"/>
    <x v="1"/>
    <x v="1"/>
    <x v="2"/>
    <x v="56"/>
    <x v="54"/>
    <x v="41"/>
    <x v="57"/>
    <x v="53"/>
    <x v="53"/>
    <x v="0"/>
  </r>
  <r>
    <x v="0"/>
    <x v="3"/>
    <x v="3"/>
    <x v="7"/>
    <x v="7"/>
    <x v="7"/>
    <x v="3"/>
    <x v="57"/>
    <x v="55"/>
    <x v="54"/>
    <x v="58"/>
    <x v="39"/>
    <x v="54"/>
    <x v="0"/>
  </r>
  <r>
    <x v="0"/>
    <x v="3"/>
    <x v="3"/>
    <x v="8"/>
    <x v="8"/>
    <x v="8"/>
    <x v="4"/>
    <x v="58"/>
    <x v="24"/>
    <x v="55"/>
    <x v="59"/>
    <x v="41"/>
    <x v="55"/>
    <x v="0"/>
  </r>
  <r>
    <x v="0"/>
    <x v="3"/>
    <x v="3"/>
    <x v="4"/>
    <x v="4"/>
    <x v="4"/>
    <x v="4"/>
    <x v="58"/>
    <x v="24"/>
    <x v="56"/>
    <x v="60"/>
    <x v="44"/>
    <x v="56"/>
    <x v="0"/>
  </r>
  <r>
    <x v="0"/>
    <x v="3"/>
    <x v="3"/>
    <x v="5"/>
    <x v="5"/>
    <x v="5"/>
    <x v="6"/>
    <x v="59"/>
    <x v="56"/>
    <x v="57"/>
    <x v="61"/>
    <x v="54"/>
    <x v="57"/>
    <x v="0"/>
  </r>
  <r>
    <x v="0"/>
    <x v="3"/>
    <x v="3"/>
    <x v="9"/>
    <x v="9"/>
    <x v="9"/>
    <x v="7"/>
    <x v="60"/>
    <x v="57"/>
    <x v="58"/>
    <x v="62"/>
    <x v="55"/>
    <x v="58"/>
    <x v="0"/>
  </r>
  <r>
    <x v="0"/>
    <x v="3"/>
    <x v="3"/>
    <x v="11"/>
    <x v="11"/>
    <x v="11"/>
    <x v="8"/>
    <x v="61"/>
    <x v="58"/>
    <x v="59"/>
    <x v="63"/>
    <x v="50"/>
    <x v="59"/>
    <x v="0"/>
  </r>
  <r>
    <x v="0"/>
    <x v="3"/>
    <x v="3"/>
    <x v="10"/>
    <x v="10"/>
    <x v="10"/>
    <x v="9"/>
    <x v="49"/>
    <x v="59"/>
    <x v="60"/>
    <x v="64"/>
    <x v="56"/>
    <x v="14"/>
    <x v="0"/>
  </r>
  <r>
    <x v="0"/>
    <x v="3"/>
    <x v="3"/>
    <x v="6"/>
    <x v="6"/>
    <x v="6"/>
    <x v="10"/>
    <x v="62"/>
    <x v="60"/>
    <x v="61"/>
    <x v="65"/>
    <x v="57"/>
    <x v="60"/>
    <x v="0"/>
  </r>
  <r>
    <x v="0"/>
    <x v="3"/>
    <x v="3"/>
    <x v="15"/>
    <x v="15"/>
    <x v="15"/>
    <x v="11"/>
    <x v="63"/>
    <x v="29"/>
    <x v="62"/>
    <x v="66"/>
    <x v="47"/>
    <x v="61"/>
    <x v="0"/>
  </r>
  <r>
    <x v="0"/>
    <x v="3"/>
    <x v="3"/>
    <x v="14"/>
    <x v="14"/>
    <x v="14"/>
    <x v="12"/>
    <x v="64"/>
    <x v="61"/>
    <x v="63"/>
    <x v="67"/>
    <x v="47"/>
    <x v="61"/>
    <x v="0"/>
  </r>
  <r>
    <x v="0"/>
    <x v="3"/>
    <x v="3"/>
    <x v="12"/>
    <x v="12"/>
    <x v="12"/>
    <x v="13"/>
    <x v="54"/>
    <x v="49"/>
    <x v="48"/>
    <x v="68"/>
    <x v="58"/>
    <x v="62"/>
    <x v="0"/>
  </r>
  <r>
    <x v="0"/>
    <x v="3"/>
    <x v="3"/>
    <x v="19"/>
    <x v="19"/>
    <x v="19"/>
    <x v="14"/>
    <x v="65"/>
    <x v="62"/>
    <x v="64"/>
    <x v="69"/>
    <x v="22"/>
    <x v="63"/>
    <x v="0"/>
  </r>
  <r>
    <x v="0"/>
    <x v="3"/>
    <x v="3"/>
    <x v="24"/>
    <x v="24"/>
    <x v="24"/>
    <x v="15"/>
    <x v="55"/>
    <x v="33"/>
    <x v="65"/>
    <x v="70"/>
    <x v="44"/>
    <x v="56"/>
    <x v="0"/>
  </r>
  <r>
    <x v="0"/>
    <x v="3"/>
    <x v="3"/>
    <x v="20"/>
    <x v="20"/>
    <x v="20"/>
    <x v="15"/>
    <x v="55"/>
    <x v="33"/>
    <x v="55"/>
    <x v="59"/>
    <x v="59"/>
    <x v="64"/>
    <x v="0"/>
  </r>
  <r>
    <x v="0"/>
    <x v="3"/>
    <x v="3"/>
    <x v="25"/>
    <x v="25"/>
    <x v="25"/>
    <x v="17"/>
    <x v="66"/>
    <x v="34"/>
    <x v="49"/>
    <x v="71"/>
    <x v="40"/>
    <x v="65"/>
    <x v="0"/>
  </r>
  <r>
    <x v="0"/>
    <x v="3"/>
    <x v="3"/>
    <x v="13"/>
    <x v="13"/>
    <x v="13"/>
    <x v="18"/>
    <x v="67"/>
    <x v="63"/>
    <x v="66"/>
    <x v="72"/>
    <x v="60"/>
    <x v="66"/>
    <x v="0"/>
  </r>
  <r>
    <x v="0"/>
    <x v="3"/>
    <x v="3"/>
    <x v="16"/>
    <x v="16"/>
    <x v="16"/>
    <x v="19"/>
    <x v="68"/>
    <x v="64"/>
    <x v="32"/>
    <x v="73"/>
    <x v="61"/>
    <x v="67"/>
    <x v="0"/>
  </r>
  <r>
    <x v="0"/>
    <x v="4"/>
    <x v="4"/>
    <x v="0"/>
    <x v="0"/>
    <x v="0"/>
    <x v="0"/>
    <x v="69"/>
    <x v="65"/>
    <x v="67"/>
    <x v="74"/>
    <x v="52"/>
    <x v="35"/>
    <x v="0"/>
  </r>
  <r>
    <x v="0"/>
    <x v="4"/>
    <x v="4"/>
    <x v="2"/>
    <x v="2"/>
    <x v="2"/>
    <x v="1"/>
    <x v="70"/>
    <x v="66"/>
    <x v="68"/>
    <x v="75"/>
    <x v="62"/>
    <x v="68"/>
    <x v="0"/>
  </r>
  <r>
    <x v="0"/>
    <x v="4"/>
    <x v="4"/>
    <x v="1"/>
    <x v="1"/>
    <x v="1"/>
    <x v="2"/>
    <x v="71"/>
    <x v="67"/>
    <x v="69"/>
    <x v="76"/>
    <x v="43"/>
    <x v="69"/>
    <x v="0"/>
  </r>
  <r>
    <x v="0"/>
    <x v="4"/>
    <x v="4"/>
    <x v="4"/>
    <x v="4"/>
    <x v="4"/>
    <x v="3"/>
    <x v="57"/>
    <x v="41"/>
    <x v="70"/>
    <x v="77"/>
    <x v="63"/>
    <x v="70"/>
    <x v="0"/>
  </r>
  <r>
    <x v="0"/>
    <x v="4"/>
    <x v="4"/>
    <x v="3"/>
    <x v="3"/>
    <x v="3"/>
    <x v="4"/>
    <x v="43"/>
    <x v="68"/>
    <x v="56"/>
    <x v="78"/>
    <x v="64"/>
    <x v="71"/>
    <x v="0"/>
  </r>
  <r>
    <x v="0"/>
    <x v="4"/>
    <x v="4"/>
    <x v="10"/>
    <x v="10"/>
    <x v="10"/>
    <x v="5"/>
    <x v="72"/>
    <x v="69"/>
    <x v="71"/>
    <x v="79"/>
    <x v="30"/>
    <x v="72"/>
    <x v="0"/>
  </r>
  <r>
    <x v="0"/>
    <x v="4"/>
    <x v="4"/>
    <x v="7"/>
    <x v="7"/>
    <x v="7"/>
    <x v="5"/>
    <x v="72"/>
    <x v="69"/>
    <x v="45"/>
    <x v="80"/>
    <x v="59"/>
    <x v="73"/>
    <x v="0"/>
  </r>
  <r>
    <x v="0"/>
    <x v="4"/>
    <x v="4"/>
    <x v="9"/>
    <x v="9"/>
    <x v="9"/>
    <x v="7"/>
    <x v="73"/>
    <x v="70"/>
    <x v="72"/>
    <x v="81"/>
    <x v="40"/>
    <x v="65"/>
    <x v="0"/>
  </r>
  <r>
    <x v="0"/>
    <x v="4"/>
    <x v="4"/>
    <x v="8"/>
    <x v="8"/>
    <x v="8"/>
    <x v="8"/>
    <x v="74"/>
    <x v="71"/>
    <x v="73"/>
    <x v="82"/>
    <x v="62"/>
    <x v="68"/>
    <x v="0"/>
  </r>
  <r>
    <x v="0"/>
    <x v="4"/>
    <x v="4"/>
    <x v="6"/>
    <x v="6"/>
    <x v="6"/>
    <x v="9"/>
    <x v="75"/>
    <x v="72"/>
    <x v="63"/>
    <x v="83"/>
    <x v="29"/>
    <x v="74"/>
    <x v="0"/>
  </r>
  <r>
    <x v="0"/>
    <x v="4"/>
    <x v="4"/>
    <x v="11"/>
    <x v="11"/>
    <x v="11"/>
    <x v="10"/>
    <x v="76"/>
    <x v="73"/>
    <x v="59"/>
    <x v="84"/>
    <x v="60"/>
    <x v="20"/>
    <x v="0"/>
  </r>
  <r>
    <x v="0"/>
    <x v="4"/>
    <x v="4"/>
    <x v="19"/>
    <x v="19"/>
    <x v="19"/>
    <x v="10"/>
    <x v="76"/>
    <x v="73"/>
    <x v="60"/>
    <x v="85"/>
    <x v="35"/>
    <x v="75"/>
    <x v="0"/>
  </r>
  <r>
    <x v="0"/>
    <x v="4"/>
    <x v="4"/>
    <x v="13"/>
    <x v="13"/>
    <x v="13"/>
    <x v="12"/>
    <x v="49"/>
    <x v="74"/>
    <x v="73"/>
    <x v="82"/>
    <x v="60"/>
    <x v="20"/>
    <x v="0"/>
  </r>
  <r>
    <x v="0"/>
    <x v="4"/>
    <x v="4"/>
    <x v="12"/>
    <x v="12"/>
    <x v="12"/>
    <x v="13"/>
    <x v="77"/>
    <x v="75"/>
    <x v="35"/>
    <x v="86"/>
    <x v="55"/>
    <x v="58"/>
    <x v="0"/>
  </r>
  <r>
    <x v="0"/>
    <x v="4"/>
    <x v="4"/>
    <x v="15"/>
    <x v="15"/>
    <x v="15"/>
    <x v="14"/>
    <x v="78"/>
    <x v="62"/>
    <x v="32"/>
    <x v="87"/>
    <x v="41"/>
    <x v="76"/>
    <x v="0"/>
  </r>
  <r>
    <x v="0"/>
    <x v="4"/>
    <x v="4"/>
    <x v="5"/>
    <x v="5"/>
    <x v="5"/>
    <x v="14"/>
    <x v="78"/>
    <x v="62"/>
    <x v="55"/>
    <x v="88"/>
    <x v="65"/>
    <x v="77"/>
    <x v="0"/>
  </r>
  <r>
    <x v="0"/>
    <x v="4"/>
    <x v="4"/>
    <x v="14"/>
    <x v="14"/>
    <x v="14"/>
    <x v="16"/>
    <x v="65"/>
    <x v="76"/>
    <x v="74"/>
    <x v="65"/>
    <x v="66"/>
    <x v="78"/>
    <x v="0"/>
  </r>
  <r>
    <x v="0"/>
    <x v="4"/>
    <x v="4"/>
    <x v="17"/>
    <x v="17"/>
    <x v="17"/>
    <x v="17"/>
    <x v="55"/>
    <x v="77"/>
    <x v="75"/>
    <x v="89"/>
    <x v="64"/>
    <x v="71"/>
    <x v="0"/>
  </r>
  <r>
    <x v="0"/>
    <x v="4"/>
    <x v="4"/>
    <x v="26"/>
    <x v="26"/>
    <x v="26"/>
    <x v="18"/>
    <x v="66"/>
    <x v="78"/>
    <x v="76"/>
    <x v="90"/>
    <x v="63"/>
    <x v="70"/>
    <x v="0"/>
  </r>
  <r>
    <x v="0"/>
    <x v="4"/>
    <x v="4"/>
    <x v="18"/>
    <x v="18"/>
    <x v="18"/>
    <x v="19"/>
    <x v="79"/>
    <x v="17"/>
    <x v="74"/>
    <x v="65"/>
    <x v="48"/>
    <x v="79"/>
    <x v="0"/>
  </r>
  <r>
    <x v="0"/>
    <x v="5"/>
    <x v="5"/>
    <x v="0"/>
    <x v="0"/>
    <x v="0"/>
    <x v="0"/>
    <x v="43"/>
    <x v="79"/>
    <x v="77"/>
    <x v="91"/>
    <x v="53"/>
    <x v="80"/>
    <x v="0"/>
  </r>
  <r>
    <x v="0"/>
    <x v="5"/>
    <x v="5"/>
    <x v="1"/>
    <x v="1"/>
    <x v="1"/>
    <x v="1"/>
    <x v="80"/>
    <x v="80"/>
    <x v="78"/>
    <x v="92"/>
    <x v="40"/>
    <x v="81"/>
    <x v="0"/>
  </r>
  <r>
    <x v="0"/>
    <x v="5"/>
    <x v="5"/>
    <x v="3"/>
    <x v="3"/>
    <x v="3"/>
    <x v="2"/>
    <x v="50"/>
    <x v="81"/>
    <x v="52"/>
    <x v="93"/>
    <x v="67"/>
    <x v="14"/>
    <x v="0"/>
  </r>
  <r>
    <x v="0"/>
    <x v="5"/>
    <x v="5"/>
    <x v="5"/>
    <x v="5"/>
    <x v="5"/>
    <x v="3"/>
    <x v="52"/>
    <x v="82"/>
    <x v="79"/>
    <x v="94"/>
    <x v="55"/>
    <x v="82"/>
    <x v="0"/>
  </r>
  <r>
    <x v="0"/>
    <x v="5"/>
    <x v="5"/>
    <x v="6"/>
    <x v="6"/>
    <x v="6"/>
    <x v="4"/>
    <x v="81"/>
    <x v="83"/>
    <x v="74"/>
    <x v="95"/>
    <x v="25"/>
    <x v="83"/>
    <x v="0"/>
  </r>
  <r>
    <x v="0"/>
    <x v="5"/>
    <x v="5"/>
    <x v="2"/>
    <x v="2"/>
    <x v="2"/>
    <x v="5"/>
    <x v="65"/>
    <x v="84"/>
    <x v="74"/>
    <x v="95"/>
    <x v="68"/>
    <x v="84"/>
    <x v="0"/>
  </r>
  <r>
    <x v="0"/>
    <x v="5"/>
    <x v="5"/>
    <x v="7"/>
    <x v="7"/>
    <x v="7"/>
    <x v="5"/>
    <x v="65"/>
    <x v="84"/>
    <x v="79"/>
    <x v="94"/>
    <x v="43"/>
    <x v="7"/>
    <x v="0"/>
  </r>
  <r>
    <x v="0"/>
    <x v="5"/>
    <x v="5"/>
    <x v="8"/>
    <x v="8"/>
    <x v="8"/>
    <x v="7"/>
    <x v="82"/>
    <x v="44"/>
    <x v="60"/>
    <x v="96"/>
    <x v="49"/>
    <x v="85"/>
    <x v="0"/>
  </r>
  <r>
    <x v="0"/>
    <x v="5"/>
    <x v="5"/>
    <x v="10"/>
    <x v="10"/>
    <x v="10"/>
    <x v="8"/>
    <x v="83"/>
    <x v="85"/>
    <x v="76"/>
    <x v="97"/>
    <x v="69"/>
    <x v="86"/>
    <x v="0"/>
  </r>
  <r>
    <x v="0"/>
    <x v="5"/>
    <x v="5"/>
    <x v="11"/>
    <x v="11"/>
    <x v="11"/>
    <x v="9"/>
    <x v="84"/>
    <x v="60"/>
    <x v="66"/>
    <x v="98"/>
    <x v="55"/>
    <x v="82"/>
    <x v="0"/>
  </r>
  <r>
    <x v="0"/>
    <x v="5"/>
    <x v="5"/>
    <x v="9"/>
    <x v="9"/>
    <x v="9"/>
    <x v="10"/>
    <x v="85"/>
    <x v="73"/>
    <x v="50"/>
    <x v="99"/>
    <x v="70"/>
    <x v="87"/>
    <x v="0"/>
  </r>
  <r>
    <x v="0"/>
    <x v="5"/>
    <x v="5"/>
    <x v="27"/>
    <x v="27"/>
    <x v="27"/>
    <x v="11"/>
    <x v="86"/>
    <x v="86"/>
    <x v="80"/>
    <x v="100"/>
    <x v="59"/>
    <x v="88"/>
    <x v="0"/>
  </r>
  <r>
    <x v="0"/>
    <x v="5"/>
    <x v="5"/>
    <x v="28"/>
    <x v="28"/>
    <x v="28"/>
    <x v="11"/>
    <x v="86"/>
    <x v="86"/>
    <x v="60"/>
    <x v="96"/>
    <x v="26"/>
    <x v="28"/>
    <x v="0"/>
  </r>
  <r>
    <x v="0"/>
    <x v="5"/>
    <x v="5"/>
    <x v="13"/>
    <x v="13"/>
    <x v="13"/>
    <x v="13"/>
    <x v="87"/>
    <x v="30"/>
    <x v="66"/>
    <x v="98"/>
    <x v="39"/>
    <x v="89"/>
    <x v="0"/>
  </r>
  <r>
    <x v="0"/>
    <x v="5"/>
    <x v="5"/>
    <x v="4"/>
    <x v="4"/>
    <x v="4"/>
    <x v="13"/>
    <x v="87"/>
    <x v="30"/>
    <x v="81"/>
    <x v="101"/>
    <x v="59"/>
    <x v="88"/>
    <x v="0"/>
  </r>
  <r>
    <x v="0"/>
    <x v="5"/>
    <x v="5"/>
    <x v="12"/>
    <x v="12"/>
    <x v="12"/>
    <x v="15"/>
    <x v="88"/>
    <x v="49"/>
    <x v="66"/>
    <x v="98"/>
    <x v="59"/>
    <x v="88"/>
    <x v="0"/>
  </r>
  <r>
    <x v="0"/>
    <x v="5"/>
    <x v="5"/>
    <x v="14"/>
    <x v="14"/>
    <x v="14"/>
    <x v="16"/>
    <x v="89"/>
    <x v="51"/>
    <x v="74"/>
    <x v="95"/>
    <x v="55"/>
    <x v="82"/>
    <x v="0"/>
  </r>
  <r>
    <x v="0"/>
    <x v="5"/>
    <x v="5"/>
    <x v="16"/>
    <x v="16"/>
    <x v="16"/>
    <x v="17"/>
    <x v="90"/>
    <x v="16"/>
    <x v="82"/>
    <x v="102"/>
    <x v="23"/>
    <x v="90"/>
    <x v="0"/>
  </r>
  <r>
    <x v="0"/>
    <x v="5"/>
    <x v="5"/>
    <x v="29"/>
    <x v="29"/>
    <x v="29"/>
    <x v="18"/>
    <x v="91"/>
    <x v="87"/>
    <x v="38"/>
    <x v="103"/>
    <x v="40"/>
    <x v="81"/>
    <x v="0"/>
  </r>
  <r>
    <x v="0"/>
    <x v="5"/>
    <x v="5"/>
    <x v="30"/>
    <x v="30"/>
    <x v="30"/>
    <x v="19"/>
    <x v="92"/>
    <x v="88"/>
    <x v="47"/>
    <x v="104"/>
    <x v="70"/>
    <x v="87"/>
    <x v="0"/>
  </r>
  <r>
    <x v="0"/>
    <x v="6"/>
    <x v="6"/>
    <x v="0"/>
    <x v="0"/>
    <x v="0"/>
    <x v="0"/>
    <x v="60"/>
    <x v="89"/>
    <x v="30"/>
    <x v="105"/>
    <x v="34"/>
    <x v="77"/>
    <x v="0"/>
  </r>
  <r>
    <x v="0"/>
    <x v="6"/>
    <x v="6"/>
    <x v="1"/>
    <x v="1"/>
    <x v="1"/>
    <x v="1"/>
    <x v="78"/>
    <x v="90"/>
    <x v="83"/>
    <x v="106"/>
    <x v="71"/>
    <x v="91"/>
    <x v="0"/>
  </r>
  <r>
    <x v="0"/>
    <x v="6"/>
    <x v="6"/>
    <x v="8"/>
    <x v="8"/>
    <x v="8"/>
    <x v="2"/>
    <x v="93"/>
    <x v="91"/>
    <x v="84"/>
    <x v="107"/>
    <x v="49"/>
    <x v="92"/>
    <x v="0"/>
  </r>
  <r>
    <x v="0"/>
    <x v="6"/>
    <x v="6"/>
    <x v="2"/>
    <x v="2"/>
    <x v="2"/>
    <x v="2"/>
    <x v="93"/>
    <x v="91"/>
    <x v="33"/>
    <x v="108"/>
    <x v="65"/>
    <x v="93"/>
    <x v="0"/>
  </r>
  <r>
    <x v="0"/>
    <x v="6"/>
    <x v="6"/>
    <x v="3"/>
    <x v="3"/>
    <x v="3"/>
    <x v="4"/>
    <x v="82"/>
    <x v="92"/>
    <x v="50"/>
    <x v="109"/>
    <x v="72"/>
    <x v="57"/>
    <x v="0"/>
  </r>
  <r>
    <x v="0"/>
    <x v="6"/>
    <x v="6"/>
    <x v="10"/>
    <x v="10"/>
    <x v="10"/>
    <x v="5"/>
    <x v="84"/>
    <x v="93"/>
    <x v="61"/>
    <x v="110"/>
    <x v="60"/>
    <x v="94"/>
    <x v="0"/>
  </r>
  <r>
    <x v="0"/>
    <x v="6"/>
    <x v="6"/>
    <x v="4"/>
    <x v="4"/>
    <x v="4"/>
    <x v="6"/>
    <x v="85"/>
    <x v="94"/>
    <x v="85"/>
    <x v="78"/>
    <x v="72"/>
    <x v="57"/>
    <x v="0"/>
  </r>
  <r>
    <x v="0"/>
    <x v="6"/>
    <x v="6"/>
    <x v="15"/>
    <x v="15"/>
    <x v="15"/>
    <x v="7"/>
    <x v="86"/>
    <x v="95"/>
    <x v="51"/>
    <x v="111"/>
    <x v="60"/>
    <x v="94"/>
    <x v="0"/>
  </r>
  <r>
    <x v="0"/>
    <x v="6"/>
    <x v="6"/>
    <x v="6"/>
    <x v="6"/>
    <x v="6"/>
    <x v="8"/>
    <x v="87"/>
    <x v="71"/>
    <x v="51"/>
    <x v="111"/>
    <x v="49"/>
    <x v="92"/>
    <x v="0"/>
  </r>
  <r>
    <x v="0"/>
    <x v="6"/>
    <x v="6"/>
    <x v="11"/>
    <x v="11"/>
    <x v="11"/>
    <x v="9"/>
    <x v="88"/>
    <x v="96"/>
    <x v="75"/>
    <x v="112"/>
    <x v="65"/>
    <x v="93"/>
    <x v="0"/>
  </r>
  <r>
    <x v="0"/>
    <x v="6"/>
    <x v="6"/>
    <x v="5"/>
    <x v="5"/>
    <x v="5"/>
    <x v="10"/>
    <x v="94"/>
    <x v="97"/>
    <x v="66"/>
    <x v="113"/>
    <x v="40"/>
    <x v="95"/>
    <x v="0"/>
  </r>
  <r>
    <x v="0"/>
    <x v="6"/>
    <x v="6"/>
    <x v="7"/>
    <x v="7"/>
    <x v="7"/>
    <x v="11"/>
    <x v="89"/>
    <x v="98"/>
    <x v="81"/>
    <x v="114"/>
    <x v="71"/>
    <x v="91"/>
    <x v="0"/>
  </r>
  <r>
    <x v="0"/>
    <x v="6"/>
    <x v="6"/>
    <x v="18"/>
    <x v="18"/>
    <x v="18"/>
    <x v="12"/>
    <x v="95"/>
    <x v="86"/>
    <x v="86"/>
    <x v="87"/>
    <x v="67"/>
    <x v="96"/>
    <x v="0"/>
  </r>
  <r>
    <x v="0"/>
    <x v="6"/>
    <x v="6"/>
    <x v="14"/>
    <x v="14"/>
    <x v="14"/>
    <x v="13"/>
    <x v="92"/>
    <x v="99"/>
    <x v="64"/>
    <x v="115"/>
    <x v="58"/>
    <x v="97"/>
    <x v="0"/>
  </r>
  <r>
    <x v="0"/>
    <x v="6"/>
    <x v="6"/>
    <x v="9"/>
    <x v="9"/>
    <x v="9"/>
    <x v="13"/>
    <x v="92"/>
    <x v="99"/>
    <x v="38"/>
    <x v="100"/>
    <x v="43"/>
    <x v="98"/>
    <x v="0"/>
  </r>
  <r>
    <x v="0"/>
    <x v="6"/>
    <x v="6"/>
    <x v="31"/>
    <x v="31"/>
    <x v="31"/>
    <x v="15"/>
    <x v="96"/>
    <x v="100"/>
    <x v="60"/>
    <x v="116"/>
    <x v="70"/>
    <x v="99"/>
    <x v="0"/>
  </r>
  <r>
    <x v="0"/>
    <x v="6"/>
    <x v="6"/>
    <x v="32"/>
    <x v="32"/>
    <x v="32"/>
    <x v="15"/>
    <x v="96"/>
    <x v="100"/>
    <x v="64"/>
    <x v="115"/>
    <x v="73"/>
    <x v="100"/>
    <x v="0"/>
  </r>
  <r>
    <x v="0"/>
    <x v="6"/>
    <x v="6"/>
    <x v="16"/>
    <x v="16"/>
    <x v="16"/>
    <x v="15"/>
    <x v="96"/>
    <x v="100"/>
    <x v="82"/>
    <x v="117"/>
    <x v="65"/>
    <x v="93"/>
    <x v="0"/>
  </r>
  <r>
    <x v="0"/>
    <x v="6"/>
    <x v="6"/>
    <x v="13"/>
    <x v="13"/>
    <x v="13"/>
    <x v="18"/>
    <x v="97"/>
    <x v="87"/>
    <x v="75"/>
    <x v="112"/>
    <x v="71"/>
    <x v="91"/>
    <x v="0"/>
  </r>
  <r>
    <x v="0"/>
    <x v="6"/>
    <x v="6"/>
    <x v="22"/>
    <x v="22"/>
    <x v="22"/>
    <x v="18"/>
    <x v="97"/>
    <x v="87"/>
    <x v="87"/>
    <x v="118"/>
    <x v="34"/>
    <x v="77"/>
    <x v="0"/>
  </r>
  <r>
    <x v="0"/>
    <x v="7"/>
    <x v="7"/>
    <x v="0"/>
    <x v="0"/>
    <x v="0"/>
    <x v="0"/>
    <x v="59"/>
    <x v="101"/>
    <x v="88"/>
    <x v="119"/>
    <x v="72"/>
    <x v="101"/>
    <x v="0"/>
  </r>
  <r>
    <x v="0"/>
    <x v="7"/>
    <x v="7"/>
    <x v="2"/>
    <x v="2"/>
    <x v="2"/>
    <x v="1"/>
    <x v="77"/>
    <x v="102"/>
    <x v="79"/>
    <x v="120"/>
    <x v="23"/>
    <x v="43"/>
    <x v="0"/>
  </r>
  <r>
    <x v="0"/>
    <x v="7"/>
    <x v="7"/>
    <x v="1"/>
    <x v="1"/>
    <x v="1"/>
    <x v="2"/>
    <x v="78"/>
    <x v="103"/>
    <x v="89"/>
    <x v="121"/>
    <x v="34"/>
    <x v="102"/>
    <x v="0"/>
  </r>
  <r>
    <x v="0"/>
    <x v="7"/>
    <x v="7"/>
    <x v="7"/>
    <x v="7"/>
    <x v="7"/>
    <x v="3"/>
    <x v="53"/>
    <x v="104"/>
    <x v="35"/>
    <x v="122"/>
    <x v="71"/>
    <x v="103"/>
    <x v="0"/>
  </r>
  <r>
    <x v="0"/>
    <x v="7"/>
    <x v="7"/>
    <x v="4"/>
    <x v="4"/>
    <x v="4"/>
    <x v="4"/>
    <x v="54"/>
    <x v="105"/>
    <x v="79"/>
    <x v="120"/>
    <x v="59"/>
    <x v="104"/>
    <x v="0"/>
  </r>
  <r>
    <x v="0"/>
    <x v="7"/>
    <x v="7"/>
    <x v="9"/>
    <x v="9"/>
    <x v="9"/>
    <x v="5"/>
    <x v="66"/>
    <x v="106"/>
    <x v="59"/>
    <x v="123"/>
    <x v="71"/>
    <x v="103"/>
    <x v="0"/>
  </r>
  <r>
    <x v="0"/>
    <x v="7"/>
    <x v="7"/>
    <x v="12"/>
    <x v="12"/>
    <x v="12"/>
    <x v="6"/>
    <x v="82"/>
    <x v="107"/>
    <x v="90"/>
    <x v="124"/>
    <x v="53"/>
    <x v="33"/>
    <x v="0"/>
  </r>
  <r>
    <x v="0"/>
    <x v="7"/>
    <x v="7"/>
    <x v="6"/>
    <x v="6"/>
    <x v="6"/>
    <x v="7"/>
    <x v="98"/>
    <x v="108"/>
    <x v="91"/>
    <x v="125"/>
    <x v="68"/>
    <x v="83"/>
    <x v="0"/>
  </r>
  <r>
    <x v="0"/>
    <x v="7"/>
    <x v="7"/>
    <x v="5"/>
    <x v="5"/>
    <x v="5"/>
    <x v="8"/>
    <x v="83"/>
    <x v="109"/>
    <x v="33"/>
    <x v="126"/>
    <x v="39"/>
    <x v="56"/>
    <x v="0"/>
  </r>
  <r>
    <x v="0"/>
    <x v="7"/>
    <x v="7"/>
    <x v="8"/>
    <x v="8"/>
    <x v="8"/>
    <x v="9"/>
    <x v="88"/>
    <x v="10"/>
    <x v="32"/>
    <x v="127"/>
    <x v="58"/>
    <x v="105"/>
    <x v="0"/>
  </r>
  <r>
    <x v="0"/>
    <x v="7"/>
    <x v="7"/>
    <x v="11"/>
    <x v="11"/>
    <x v="11"/>
    <x v="10"/>
    <x v="89"/>
    <x v="13"/>
    <x v="76"/>
    <x v="128"/>
    <x v="72"/>
    <x v="101"/>
    <x v="0"/>
  </r>
  <r>
    <x v="0"/>
    <x v="7"/>
    <x v="7"/>
    <x v="14"/>
    <x v="14"/>
    <x v="14"/>
    <x v="11"/>
    <x v="95"/>
    <x v="47"/>
    <x v="92"/>
    <x v="129"/>
    <x v="74"/>
    <x v="106"/>
    <x v="0"/>
  </r>
  <r>
    <x v="0"/>
    <x v="7"/>
    <x v="7"/>
    <x v="3"/>
    <x v="3"/>
    <x v="3"/>
    <x v="12"/>
    <x v="92"/>
    <x v="110"/>
    <x v="61"/>
    <x v="51"/>
    <x v="42"/>
    <x v="35"/>
    <x v="0"/>
  </r>
  <r>
    <x v="0"/>
    <x v="7"/>
    <x v="7"/>
    <x v="25"/>
    <x v="25"/>
    <x v="25"/>
    <x v="12"/>
    <x v="92"/>
    <x v="110"/>
    <x v="38"/>
    <x v="86"/>
    <x v="43"/>
    <x v="9"/>
    <x v="0"/>
  </r>
  <r>
    <x v="0"/>
    <x v="7"/>
    <x v="7"/>
    <x v="10"/>
    <x v="10"/>
    <x v="10"/>
    <x v="14"/>
    <x v="96"/>
    <x v="50"/>
    <x v="86"/>
    <x v="130"/>
    <x v="58"/>
    <x v="105"/>
    <x v="0"/>
  </r>
  <r>
    <x v="0"/>
    <x v="7"/>
    <x v="7"/>
    <x v="29"/>
    <x v="29"/>
    <x v="29"/>
    <x v="14"/>
    <x v="96"/>
    <x v="50"/>
    <x v="74"/>
    <x v="131"/>
    <x v="59"/>
    <x v="104"/>
    <x v="0"/>
  </r>
  <r>
    <x v="0"/>
    <x v="7"/>
    <x v="7"/>
    <x v="33"/>
    <x v="33"/>
    <x v="33"/>
    <x v="16"/>
    <x v="99"/>
    <x v="111"/>
    <x v="86"/>
    <x v="130"/>
    <x v="73"/>
    <x v="107"/>
    <x v="0"/>
  </r>
  <r>
    <x v="0"/>
    <x v="7"/>
    <x v="7"/>
    <x v="17"/>
    <x v="17"/>
    <x v="17"/>
    <x v="16"/>
    <x v="99"/>
    <x v="111"/>
    <x v="93"/>
    <x v="132"/>
    <x v="67"/>
    <x v="108"/>
    <x v="0"/>
  </r>
  <r>
    <x v="0"/>
    <x v="7"/>
    <x v="7"/>
    <x v="16"/>
    <x v="16"/>
    <x v="16"/>
    <x v="18"/>
    <x v="100"/>
    <x v="16"/>
    <x v="94"/>
    <x v="31"/>
    <x v="73"/>
    <x v="107"/>
    <x v="0"/>
  </r>
  <r>
    <x v="0"/>
    <x v="7"/>
    <x v="7"/>
    <x v="15"/>
    <x v="15"/>
    <x v="15"/>
    <x v="19"/>
    <x v="97"/>
    <x v="112"/>
    <x v="86"/>
    <x v="130"/>
    <x v="26"/>
    <x v="15"/>
    <x v="0"/>
  </r>
  <r>
    <x v="0"/>
    <x v="7"/>
    <x v="7"/>
    <x v="34"/>
    <x v="34"/>
    <x v="34"/>
    <x v="19"/>
    <x v="97"/>
    <x v="112"/>
    <x v="32"/>
    <x v="127"/>
    <x v="40"/>
    <x v="109"/>
    <x v="0"/>
  </r>
  <r>
    <x v="0"/>
    <x v="7"/>
    <x v="7"/>
    <x v="21"/>
    <x v="21"/>
    <x v="21"/>
    <x v="19"/>
    <x v="97"/>
    <x v="112"/>
    <x v="87"/>
    <x v="133"/>
    <x v="34"/>
    <x v="102"/>
    <x v="0"/>
  </r>
  <r>
    <x v="0"/>
    <x v="7"/>
    <x v="7"/>
    <x v="22"/>
    <x v="22"/>
    <x v="22"/>
    <x v="19"/>
    <x v="97"/>
    <x v="112"/>
    <x v="61"/>
    <x v="51"/>
    <x v="59"/>
    <x v="104"/>
    <x v="0"/>
  </r>
  <r>
    <x v="0"/>
    <x v="8"/>
    <x v="8"/>
    <x v="2"/>
    <x v="2"/>
    <x v="2"/>
    <x v="0"/>
    <x v="75"/>
    <x v="79"/>
    <x v="89"/>
    <x v="134"/>
    <x v="69"/>
    <x v="23"/>
    <x v="0"/>
  </r>
  <r>
    <x v="0"/>
    <x v="8"/>
    <x v="8"/>
    <x v="0"/>
    <x v="0"/>
    <x v="0"/>
    <x v="1"/>
    <x v="78"/>
    <x v="113"/>
    <x v="35"/>
    <x v="135"/>
    <x v="40"/>
    <x v="110"/>
    <x v="0"/>
  </r>
  <r>
    <x v="0"/>
    <x v="8"/>
    <x v="8"/>
    <x v="1"/>
    <x v="1"/>
    <x v="1"/>
    <x v="2"/>
    <x v="101"/>
    <x v="114"/>
    <x v="95"/>
    <x v="136"/>
    <x v="71"/>
    <x v="25"/>
    <x v="0"/>
  </r>
  <r>
    <x v="0"/>
    <x v="8"/>
    <x v="8"/>
    <x v="5"/>
    <x v="5"/>
    <x v="5"/>
    <x v="3"/>
    <x v="68"/>
    <x v="115"/>
    <x v="48"/>
    <x v="137"/>
    <x v="39"/>
    <x v="111"/>
    <x v="0"/>
  </r>
  <r>
    <x v="0"/>
    <x v="8"/>
    <x v="8"/>
    <x v="6"/>
    <x v="6"/>
    <x v="6"/>
    <x v="4"/>
    <x v="102"/>
    <x v="116"/>
    <x v="91"/>
    <x v="138"/>
    <x v="46"/>
    <x v="112"/>
    <x v="0"/>
  </r>
  <r>
    <x v="0"/>
    <x v="8"/>
    <x v="8"/>
    <x v="3"/>
    <x v="3"/>
    <x v="3"/>
    <x v="5"/>
    <x v="103"/>
    <x v="117"/>
    <x v="75"/>
    <x v="139"/>
    <x v="67"/>
    <x v="113"/>
    <x v="0"/>
  </r>
  <r>
    <x v="0"/>
    <x v="8"/>
    <x v="8"/>
    <x v="4"/>
    <x v="4"/>
    <x v="4"/>
    <x v="5"/>
    <x v="103"/>
    <x v="117"/>
    <x v="96"/>
    <x v="140"/>
    <x v="72"/>
    <x v="114"/>
    <x v="0"/>
  </r>
  <r>
    <x v="0"/>
    <x v="8"/>
    <x v="8"/>
    <x v="10"/>
    <x v="10"/>
    <x v="10"/>
    <x v="7"/>
    <x v="87"/>
    <x v="118"/>
    <x v="62"/>
    <x v="141"/>
    <x v="67"/>
    <x v="113"/>
    <x v="0"/>
  </r>
  <r>
    <x v="0"/>
    <x v="8"/>
    <x v="8"/>
    <x v="7"/>
    <x v="7"/>
    <x v="7"/>
    <x v="8"/>
    <x v="90"/>
    <x v="119"/>
    <x v="47"/>
    <x v="142"/>
    <x v="43"/>
    <x v="115"/>
    <x v="0"/>
  </r>
  <r>
    <x v="0"/>
    <x v="8"/>
    <x v="8"/>
    <x v="11"/>
    <x v="11"/>
    <x v="11"/>
    <x v="9"/>
    <x v="91"/>
    <x v="120"/>
    <x v="62"/>
    <x v="141"/>
    <x v="26"/>
    <x v="116"/>
    <x v="0"/>
  </r>
  <r>
    <x v="0"/>
    <x v="8"/>
    <x v="8"/>
    <x v="8"/>
    <x v="8"/>
    <x v="8"/>
    <x v="10"/>
    <x v="92"/>
    <x v="121"/>
    <x v="63"/>
    <x v="143"/>
    <x v="26"/>
    <x v="116"/>
    <x v="1"/>
  </r>
  <r>
    <x v="0"/>
    <x v="8"/>
    <x v="8"/>
    <x v="14"/>
    <x v="14"/>
    <x v="14"/>
    <x v="11"/>
    <x v="99"/>
    <x v="122"/>
    <x v="51"/>
    <x v="25"/>
    <x v="42"/>
    <x v="15"/>
    <x v="0"/>
  </r>
  <r>
    <x v="0"/>
    <x v="8"/>
    <x v="8"/>
    <x v="27"/>
    <x v="27"/>
    <x v="27"/>
    <x v="12"/>
    <x v="100"/>
    <x v="123"/>
    <x v="87"/>
    <x v="144"/>
    <x v="59"/>
    <x v="117"/>
    <x v="0"/>
  </r>
  <r>
    <x v="0"/>
    <x v="8"/>
    <x v="8"/>
    <x v="13"/>
    <x v="13"/>
    <x v="13"/>
    <x v="12"/>
    <x v="100"/>
    <x v="123"/>
    <x v="87"/>
    <x v="144"/>
    <x v="59"/>
    <x v="117"/>
    <x v="0"/>
  </r>
  <r>
    <x v="0"/>
    <x v="8"/>
    <x v="8"/>
    <x v="12"/>
    <x v="12"/>
    <x v="12"/>
    <x v="12"/>
    <x v="100"/>
    <x v="123"/>
    <x v="61"/>
    <x v="145"/>
    <x v="39"/>
    <x v="111"/>
    <x v="0"/>
  </r>
  <r>
    <x v="0"/>
    <x v="8"/>
    <x v="8"/>
    <x v="35"/>
    <x v="35"/>
    <x v="35"/>
    <x v="15"/>
    <x v="104"/>
    <x v="77"/>
    <x v="82"/>
    <x v="146"/>
    <x v="53"/>
    <x v="118"/>
    <x v="0"/>
  </r>
  <r>
    <x v="0"/>
    <x v="8"/>
    <x v="8"/>
    <x v="28"/>
    <x v="28"/>
    <x v="28"/>
    <x v="15"/>
    <x v="104"/>
    <x v="77"/>
    <x v="61"/>
    <x v="145"/>
    <x v="34"/>
    <x v="119"/>
    <x v="0"/>
  </r>
  <r>
    <x v="0"/>
    <x v="8"/>
    <x v="8"/>
    <x v="32"/>
    <x v="32"/>
    <x v="32"/>
    <x v="15"/>
    <x v="104"/>
    <x v="77"/>
    <x v="91"/>
    <x v="138"/>
    <x v="26"/>
    <x v="116"/>
    <x v="0"/>
  </r>
  <r>
    <x v="0"/>
    <x v="8"/>
    <x v="8"/>
    <x v="36"/>
    <x v="36"/>
    <x v="36"/>
    <x v="15"/>
    <x v="104"/>
    <x v="77"/>
    <x v="64"/>
    <x v="32"/>
    <x v="42"/>
    <x v="15"/>
    <x v="0"/>
  </r>
  <r>
    <x v="0"/>
    <x v="8"/>
    <x v="8"/>
    <x v="9"/>
    <x v="9"/>
    <x v="9"/>
    <x v="15"/>
    <x v="104"/>
    <x v="77"/>
    <x v="29"/>
    <x v="147"/>
    <x v="75"/>
    <x v="120"/>
    <x v="0"/>
  </r>
  <r>
    <x v="0"/>
    <x v="9"/>
    <x v="9"/>
    <x v="0"/>
    <x v="0"/>
    <x v="0"/>
    <x v="0"/>
    <x v="59"/>
    <x v="124"/>
    <x v="97"/>
    <x v="148"/>
    <x v="71"/>
    <x v="121"/>
    <x v="0"/>
  </r>
  <r>
    <x v="0"/>
    <x v="9"/>
    <x v="9"/>
    <x v="1"/>
    <x v="1"/>
    <x v="1"/>
    <x v="1"/>
    <x v="105"/>
    <x v="125"/>
    <x v="72"/>
    <x v="149"/>
    <x v="71"/>
    <x v="121"/>
    <x v="0"/>
  </r>
  <r>
    <x v="0"/>
    <x v="9"/>
    <x v="9"/>
    <x v="3"/>
    <x v="3"/>
    <x v="3"/>
    <x v="2"/>
    <x v="78"/>
    <x v="126"/>
    <x v="49"/>
    <x v="150"/>
    <x v="26"/>
    <x v="28"/>
    <x v="0"/>
  </r>
  <r>
    <x v="0"/>
    <x v="9"/>
    <x v="9"/>
    <x v="8"/>
    <x v="8"/>
    <x v="8"/>
    <x v="3"/>
    <x v="64"/>
    <x v="127"/>
    <x v="48"/>
    <x v="109"/>
    <x v="44"/>
    <x v="122"/>
    <x v="0"/>
  </r>
  <r>
    <x v="0"/>
    <x v="9"/>
    <x v="9"/>
    <x v="4"/>
    <x v="4"/>
    <x v="4"/>
    <x v="4"/>
    <x v="106"/>
    <x v="94"/>
    <x v="98"/>
    <x v="151"/>
    <x v="34"/>
    <x v="58"/>
    <x v="0"/>
  </r>
  <r>
    <x v="0"/>
    <x v="9"/>
    <x v="9"/>
    <x v="10"/>
    <x v="10"/>
    <x v="10"/>
    <x v="5"/>
    <x v="98"/>
    <x v="128"/>
    <x v="47"/>
    <x v="152"/>
    <x v="23"/>
    <x v="123"/>
    <x v="0"/>
  </r>
  <r>
    <x v="0"/>
    <x v="9"/>
    <x v="9"/>
    <x v="7"/>
    <x v="7"/>
    <x v="7"/>
    <x v="5"/>
    <x v="98"/>
    <x v="128"/>
    <x v="36"/>
    <x v="153"/>
    <x v="71"/>
    <x v="121"/>
    <x v="0"/>
  </r>
  <r>
    <x v="0"/>
    <x v="9"/>
    <x v="9"/>
    <x v="5"/>
    <x v="5"/>
    <x v="5"/>
    <x v="5"/>
    <x v="98"/>
    <x v="128"/>
    <x v="96"/>
    <x v="114"/>
    <x v="42"/>
    <x v="20"/>
    <x v="0"/>
  </r>
  <r>
    <x v="0"/>
    <x v="9"/>
    <x v="9"/>
    <x v="6"/>
    <x v="6"/>
    <x v="6"/>
    <x v="8"/>
    <x v="83"/>
    <x v="129"/>
    <x v="91"/>
    <x v="154"/>
    <x v="64"/>
    <x v="124"/>
    <x v="0"/>
  </r>
  <r>
    <x v="0"/>
    <x v="9"/>
    <x v="9"/>
    <x v="2"/>
    <x v="2"/>
    <x v="2"/>
    <x v="9"/>
    <x v="85"/>
    <x v="130"/>
    <x v="76"/>
    <x v="50"/>
    <x v="73"/>
    <x v="46"/>
    <x v="0"/>
  </r>
  <r>
    <x v="0"/>
    <x v="9"/>
    <x v="9"/>
    <x v="13"/>
    <x v="13"/>
    <x v="13"/>
    <x v="10"/>
    <x v="87"/>
    <x v="98"/>
    <x v="84"/>
    <x v="155"/>
    <x v="72"/>
    <x v="125"/>
    <x v="0"/>
  </r>
  <r>
    <x v="0"/>
    <x v="9"/>
    <x v="9"/>
    <x v="14"/>
    <x v="14"/>
    <x v="14"/>
    <x v="11"/>
    <x v="88"/>
    <x v="120"/>
    <x v="61"/>
    <x v="156"/>
    <x v="44"/>
    <x v="122"/>
    <x v="0"/>
  </r>
  <r>
    <x v="0"/>
    <x v="9"/>
    <x v="9"/>
    <x v="18"/>
    <x v="18"/>
    <x v="18"/>
    <x v="11"/>
    <x v="88"/>
    <x v="120"/>
    <x v="32"/>
    <x v="157"/>
    <x v="58"/>
    <x v="78"/>
    <x v="0"/>
  </r>
  <r>
    <x v="0"/>
    <x v="9"/>
    <x v="9"/>
    <x v="11"/>
    <x v="11"/>
    <x v="11"/>
    <x v="11"/>
    <x v="88"/>
    <x v="120"/>
    <x v="60"/>
    <x v="158"/>
    <x v="53"/>
    <x v="126"/>
    <x v="0"/>
  </r>
  <r>
    <x v="0"/>
    <x v="9"/>
    <x v="9"/>
    <x v="9"/>
    <x v="9"/>
    <x v="9"/>
    <x v="11"/>
    <x v="88"/>
    <x v="120"/>
    <x v="33"/>
    <x v="159"/>
    <x v="75"/>
    <x v="120"/>
    <x v="0"/>
  </r>
  <r>
    <x v="0"/>
    <x v="9"/>
    <x v="9"/>
    <x v="28"/>
    <x v="28"/>
    <x v="28"/>
    <x v="15"/>
    <x v="95"/>
    <x v="122"/>
    <x v="61"/>
    <x v="156"/>
    <x v="65"/>
    <x v="127"/>
    <x v="0"/>
  </r>
  <r>
    <x v="0"/>
    <x v="9"/>
    <x v="9"/>
    <x v="16"/>
    <x v="16"/>
    <x v="16"/>
    <x v="16"/>
    <x v="90"/>
    <x v="33"/>
    <x v="62"/>
    <x v="36"/>
    <x v="55"/>
    <x v="128"/>
    <x v="0"/>
  </r>
  <r>
    <x v="0"/>
    <x v="9"/>
    <x v="9"/>
    <x v="34"/>
    <x v="34"/>
    <x v="34"/>
    <x v="17"/>
    <x v="91"/>
    <x v="63"/>
    <x v="76"/>
    <x v="50"/>
    <x v="34"/>
    <x v="58"/>
    <x v="0"/>
  </r>
  <r>
    <x v="0"/>
    <x v="9"/>
    <x v="9"/>
    <x v="15"/>
    <x v="15"/>
    <x v="15"/>
    <x v="18"/>
    <x v="92"/>
    <x v="131"/>
    <x v="91"/>
    <x v="154"/>
    <x v="44"/>
    <x v="122"/>
    <x v="0"/>
  </r>
  <r>
    <x v="0"/>
    <x v="9"/>
    <x v="9"/>
    <x v="37"/>
    <x v="37"/>
    <x v="37"/>
    <x v="19"/>
    <x v="96"/>
    <x v="36"/>
    <x v="91"/>
    <x v="154"/>
    <x v="23"/>
    <x v="123"/>
    <x v="0"/>
  </r>
  <r>
    <x v="0"/>
    <x v="10"/>
    <x v="10"/>
    <x v="0"/>
    <x v="0"/>
    <x v="0"/>
    <x v="0"/>
    <x v="107"/>
    <x v="132"/>
    <x v="99"/>
    <x v="160"/>
    <x v="43"/>
    <x v="88"/>
    <x v="0"/>
  </r>
  <r>
    <x v="0"/>
    <x v="10"/>
    <x v="10"/>
    <x v="1"/>
    <x v="1"/>
    <x v="1"/>
    <x v="1"/>
    <x v="78"/>
    <x v="133"/>
    <x v="100"/>
    <x v="161"/>
    <x v="70"/>
    <x v="121"/>
    <x v="0"/>
  </r>
  <r>
    <x v="0"/>
    <x v="10"/>
    <x v="10"/>
    <x v="3"/>
    <x v="3"/>
    <x v="3"/>
    <x v="2"/>
    <x v="67"/>
    <x v="1"/>
    <x v="37"/>
    <x v="162"/>
    <x v="39"/>
    <x v="46"/>
    <x v="0"/>
  </r>
  <r>
    <x v="0"/>
    <x v="10"/>
    <x v="10"/>
    <x v="6"/>
    <x v="6"/>
    <x v="6"/>
    <x v="3"/>
    <x v="98"/>
    <x v="134"/>
    <x v="91"/>
    <x v="138"/>
    <x v="68"/>
    <x v="129"/>
    <x v="0"/>
  </r>
  <r>
    <x v="0"/>
    <x v="10"/>
    <x v="10"/>
    <x v="5"/>
    <x v="5"/>
    <x v="5"/>
    <x v="4"/>
    <x v="108"/>
    <x v="135"/>
    <x v="33"/>
    <x v="163"/>
    <x v="71"/>
    <x v="53"/>
    <x v="0"/>
  </r>
  <r>
    <x v="0"/>
    <x v="10"/>
    <x v="10"/>
    <x v="13"/>
    <x v="13"/>
    <x v="13"/>
    <x v="5"/>
    <x v="88"/>
    <x v="136"/>
    <x v="96"/>
    <x v="126"/>
    <x v="71"/>
    <x v="53"/>
    <x v="0"/>
  </r>
  <r>
    <x v="0"/>
    <x v="10"/>
    <x v="10"/>
    <x v="4"/>
    <x v="4"/>
    <x v="4"/>
    <x v="5"/>
    <x v="88"/>
    <x v="136"/>
    <x v="101"/>
    <x v="164"/>
    <x v="70"/>
    <x v="121"/>
    <x v="0"/>
  </r>
  <r>
    <x v="0"/>
    <x v="10"/>
    <x v="10"/>
    <x v="8"/>
    <x v="8"/>
    <x v="8"/>
    <x v="7"/>
    <x v="109"/>
    <x v="137"/>
    <x v="60"/>
    <x v="165"/>
    <x v="72"/>
    <x v="123"/>
    <x v="0"/>
  </r>
  <r>
    <x v="0"/>
    <x v="10"/>
    <x v="10"/>
    <x v="10"/>
    <x v="10"/>
    <x v="10"/>
    <x v="8"/>
    <x v="90"/>
    <x v="138"/>
    <x v="87"/>
    <x v="30"/>
    <x v="55"/>
    <x v="130"/>
    <x v="0"/>
  </r>
  <r>
    <x v="0"/>
    <x v="10"/>
    <x v="10"/>
    <x v="29"/>
    <x v="29"/>
    <x v="29"/>
    <x v="9"/>
    <x v="91"/>
    <x v="139"/>
    <x v="60"/>
    <x v="165"/>
    <x v="43"/>
    <x v="88"/>
    <x v="0"/>
  </r>
  <r>
    <x v="0"/>
    <x v="10"/>
    <x v="10"/>
    <x v="2"/>
    <x v="2"/>
    <x v="2"/>
    <x v="10"/>
    <x v="99"/>
    <x v="13"/>
    <x v="87"/>
    <x v="30"/>
    <x v="39"/>
    <x v="46"/>
    <x v="0"/>
  </r>
  <r>
    <x v="0"/>
    <x v="10"/>
    <x v="10"/>
    <x v="11"/>
    <x v="11"/>
    <x v="11"/>
    <x v="11"/>
    <x v="104"/>
    <x v="32"/>
    <x v="32"/>
    <x v="131"/>
    <x v="43"/>
    <x v="88"/>
    <x v="0"/>
  </r>
  <r>
    <x v="0"/>
    <x v="10"/>
    <x v="10"/>
    <x v="16"/>
    <x v="16"/>
    <x v="16"/>
    <x v="11"/>
    <x v="104"/>
    <x v="32"/>
    <x v="94"/>
    <x v="166"/>
    <x v="26"/>
    <x v="131"/>
    <x v="0"/>
  </r>
  <r>
    <x v="0"/>
    <x v="10"/>
    <x v="10"/>
    <x v="9"/>
    <x v="9"/>
    <x v="9"/>
    <x v="11"/>
    <x v="104"/>
    <x v="32"/>
    <x v="75"/>
    <x v="158"/>
    <x v="70"/>
    <x v="121"/>
    <x v="0"/>
  </r>
  <r>
    <x v="0"/>
    <x v="10"/>
    <x v="10"/>
    <x v="27"/>
    <x v="27"/>
    <x v="27"/>
    <x v="14"/>
    <x v="110"/>
    <x v="51"/>
    <x v="74"/>
    <x v="167"/>
    <x v="70"/>
    <x v="121"/>
    <x v="0"/>
  </r>
  <r>
    <x v="0"/>
    <x v="10"/>
    <x v="10"/>
    <x v="7"/>
    <x v="7"/>
    <x v="7"/>
    <x v="14"/>
    <x v="110"/>
    <x v="51"/>
    <x v="74"/>
    <x v="167"/>
    <x v="70"/>
    <x v="121"/>
    <x v="0"/>
  </r>
  <r>
    <x v="0"/>
    <x v="10"/>
    <x v="10"/>
    <x v="38"/>
    <x v="38"/>
    <x v="38"/>
    <x v="14"/>
    <x v="110"/>
    <x v="51"/>
    <x v="93"/>
    <x v="132"/>
    <x v="70"/>
    <x v="121"/>
    <x v="0"/>
  </r>
  <r>
    <x v="0"/>
    <x v="10"/>
    <x v="10"/>
    <x v="14"/>
    <x v="14"/>
    <x v="14"/>
    <x v="17"/>
    <x v="111"/>
    <x v="64"/>
    <x v="82"/>
    <x v="146"/>
    <x v="39"/>
    <x v="46"/>
    <x v="0"/>
  </r>
  <r>
    <x v="0"/>
    <x v="10"/>
    <x v="10"/>
    <x v="18"/>
    <x v="18"/>
    <x v="18"/>
    <x v="17"/>
    <x v="111"/>
    <x v="64"/>
    <x v="82"/>
    <x v="146"/>
    <x v="39"/>
    <x v="46"/>
    <x v="0"/>
  </r>
  <r>
    <x v="0"/>
    <x v="10"/>
    <x v="10"/>
    <x v="34"/>
    <x v="34"/>
    <x v="34"/>
    <x v="17"/>
    <x v="111"/>
    <x v="64"/>
    <x v="61"/>
    <x v="97"/>
    <x v="43"/>
    <x v="88"/>
    <x v="0"/>
  </r>
  <r>
    <x v="0"/>
    <x v="11"/>
    <x v="11"/>
    <x v="0"/>
    <x v="0"/>
    <x v="0"/>
    <x v="0"/>
    <x v="63"/>
    <x v="140"/>
    <x v="83"/>
    <x v="168"/>
    <x v="43"/>
    <x v="132"/>
    <x v="0"/>
  </r>
  <r>
    <x v="0"/>
    <x v="11"/>
    <x v="11"/>
    <x v="1"/>
    <x v="1"/>
    <x v="1"/>
    <x v="1"/>
    <x v="106"/>
    <x v="141"/>
    <x v="102"/>
    <x v="169"/>
    <x v="70"/>
    <x v="133"/>
    <x v="0"/>
  </r>
  <r>
    <x v="0"/>
    <x v="11"/>
    <x v="11"/>
    <x v="2"/>
    <x v="2"/>
    <x v="2"/>
    <x v="2"/>
    <x v="85"/>
    <x v="142"/>
    <x v="66"/>
    <x v="170"/>
    <x v="42"/>
    <x v="134"/>
    <x v="0"/>
  </r>
  <r>
    <x v="0"/>
    <x v="11"/>
    <x v="11"/>
    <x v="12"/>
    <x v="12"/>
    <x v="12"/>
    <x v="3"/>
    <x v="89"/>
    <x v="143"/>
    <x v="66"/>
    <x v="170"/>
    <x v="43"/>
    <x v="132"/>
    <x v="0"/>
  </r>
  <r>
    <x v="0"/>
    <x v="11"/>
    <x v="11"/>
    <x v="11"/>
    <x v="11"/>
    <x v="11"/>
    <x v="4"/>
    <x v="92"/>
    <x v="144"/>
    <x v="38"/>
    <x v="171"/>
    <x v="43"/>
    <x v="132"/>
    <x v="0"/>
  </r>
  <r>
    <x v="0"/>
    <x v="11"/>
    <x v="11"/>
    <x v="7"/>
    <x v="7"/>
    <x v="7"/>
    <x v="5"/>
    <x v="96"/>
    <x v="145"/>
    <x v="60"/>
    <x v="172"/>
    <x v="70"/>
    <x v="133"/>
    <x v="0"/>
  </r>
  <r>
    <x v="0"/>
    <x v="11"/>
    <x v="11"/>
    <x v="20"/>
    <x v="20"/>
    <x v="20"/>
    <x v="5"/>
    <x v="96"/>
    <x v="145"/>
    <x v="47"/>
    <x v="173"/>
    <x v="75"/>
    <x v="120"/>
    <x v="0"/>
  </r>
  <r>
    <x v="0"/>
    <x v="11"/>
    <x v="11"/>
    <x v="4"/>
    <x v="4"/>
    <x v="4"/>
    <x v="7"/>
    <x v="100"/>
    <x v="3"/>
    <x v="76"/>
    <x v="108"/>
    <x v="70"/>
    <x v="133"/>
    <x v="0"/>
  </r>
  <r>
    <x v="0"/>
    <x v="11"/>
    <x v="11"/>
    <x v="3"/>
    <x v="3"/>
    <x v="3"/>
    <x v="8"/>
    <x v="111"/>
    <x v="9"/>
    <x v="61"/>
    <x v="174"/>
    <x v="43"/>
    <x v="132"/>
    <x v="0"/>
  </r>
  <r>
    <x v="0"/>
    <x v="11"/>
    <x v="11"/>
    <x v="8"/>
    <x v="8"/>
    <x v="8"/>
    <x v="8"/>
    <x v="111"/>
    <x v="9"/>
    <x v="51"/>
    <x v="175"/>
    <x v="34"/>
    <x v="86"/>
    <x v="0"/>
  </r>
  <r>
    <x v="0"/>
    <x v="11"/>
    <x v="11"/>
    <x v="6"/>
    <x v="6"/>
    <x v="6"/>
    <x v="10"/>
    <x v="112"/>
    <x v="59"/>
    <x v="103"/>
    <x v="52"/>
    <x v="55"/>
    <x v="135"/>
    <x v="0"/>
  </r>
  <r>
    <x v="0"/>
    <x v="11"/>
    <x v="11"/>
    <x v="14"/>
    <x v="14"/>
    <x v="14"/>
    <x v="11"/>
    <x v="113"/>
    <x v="30"/>
    <x v="103"/>
    <x v="52"/>
    <x v="53"/>
    <x v="136"/>
    <x v="0"/>
  </r>
  <r>
    <x v="0"/>
    <x v="11"/>
    <x v="11"/>
    <x v="13"/>
    <x v="13"/>
    <x v="13"/>
    <x v="11"/>
    <x v="113"/>
    <x v="30"/>
    <x v="64"/>
    <x v="176"/>
    <x v="34"/>
    <x v="86"/>
    <x v="0"/>
  </r>
  <r>
    <x v="0"/>
    <x v="11"/>
    <x v="11"/>
    <x v="18"/>
    <x v="18"/>
    <x v="18"/>
    <x v="11"/>
    <x v="113"/>
    <x v="30"/>
    <x v="94"/>
    <x v="177"/>
    <x v="72"/>
    <x v="137"/>
    <x v="0"/>
  </r>
  <r>
    <x v="0"/>
    <x v="11"/>
    <x v="11"/>
    <x v="9"/>
    <x v="9"/>
    <x v="9"/>
    <x v="11"/>
    <x v="113"/>
    <x v="30"/>
    <x v="61"/>
    <x v="174"/>
    <x v="75"/>
    <x v="120"/>
    <x v="0"/>
  </r>
  <r>
    <x v="0"/>
    <x v="11"/>
    <x v="11"/>
    <x v="15"/>
    <x v="15"/>
    <x v="15"/>
    <x v="15"/>
    <x v="114"/>
    <x v="62"/>
    <x v="91"/>
    <x v="178"/>
    <x v="59"/>
    <x v="138"/>
    <x v="0"/>
  </r>
  <r>
    <x v="0"/>
    <x v="11"/>
    <x v="11"/>
    <x v="39"/>
    <x v="39"/>
    <x v="39"/>
    <x v="15"/>
    <x v="114"/>
    <x v="62"/>
    <x v="63"/>
    <x v="179"/>
    <x v="71"/>
    <x v="139"/>
    <x v="0"/>
  </r>
  <r>
    <x v="0"/>
    <x v="11"/>
    <x v="11"/>
    <x v="17"/>
    <x v="17"/>
    <x v="17"/>
    <x v="15"/>
    <x v="114"/>
    <x v="62"/>
    <x v="82"/>
    <x v="157"/>
    <x v="43"/>
    <x v="132"/>
    <x v="0"/>
  </r>
  <r>
    <x v="0"/>
    <x v="11"/>
    <x v="11"/>
    <x v="16"/>
    <x v="16"/>
    <x v="16"/>
    <x v="15"/>
    <x v="114"/>
    <x v="62"/>
    <x v="82"/>
    <x v="157"/>
    <x v="43"/>
    <x v="132"/>
    <x v="0"/>
  </r>
  <r>
    <x v="0"/>
    <x v="11"/>
    <x v="11"/>
    <x v="10"/>
    <x v="10"/>
    <x v="10"/>
    <x v="19"/>
    <x v="115"/>
    <x v="131"/>
    <x v="64"/>
    <x v="176"/>
    <x v="43"/>
    <x v="132"/>
    <x v="0"/>
  </r>
  <r>
    <x v="0"/>
    <x v="11"/>
    <x v="11"/>
    <x v="21"/>
    <x v="21"/>
    <x v="21"/>
    <x v="19"/>
    <x v="115"/>
    <x v="131"/>
    <x v="64"/>
    <x v="176"/>
    <x v="43"/>
    <x v="132"/>
    <x v="0"/>
  </r>
  <r>
    <x v="0"/>
    <x v="12"/>
    <x v="12"/>
    <x v="0"/>
    <x v="0"/>
    <x v="0"/>
    <x v="0"/>
    <x v="81"/>
    <x v="146"/>
    <x v="35"/>
    <x v="180"/>
    <x v="75"/>
    <x v="120"/>
    <x v="0"/>
  </r>
  <r>
    <x v="0"/>
    <x v="12"/>
    <x v="12"/>
    <x v="1"/>
    <x v="1"/>
    <x v="1"/>
    <x v="1"/>
    <x v="66"/>
    <x v="147"/>
    <x v="59"/>
    <x v="181"/>
    <x v="71"/>
    <x v="140"/>
    <x v="0"/>
  </r>
  <r>
    <x v="0"/>
    <x v="12"/>
    <x v="12"/>
    <x v="2"/>
    <x v="2"/>
    <x v="2"/>
    <x v="2"/>
    <x v="116"/>
    <x v="113"/>
    <x v="50"/>
    <x v="182"/>
    <x v="53"/>
    <x v="14"/>
    <x v="0"/>
  </r>
  <r>
    <x v="0"/>
    <x v="12"/>
    <x v="12"/>
    <x v="6"/>
    <x v="6"/>
    <x v="6"/>
    <x v="3"/>
    <x v="87"/>
    <x v="148"/>
    <x v="51"/>
    <x v="183"/>
    <x v="49"/>
    <x v="141"/>
    <x v="0"/>
  </r>
  <r>
    <x v="0"/>
    <x v="12"/>
    <x v="12"/>
    <x v="9"/>
    <x v="9"/>
    <x v="9"/>
    <x v="4"/>
    <x v="109"/>
    <x v="149"/>
    <x v="47"/>
    <x v="184"/>
    <x v="39"/>
    <x v="142"/>
    <x v="0"/>
  </r>
  <r>
    <x v="0"/>
    <x v="12"/>
    <x v="12"/>
    <x v="13"/>
    <x v="13"/>
    <x v="13"/>
    <x v="5"/>
    <x v="89"/>
    <x v="150"/>
    <x v="47"/>
    <x v="184"/>
    <x v="34"/>
    <x v="114"/>
    <x v="0"/>
  </r>
  <r>
    <x v="0"/>
    <x v="12"/>
    <x v="12"/>
    <x v="8"/>
    <x v="8"/>
    <x v="8"/>
    <x v="6"/>
    <x v="95"/>
    <x v="151"/>
    <x v="84"/>
    <x v="93"/>
    <x v="43"/>
    <x v="143"/>
    <x v="0"/>
  </r>
  <r>
    <x v="0"/>
    <x v="12"/>
    <x v="12"/>
    <x v="10"/>
    <x v="10"/>
    <x v="10"/>
    <x v="7"/>
    <x v="92"/>
    <x v="152"/>
    <x v="63"/>
    <x v="185"/>
    <x v="65"/>
    <x v="144"/>
    <x v="0"/>
  </r>
  <r>
    <x v="0"/>
    <x v="12"/>
    <x v="12"/>
    <x v="3"/>
    <x v="3"/>
    <x v="3"/>
    <x v="8"/>
    <x v="99"/>
    <x v="153"/>
    <x v="74"/>
    <x v="186"/>
    <x v="34"/>
    <x v="114"/>
    <x v="0"/>
  </r>
  <r>
    <x v="0"/>
    <x v="12"/>
    <x v="12"/>
    <x v="40"/>
    <x v="40"/>
    <x v="40"/>
    <x v="8"/>
    <x v="99"/>
    <x v="153"/>
    <x v="61"/>
    <x v="187"/>
    <x v="72"/>
    <x v="68"/>
    <x v="0"/>
  </r>
  <r>
    <x v="0"/>
    <x v="12"/>
    <x v="12"/>
    <x v="14"/>
    <x v="14"/>
    <x v="14"/>
    <x v="10"/>
    <x v="97"/>
    <x v="73"/>
    <x v="86"/>
    <x v="178"/>
    <x v="26"/>
    <x v="145"/>
    <x v="0"/>
  </r>
  <r>
    <x v="0"/>
    <x v="12"/>
    <x v="12"/>
    <x v="7"/>
    <x v="7"/>
    <x v="7"/>
    <x v="10"/>
    <x v="97"/>
    <x v="73"/>
    <x v="29"/>
    <x v="63"/>
    <x v="70"/>
    <x v="146"/>
    <x v="0"/>
  </r>
  <r>
    <x v="0"/>
    <x v="12"/>
    <x v="12"/>
    <x v="5"/>
    <x v="5"/>
    <x v="5"/>
    <x v="10"/>
    <x v="97"/>
    <x v="73"/>
    <x v="29"/>
    <x v="63"/>
    <x v="70"/>
    <x v="146"/>
    <x v="0"/>
  </r>
  <r>
    <x v="0"/>
    <x v="12"/>
    <x v="12"/>
    <x v="15"/>
    <x v="15"/>
    <x v="15"/>
    <x v="13"/>
    <x v="104"/>
    <x v="74"/>
    <x v="64"/>
    <x v="146"/>
    <x v="42"/>
    <x v="147"/>
    <x v="0"/>
  </r>
  <r>
    <x v="0"/>
    <x v="12"/>
    <x v="12"/>
    <x v="11"/>
    <x v="11"/>
    <x v="11"/>
    <x v="13"/>
    <x v="104"/>
    <x v="74"/>
    <x v="62"/>
    <x v="188"/>
    <x v="59"/>
    <x v="48"/>
    <x v="0"/>
  </r>
  <r>
    <x v="0"/>
    <x v="12"/>
    <x v="12"/>
    <x v="4"/>
    <x v="4"/>
    <x v="4"/>
    <x v="13"/>
    <x v="104"/>
    <x v="74"/>
    <x v="87"/>
    <x v="167"/>
    <x v="40"/>
    <x v="148"/>
    <x v="0"/>
  </r>
  <r>
    <x v="0"/>
    <x v="12"/>
    <x v="12"/>
    <x v="22"/>
    <x v="22"/>
    <x v="22"/>
    <x v="13"/>
    <x v="104"/>
    <x v="74"/>
    <x v="32"/>
    <x v="189"/>
    <x v="43"/>
    <x v="143"/>
    <x v="0"/>
  </r>
  <r>
    <x v="0"/>
    <x v="12"/>
    <x v="12"/>
    <x v="29"/>
    <x v="29"/>
    <x v="29"/>
    <x v="17"/>
    <x v="111"/>
    <x v="154"/>
    <x v="51"/>
    <x v="183"/>
    <x v="34"/>
    <x v="114"/>
    <x v="0"/>
  </r>
  <r>
    <x v="0"/>
    <x v="12"/>
    <x v="12"/>
    <x v="17"/>
    <x v="17"/>
    <x v="17"/>
    <x v="17"/>
    <x v="111"/>
    <x v="154"/>
    <x v="62"/>
    <x v="188"/>
    <x v="40"/>
    <x v="148"/>
    <x v="0"/>
  </r>
  <r>
    <x v="0"/>
    <x v="12"/>
    <x v="12"/>
    <x v="18"/>
    <x v="18"/>
    <x v="18"/>
    <x v="19"/>
    <x v="112"/>
    <x v="155"/>
    <x v="91"/>
    <x v="130"/>
    <x v="53"/>
    <x v="14"/>
    <x v="0"/>
  </r>
  <r>
    <x v="0"/>
    <x v="12"/>
    <x v="12"/>
    <x v="41"/>
    <x v="41"/>
    <x v="41"/>
    <x v="19"/>
    <x v="112"/>
    <x v="155"/>
    <x v="32"/>
    <x v="189"/>
    <x v="75"/>
    <x v="120"/>
    <x v="0"/>
  </r>
  <r>
    <x v="0"/>
    <x v="13"/>
    <x v="13"/>
    <x v="0"/>
    <x v="0"/>
    <x v="0"/>
    <x v="0"/>
    <x v="117"/>
    <x v="156"/>
    <x v="54"/>
    <x v="190"/>
    <x v="42"/>
    <x v="149"/>
    <x v="0"/>
  </r>
  <r>
    <x v="0"/>
    <x v="13"/>
    <x v="13"/>
    <x v="42"/>
    <x v="42"/>
    <x v="42"/>
    <x v="1"/>
    <x v="35"/>
    <x v="157"/>
    <x v="104"/>
    <x v="191"/>
    <x v="59"/>
    <x v="150"/>
    <x v="0"/>
  </r>
  <r>
    <x v="0"/>
    <x v="13"/>
    <x v="13"/>
    <x v="2"/>
    <x v="2"/>
    <x v="2"/>
    <x v="2"/>
    <x v="118"/>
    <x v="158"/>
    <x v="88"/>
    <x v="192"/>
    <x v="23"/>
    <x v="151"/>
    <x v="0"/>
  </r>
  <r>
    <x v="0"/>
    <x v="13"/>
    <x v="13"/>
    <x v="3"/>
    <x v="3"/>
    <x v="3"/>
    <x v="3"/>
    <x v="119"/>
    <x v="159"/>
    <x v="105"/>
    <x v="44"/>
    <x v="44"/>
    <x v="152"/>
    <x v="0"/>
  </r>
  <r>
    <x v="0"/>
    <x v="13"/>
    <x v="13"/>
    <x v="1"/>
    <x v="1"/>
    <x v="1"/>
    <x v="3"/>
    <x v="119"/>
    <x v="159"/>
    <x v="106"/>
    <x v="193"/>
    <x v="34"/>
    <x v="110"/>
    <x v="0"/>
  </r>
  <r>
    <x v="0"/>
    <x v="13"/>
    <x v="13"/>
    <x v="11"/>
    <x v="11"/>
    <x v="11"/>
    <x v="5"/>
    <x v="81"/>
    <x v="6"/>
    <x v="48"/>
    <x v="194"/>
    <x v="73"/>
    <x v="153"/>
    <x v="0"/>
  </r>
  <r>
    <x v="0"/>
    <x v="13"/>
    <x v="13"/>
    <x v="5"/>
    <x v="5"/>
    <x v="5"/>
    <x v="6"/>
    <x v="101"/>
    <x v="118"/>
    <x v="49"/>
    <x v="195"/>
    <x v="39"/>
    <x v="154"/>
    <x v="0"/>
  </r>
  <r>
    <x v="0"/>
    <x v="13"/>
    <x v="13"/>
    <x v="12"/>
    <x v="12"/>
    <x v="12"/>
    <x v="7"/>
    <x v="55"/>
    <x v="152"/>
    <x v="37"/>
    <x v="196"/>
    <x v="53"/>
    <x v="155"/>
    <x v="0"/>
  </r>
  <r>
    <x v="0"/>
    <x v="13"/>
    <x v="13"/>
    <x v="13"/>
    <x v="13"/>
    <x v="13"/>
    <x v="8"/>
    <x v="79"/>
    <x v="160"/>
    <x v="52"/>
    <x v="197"/>
    <x v="34"/>
    <x v="110"/>
    <x v="0"/>
  </r>
  <r>
    <x v="0"/>
    <x v="13"/>
    <x v="13"/>
    <x v="6"/>
    <x v="6"/>
    <x v="6"/>
    <x v="9"/>
    <x v="93"/>
    <x v="161"/>
    <x v="74"/>
    <x v="198"/>
    <x v="61"/>
    <x v="156"/>
    <x v="0"/>
  </r>
  <r>
    <x v="0"/>
    <x v="13"/>
    <x v="13"/>
    <x v="4"/>
    <x v="4"/>
    <x v="4"/>
    <x v="9"/>
    <x v="93"/>
    <x v="161"/>
    <x v="36"/>
    <x v="199"/>
    <x v="39"/>
    <x v="154"/>
    <x v="0"/>
  </r>
  <r>
    <x v="0"/>
    <x v="13"/>
    <x v="13"/>
    <x v="43"/>
    <x v="43"/>
    <x v="43"/>
    <x v="11"/>
    <x v="116"/>
    <x v="162"/>
    <x v="29"/>
    <x v="36"/>
    <x v="52"/>
    <x v="113"/>
    <x v="0"/>
  </r>
  <r>
    <x v="0"/>
    <x v="13"/>
    <x v="13"/>
    <x v="8"/>
    <x v="8"/>
    <x v="8"/>
    <x v="12"/>
    <x v="102"/>
    <x v="119"/>
    <x v="81"/>
    <x v="200"/>
    <x v="58"/>
    <x v="157"/>
    <x v="0"/>
  </r>
  <r>
    <x v="0"/>
    <x v="13"/>
    <x v="13"/>
    <x v="7"/>
    <x v="7"/>
    <x v="7"/>
    <x v="13"/>
    <x v="98"/>
    <x v="86"/>
    <x v="48"/>
    <x v="194"/>
    <x v="70"/>
    <x v="87"/>
    <x v="0"/>
  </r>
  <r>
    <x v="0"/>
    <x v="13"/>
    <x v="13"/>
    <x v="10"/>
    <x v="10"/>
    <x v="10"/>
    <x v="14"/>
    <x v="83"/>
    <x v="74"/>
    <x v="47"/>
    <x v="141"/>
    <x v="58"/>
    <x v="157"/>
    <x v="0"/>
  </r>
  <r>
    <x v="0"/>
    <x v="13"/>
    <x v="13"/>
    <x v="44"/>
    <x v="44"/>
    <x v="44"/>
    <x v="15"/>
    <x v="85"/>
    <x v="31"/>
    <x v="84"/>
    <x v="201"/>
    <x v="42"/>
    <x v="149"/>
    <x v="1"/>
  </r>
  <r>
    <x v="0"/>
    <x v="13"/>
    <x v="13"/>
    <x v="9"/>
    <x v="9"/>
    <x v="9"/>
    <x v="16"/>
    <x v="108"/>
    <x v="100"/>
    <x v="101"/>
    <x v="112"/>
    <x v="71"/>
    <x v="146"/>
    <x v="1"/>
  </r>
  <r>
    <x v="0"/>
    <x v="13"/>
    <x v="13"/>
    <x v="28"/>
    <x v="28"/>
    <x v="28"/>
    <x v="17"/>
    <x v="88"/>
    <x v="111"/>
    <x v="62"/>
    <x v="202"/>
    <x v="69"/>
    <x v="158"/>
    <x v="0"/>
  </r>
  <r>
    <x v="0"/>
    <x v="13"/>
    <x v="13"/>
    <x v="36"/>
    <x v="36"/>
    <x v="36"/>
    <x v="17"/>
    <x v="88"/>
    <x v="111"/>
    <x v="38"/>
    <x v="203"/>
    <x v="42"/>
    <x v="149"/>
    <x v="0"/>
  </r>
  <r>
    <x v="0"/>
    <x v="13"/>
    <x v="13"/>
    <x v="16"/>
    <x v="16"/>
    <x v="16"/>
    <x v="17"/>
    <x v="88"/>
    <x v="111"/>
    <x v="76"/>
    <x v="204"/>
    <x v="55"/>
    <x v="159"/>
    <x v="0"/>
  </r>
  <r>
    <x v="0"/>
    <x v="14"/>
    <x v="14"/>
    <x v="0"/>
    <x v="0"/>
    <x v="0"/>
    <x v="0"/>
    <x v="44"/>
    <x v="163"/>
    <x v="44"/>
    <x v="205"/>
    <x v="71"/>
    <x v="65"/>
    <x v="0"/>
  </r>
  <r>
    <x v="0"/>
    <x v="14"/>
    <x v="14"/>
    <x v="1"/>
    <x v="1"/>
    <x v="1"/>
    <x v="1"/>
    <x v="120"/>
    <x v="164"/>
    <x v="30"/>
    <x v="206"/>
    <x v="53"/>
    <x v="160"/>
    <x v="0"/>
  </r>
  <r>
    <x v="0"/>
    <x v="14"/>
    <x v="14"/>
    <x v="9"/>
    <x v="9"/>
    <x v="9"/>
    <x v="2"/>
    <x v="121"/>
    <x v="134"/>
    <x v="107"/>
    <x v="207"/>
    <x v="34"/>
    <x v="161"/>
    <x v="0"/>
  </r>
  <r>
    <x v="0"/>
    <x v="14"/>
    <x v="14"/>
    <x v="12"/>
    <x v="12"/>
    <x v="12"/>
    <x v="3"/>
    <x v="53"/>
    <x v="145"/>
    <x v="25"/>
    <x v="208"/>
    <x v="53"/>
    <x v="160"/>
    <x v="0"/>
  </r>
  <r>
    <x v="0"/>
    <x v="14"/>
    <x v="14"/>
    <x v="7"/>
    <x v="7"/>
    <x v="7"/>
    <x v="4"/>
    <x v="54"/>
    <x v="165"/>
    <x v="108"/>
    <x v="209"/>
    <x v="34"/>
    <x v="161"/>
    <x v="0"/>
  </r>
  <r>
    <x v="0"/>
    <x v="14"/>
    <x v="14"/>
    <x v="2"/>
    <x v="2"/>
    <x v="2"/>
    <x v="5"/>
    <x v="101"/>
    <x v="166"/>
    <x v="96"/>
    <x v="210"/>
    <x v="54"/>
    <x v="30"/>
    <x v="0"/>
  </r>
  <r>
    <x v="0"/>
    <x v="14"/>
    <x v="14"/>
    <x v="16"/>
    <x v="16"/>
    <x v="16"/>
    <x v="6"/>
    <x v="66"/>
    <x v="68"/>
    <x v="64"/>
    <x v="87"/>
    <x v="62"/>
    <x v="162"/>
    <x v="0"/>
  </r>
  <r>
    <x v="0"/>
    <x v="14"/>
    <x v="14"/>
    <x v="4"/>
    <x v="4"/>
    <x v="4"/>
    <x v="6"/>
    <x v="66"/>
    <x v="68"/>
    <x v="102"/>
    <x v="7"/>
    <x v="53"/>
    <x v="160"/>
    <x v="0"/>
  </r>
  <r>
    <x v="0"/>
    <x v="14"/>
    <x v="14"/>
    <x v="8"/>
    <x v="8"/>
    <x v="8"/>
    <x v="8"/>
    <x v="116"/>
    <x v="94"/>
    <x v="29"/>
    <x v="144"/>
    <x v="52"/>
    <x v="163"/>
    <x v="0"/>
  </r>
  <r>
    <x v="0"/>
    <x v="14"/>
    <x v="14"/>
    <x v="13"/>
    <x v="13"/>
    <x v="13"/>
    <x v="9"/>
    <x v="103"/>
    <x v="161"/>
    <x v="66"/>
    <x v="186"/>
    <x v="26"/>
    <x v="128"/>
    <x v="0"/>
  </r>
  <r>
    <x v="0"/>
    <x v="14"/>
    <x v="14"/>
    <x v="11"/>
    <x v="11"/>
    <x v="11"/>
    <x v="10"/>
    <x v="85"/>
    <x v="11"/>
    <x v="75"/>
    <x v="47"/>
    <x v="44"/>
    <x v="8"/>
    <x v="0"/>
  </r>
  <r>
    <x v="0"/>
    <x v="14"/>
    <x v="14"/>
    <x v="17"/>
    <x v="17"/>
    <x v="17"/>
    <x v="11"/>
    <x v="108"/>
    <x v="86"/>
    <x v="32"/>
    <x v="211"/>
    <x v="44"/>
    <x v="8"/>
    <x v="0"/>
  </r>
  <r>
    <x v="0"/>
    <x v="14"/>
    <x v="14"/>
    <x v="22"/>
    <x v="22"/>
    <x v="22"/>
    <x v="12"/>
    <x v="87"/>
    <x v="121"/>
    <x v="85"/>
    <x v="71"/>
    <x v="34"/>
    <x v="161"/>
    <x v="0"/>
  </r>
  <r>
    <x v="0"/>
    <x v="14"/>
    <x v="14"/>
    <x v="5"/>
    <x v="5"/>
    <x v="5"/>
    <x v="12"/>
    <x v="87"/>
    <x v="121"/>
    <x v="85"/>
    <x v="71"/>
    <x v="34"/>
    <x v="161"/>
    <x v="0"/>
  </r>
  <r>
    <x v="0"/>
    <x v="14"/>
    <x v="14"/>
    <x v="6"/>
    <x v="6"/>
    <x v="6"/>
    <x v="14"/>
    <x v="88"/>
    <x v="30"/>
    <x v="92"/>
    <x v="212"/>
    <x v="61"/>
    <x v="113"/>
    <x v="0"/>
  </r>
  <r>
    <x v="0"/>
    <x v="14"/>
    <x v="14"/>
    <x v="15"/>
    <x v="15"/>
    <x v="15"/>
    <x v="14"/>
    <x v="88"/>
    <x v="30"/>
    <x v="91"/>
    <x v="166"/>
    <x v="52"/>
    <x v="163"/>
    <x v="0"/>
  </r>
  <r>
    <x v="0"/>
    <x v="14"/>
    <x v="14"/>
    <x v="19"/>
    <x v="19"/>
    <x v="19"/>
    <x v="14"/>
    <x v="88"/>
    <x v="30"/>
    <x v="91"/>
    <x v="166"/>
    <x v="52"/>
    <x v="163"/>
    <x v="0"/>
  </r>
  <r>
    <x v="0"/>
    <x v="14"/>
    <x v="14"/>
    <x v="20"/>
    <x v="20"/>
    <x v="20"/>
    <x v="14"/>
    <x v="88"/>
    <x v="30"/>
    <x v="101"/>
    <x v="33"/>
    <x v="70"/>
    <x v="164"/>
    <x v="0"/>
  </r>
  <r>
    <x v="0"/>
    <x v="14"/>
    <x v="14"/>
    <x v="33"/>
    <x v="33"/>
    <x v="33"/>
    <x v="18"/>
    <x v="94"/>
    <x v="122"/>
    <x v="86"/>
    <x v="125"/>
    <x v="54"/>
    <x v="30"/>
    <x v="0"/>
  </r>
  <r>
    <x v="0"/>
    <x v="14"/>
    <x v="14"/>
    <x v="45"/>
    <x v="45"/>
    <x v="45"/>
    <x v="18"/>
    <x v="94"/>
    <x v="122"/>
    <x v="75"/>
    <x v="47"/>
    <x v="55"/>
    <x v="165"/>
    <x v="0"/>
  </r>
  <r>
    <x v="0"/>
    <x v="14"/>
    <x v="14"/>
    <x v="46"/>
    <x v="46"/>
    <x v="46"/>
    <x v="18"/>
    <x v="94"/>
    <x v="122"/>
    <x v="103"/>
    <x v="213"/>
    <x v="52"/>
    <x v="163"/>
    <x v="0"/>
  </r>
  <r>
    <x v="0"/>
    <x v="15"/>
    <x v="15"/>
    <x v="0"/>
    <x v="0"/>
    <x v="0"/>
    <x v="0"/>
    <x v="122"/>
    <x v="65"/>
    <x v="109"/>
    <x v="214"/>
    <x v="59"/>
    <x v="119"/>
    <x v="0"/>
  </r>
  <r>
    <x v="0"/>
    <x v="15"/>
    <x v="15"/>
    <x v="2"/>
    <x v="2"/>
    <x v="2"/>
    <x v="1"/>
    <x v="107"/>
    <x v="167"/>
    <x v="65"/>
    <x v="215"/>
    <x v="66"/>
    <x v="166"/>
    <x v="0"/>
  </r>
  <r>
    <x v="0"/>
    <x v="15"/>
    <x v="15"/>
    <x v="1"/>
    <x v="1"/>
    <x v="1"/>
    <x v="2"/>
    <x v="78"/>
    <x v="168"/>
    <x v="89"/>
    <x v="216"/>
    <x v="34"/>
    <x v="167"/>
    <x v="0"/>
  </r>
  <r>
    <x v="0"/>
    <x v="15"/>
    <x v="15"/>
    <x v="9"/>
    <x v="9"/>
    <x v="9"/>
    <x v="3"/>
    <x v="101"/>
    <x v="169"/>
    <x v="52"/>
    <x v="217"/>
    <x v="42"/>
    <x v="35"/>
    <x v="0"/>
  </r>
  <r>
    <x v="0"/>
    <x v="15"/>
    <x v="15"/>
    <x v="12"/>
    <x v="12"/>
    <x v="12"/>
    <x v="4"/>
    <x v="68"/>
    <x v="41"/>
    <x v="36"/>
    <x v="218"/>
    <x v="72"/>
    <x v="101"/>
    <x v="0"/>
  </r>
  <r>
    <x v="0"/>
    <x v="15"/>
    <x v="15"/>
    <x v="7"/>
    <x v="7"/>
    <x v="7"/>
    <x v="5"/>
    <x v="93"/>
    <x v="170"/>
    <x v="37"/>
    <x v="219"/>
    <x v="40"/>
    <x v="109"/>
    <x v="0"/>
  </r>
  <r>
    <x v="0"/>
    <x v="15"/>
    <x v="15"/>
    <x v="4"/>
    <x v="4"/>
    <x v="4"/>
    <x v="6"/>
    <x v="83"/>
    <x v="171"/>
    <x v="80"/>
    <x v="220"/>
    <x v="42"/>
    <x v="35"/>
    <x v="0"/>
  </r>
  <r>
    <x v="0"/>
    <x v="15"/>
    <x v="15"/>
    <x v="8"/>
    <x v="8"/>
    <x v="8"/>
    <x v="7"/>
    <x v="85"/>
    <x v="172"/>
    <x v="47"/>
    <x v="221"/>
    <x v="26"/>
    <x v="15"/>
    <x v="0"/>
  </r>
  <r>
    <x v="0"/>
    <x v="15"/>
    <x v="15"/>
    <x v="6"/>
    <x v="6"/>
    <x v="6"/>
    <x v="8"/>
    <x v="108"/>
    <x v="173"/>
    <x v="91"/>
    <x v="125"/>
    <x v="50"/>
    <x v="168"/>
    <x v="0"/>
  </r>
  <r>
    <x v="0"/>
    <x v="15"/>
    <x v="15"/>
    <x v="13"/>
    <x v="13"/>
    <x v="13"/>
    <x v="9"/>
    <x v="88"/>
    <x v="10"/>
    <x v="76"/>
    <x v="13"/>
    <x v="55"/>
    <x v="28"/>
    <x v="0"/>
  </r>
  <r>
    <x v="0"/>
    <x v="15"/>
    <x v="15"/>
    <x v="17"/>
    <x v="17"/>
    <x v="17"/>
    <x v="9"/>
    <x v="88"/>
    <x v="10"/>
    <x v="32"/>
    <x v="127"/>
    <x v="58"/>
    <x v="44"/>
    <x v="0"/>
  </r>
  <r>
    <x v="0"/>
    <x v="15"/>
    <x v="15"/>
    <x v="11"/>
    <x v="11"/>
    <x v="11"/>
    <x v="9"/>
    <x v="88"/>
    <x v="10"/>
    <x v="38"/>
    <x v="155"/>
    <x v="42"/>
    <x v="35"/>
    <x v="0"/>
  </r>
  <r>
    <x v="0"/>
    <x v="15"/>
    <x v="15"/>
    <x v="46"/>
    <x v="46"/>
    <x v="46"/>
    <x v="12"/>
    <x v="89"/>
    <x v="12"/>
    <x v="103"/>
    <x v="222"/>
    <x v="74"/>
    <x v="106"/>
    <x v="0"/>
  </r>
  <r>
    <x v="0"/>
    <x v="15"/>
    <x v="15"/>
    <x v="3"/>
    <x v="3"/>
    <x v="3"/>
    <x v="13"/>
    <x v="95"/>
    <x v="47"/>
    <x v="62"/>
    <x v="223"/>
    <x v="73"/>
    <x v="107"/>
    <x v="0"/>
  </r>
  <r>
    <x v="0"/>
    <x v="15"/>
    <x v="15"/>
    <x v="10"/>
    <x v="10"/>
    <x v="10"/>
    <x v="14"/>
    <x v="90"/>
    <x v="174"/>
    <x v="51"/>
    <x v="224"/>
    <x v="73"/>
    <x v="107"/>
    <x v="0"/>
  </r>
  <r>
    <x v="0"/>
    <x v="15"/>
    <x v="15"/>
    <x v="29"/>
    <x v="29"/>
    <x v="29"/>
    <x v="15"/>
    <x v="91"/>
    <x v="49"/>
    <x v="75"/>
    <x v="225"/>
    <x v="39"/>
    <x v="56"/>
    <x v="0"/>
  </r>
  <r>
    <x v="0"/>
    <x v="15"/>
    <x v="15"/>
    <x v="21"/>
    <x v="21"/>
    <x v="21"/>
    <x v="15"/>
    <x v="91"/>
    <x v="49"/>
    <x v="32"/>
    <x v="127"/>
    <x v="53"/>
    <x v="33"/>
    <x v="0"/>
  </r>
  <r>
    <x v="0"/>
    <x v="15"/>
    <x v="15"/>
    <x v="19"/>
    <x v="19"/>
    <x v="19"/>
    <x v="17"/>
    <x v="96"/>
    <x v="123"/>
    <x v="86"/>
    <x v="226"/>
    <x v="58"/>
    <x v="44"/>
    <x v="0"/>
  </r>
  <r>
    <x v="0"/>
    <x v="15"/>
    <x v="15"/>
    <x v="47"/>
    <x v="47"/>
    <x v="47"/>
    <x v="18"/>
    <x v="100"/>
    <x v="16"/>
    <x v="61"/>
    <x v="51"/>
    <x v="39"/>
    <x v="56"/>
    <x v="0"/>
  </r>
  <r>
    <x v="0"/>
    <x v="15"/>
    <x v="15"/>
    <x v="33"/>
    <x v="33"/>
    <x v="33"/>
    <x v="19"/>
    <x v="97"/>
    <x v="175"/>
    <x v="94"/>
    <x v="31"/>
    <x v="73"/>
    <x v="107"/>
    <x v="0"/>
  </r>
  <r>
    <x v="0"/>
    <x v="15"/>
    <x v="15"/>
    <x v="16"/>
    <x v="16"/>
    <x v="16"/>
    <x v="19"/>
    <x v="97"/>
    <x v="175"/>
    <x v="64"/>
    <x v="16"/>
    <x v="55"/>
    <x v="28"/>
    <x v="0"/>
  </r>
  <r>
    <x v="0"/>
    <x v="16"/>
    <x v="16"/>
    <x v="0"/>
    <x v="0"/>
    <x v="0"/>
    <x v="0"/>
    <x v="123"/>
    <x v="176"/>
    <x v="23"/>
    <x v="227"/>
    <x v="61"/>
    <x v="169"/>
    <x v="0"/>
  </r>
  <r>
    <x v="0"/>
    <x v="16"/>
    <x v="16"/>
    <x v="2"/>
    <x v="2"/>
    <x v="2"/>
    <x v="1"/>
    <x v="124"/>
    <x v="177"/>
    <x v="71"/>
    <x v="228"/>
    <x v="76"/>
    <x v="170"/>
    <x v="0"/>
  </r>
  <r>
    <x v="0"/>
    <x v="16"/>
    <x v="16"/>
    <x v="1"/>
    <x v="1"/>
    <x v="1"/>
    <x v="2"/>
    <x v="125"/>
    <x v="178"/>
    <x v="110"/>
    <x v="229"/>
    <x v="39"/>
    <x v="146"/>
    <x v="0"/>
  </r>
  <r>
    <x v="0"/>
    <x v="16"/>
    <x v="16"/>
    <x v="6"/>
    <x v="6"/>
    <x v="6"/>
    <x v="3"/>
    <x v="126"/>
    <x v="135"/>
    <x v="76"/>
    <x v="230"/>
    <x v="77"/>
    <x v="171"/>
    <x v="0"/>
  </r>
  <r>
    <x v="0"/>
    <x v="16"/>
    <x v="16"/>
    <x v="4"/>
    <x v="4"/>
    <x v="4"/>
    <x v="4"/>
    <x v="127"/>
    <x v="136"/>
    <x v="109"/>
    <x v="231"/>
    <x v="64"/>
    <x v="111"/>
    <x v="0"/>
  </r>
  <r>
    <x v="0"/>
    <x v="16"/>
    <x v="16"/>
    <x v="5"/>
    <x v="5"/>
    <x v="5"/>
    <x v="5"/>
    <x v="34"/>
    <x v="7"/>
    <x v="72"/>
    <x v="232"/>
    <x v="50"/>
    <x v="56"/>
    <x v="0"/>
  </r>
  <r>
    <x v="0"/>
    <x v="16"/>
    <x v="16"/>
    <x v="9"/>
    <x v="9"/>
    <x v="9"/>
    <x v="6"/>
    <x v="128"/>
    <x v="118"/>
    <x v="45"/>
    <x v="233"/>
    <x v="73"/>
    <x v="172"/>
    <x v="0"/>
  </r>
  <r>
    <x v="0"/>
    <x v="16"/>
    <x v="16"/>
    <x v="3"/>
    <x v="3"/>
    <x v="3"/>
    <x v="7"/>
    <x v="129"/>
    <x v="57"/>
    <x v="102"/>
    <x v="234"/>
    <x v="30"/>
    <x v="151"/>
    <x v="0"/>
  </r>
  <r>
    <x v="0"/>
    <x v="16"/>
    <x v="16"/>
    <x v="8"/>
    <x v="8"/>
    <x v="8"/>
    <x v="8"/>
    <x v="130"/>
    <x v="58"/>
    <x v="25"/>
    <x v="235"/>
    <x v="78"/>
    <x v="3"/>
    <x v="0"/>
  </r>
  <r>
    <x v="0"/>
    <x v="16"/>
    <x v="16"/>
    <x v="7"/>
    <x v="7"/>
    <x v="7"/>
    <x v="9"/>
    <x v="59"/>
    <x v="179"/>
    <x v="111"/>
    <x v="236"/>
    <x v="65"/>
    <x v="173"/>
    <x v="0"/>
  </r>
  <r>
    <x v="0"/>
    <x v="16"/>
    <x v="16"/>
    <x v="10"/>
    <x v="10"/>
    <x v="10"/>
    <x v="10"/>
    <x v="73"/>
    <x v="72"/>
    <x v="47"/>
    <x v="143"/>
    <x v="79"/>
    <x v="68"/>
    <x v="0"/>
  </r>
  <r>
    <x v="0"/>
    <x v="16"/>
    <x v="16"/>
    <x v="12"/>
    <x v="12"/>
    <x v="12"/>
    <x v="10"/>
    <x v="73"/>
    <x v="72"/>
    <x v="95"/>
    <x v="196"/>
    <x v="64"/>
    <x v="111"/>
    <x v="0"/>
  </r>
  <r>
    <x v="0"/>
    <x v="16"/>
    <x v="16"/>
    <x v="14"/>
    <x v="14"/>
    <x v="14"/>
    <x v="12"/>
    <x v="131"/>
    <x v="48"/>
    <x v="75"/>
    <x v="32"/>
    <x v="80"/>
    <x v="18"/>
    <x v="0"/>
  </r>
  <r>
    <x v="0"/>
    <x v="16"/>
    <x v="16"/>
    <x v="11"/>
    <x v="11"/>
    <x v="11"/>
    <x v="13"/>
    <x v="75"/>
    <x v="49"/>
    <x v="71"/>
    <x v="228"/>
    <x v="66"/>
    <x v="174"/>
    <x v="0"/>
  </r>
  <r>
    <x v="0"/>
    <x v="16"/>
    <x v="16"/>
    <x v="16"/>
    <x v="16"/>
    <x v="16"/>
    <x v="14"/>
    <x v="107"/>
    <x v="32"/>
    <x v="61"/>
    <x v="177"/>
    <x v="80"/>
    <x v="18"/>
    <x v="0"/>
  </r>
  <r>
    <x v="0"/>
    <x v="16"/>
    <x v="16"/>
    <x v="13"/>
    <x v="13"/>
    <x v="13"/>
    <x v="15"/>
    <x v="77"/>
    <x v="50"/>
    <x v="102"/>
    <x v="234"/>
    <x v="52"/>
    <x v="175"/>
    <x v="0"/>
  </r>
  <r>
    <x v="0"/>
    <x v="16"/>
    <x v="16"/>
    <x v="19"/>
    <x v="19"/>
    <x v="19"/>
    <x v="16"/>
    <x v="62"/>
    <x v="51"/>
    <x v="63"/>
    <x v="154"/>
    <x v="37"/>
    <x v="78"/>
    <x v="0"/>
  </r>
  <r>
    <x v="0"/>
    <x v="16"/>
    <x v="16"/>
    <x v="46"/>
    <x v="46"/>
    <x v="46"/>
    <x v="17"/>
    <x v="121"/>
    <x v="63"/>
    <x v="91"/>
    <x v="237"/>
    <x v="81"/>
    <x v="31"/>
    <x v="0"/>
  </r>
  <r>
    <x v="0"/>
    <x v="16"/>
    <x v="16"/>
    <x v="15"/>
    <x v="15"/>
    <x v="15"/>
    <x v="18"/>
    <x v="50"/>
    <x v="111"/>
    <x v="86"/>
    <x v="238"/>
    <x v="80"/>
    <x v="18"/>
    <x v="0"/>
  </r>
  <r>
    <x v="0"/>
    <x v="16"/>
    <x v="16"/>
    <x v="36"/>
    <x v="36"/>
    <x v="36"/>
    <x v="19"/>
    <x v="52"/>
    <x v="76"/>
    <x v="47"/>
    <x v="143"/>
    <x v="25"/>
    <x v="149"/>
    <x v="0"/>
  </r>
  <r>
    <x v="0"/>
    <x v="17"/>
    <x v="17"/>
    <x v="0"/>
    <x v="0"/>
    <x v="0"/>
    <x v="0"/>
    <x v="132"/>
    <x v="180"/>
    <x v="112"/>
    <x v="239"/>
    <x v="23"/>
    <x v="176"/>
    <x v="0"/>
  </r>
  <r>
    <x v="0"/>
    <x v="17"/>
    <x v="17"/>
    <x v="1"/>
    <x v="1"/>
    <x v="1"/>
    <x v="1"/>
    <x v="126"/>
    <x v="181"/>
    <x v="113"/>
    <x v="240"/>
    <x v="59"/>
    <x v="22"/>
    <x v="0"/>
  </r>
  <r>
    <x v="0"/>
    <x v="17"/>
    <x v="17"/>
    <x v="2"/>
    <x v="2"/>
    <x v="2"/>
    <x v="2"/>
    <x v="43"/>
    <x v="182"/>
    <x v="107"/>
    <x v="241"/>
    <x v="22"/>
    <x v="177"/>
    <x v="0"/>
  </r>
  <r>
    <x v="0"/>
    <x v="17"/>
    <x v="17"/>
    <x v="4"/>
    <x v="4"/>
    <x v="4"/>
    <x v="3"/>
    <x v="36"/>
    <x v="183"/>
    <x v="114"/>
    <x v="242"/>
    <x v="58"/>
    <x v="178"/>
    <x v="0"/>
  </r>
  <r>
    <x v="0"/>
    <x v="17"/>
    <x v="17"/>
    <x v="7"/>
    <x v="7"/>
    <x v="7"/>
    <x v="4"/>
    <x v="80"/>
    <x v="82"/>
    <x v="115"/>
    <x v="243"/>
    <x v="23"/>
    <x v="176"/>
    <x v="0"/>
  </r>
  <r>
    <x v="0"/>
    <x v="17"/>
    <x v="17"/>
    <x v="12"/>
    <x v="12"/>
    <x v="12"/>
    <x v="5"/>
    <x v="122"/>
    <x v="165"/>
    <x v="116"/>
    <x v="244"/>
    <x v="65"/>
    <x v="179"/>
    <x v="0"/>
  </r>
  <r>
    <x v="0"/>
    <x v="17"/>
    <x v="17"/>
    <x v="9"/>
    <x v="9"/>
    <x v="9"/>
    <x v="6"/>
    <x v="60"/>
    <x v="93"/>
    <x v="117"/>
    <x v="245"/>
    <x v="72"/>
    <x v="180"/>
    <x v="0"/>
  </r>
  <r>
    <x v="0"/>
    <x v="17"/>
    <x v="17"/>
    <x v="8"/>
    <x v="8"/>
    <x v="8"/>
    <x v="7"/>
    <x v="48"/>
    <x v="57"/>
    <x v="36"/>
    <x v="167"/>
    <x v="82"/>
    <x v="181"/>
    <x v="0"/>
  </r>
  <r>
    <x v="0"/>
    <x v="17"/>
    <x v="17"/>
    <x v="15"/>
    <x v="15"/>
    <x v="15"/>
    <x v="8"/>
    <x v="77"/>
    <x v="139"/>
    <x v="63"/>
    <x v="246"/>
    <x v="80"/>
    <x v="182"/>
    <x v="0"/>
  </r>
  <r>
    <x v="0"/>
    <x v="17"/>
    <x v="17"/>
    <x v="3"/>
    <x v="3"/>
    <x v="3"/>
    <x v="8"/>
    <x v="77"/>
    <x v="139"/>
    <x v="36"/>
    <x v="167"/>
    <x v="50"/>
    <x v="183"/>
    <x v="0"/>
  </r>
  <r>
    <x v="0"/>
    <x v="17"/>
    <x v="17"/>
    <x v="6"/>
    <x v="6"/>
    <x v="6"/>
    <x v="10"/>
    <x v="121"/>
    <x v="184"/>
    <x v="61"/>
    <x v="102"/>
    <x v="21"/>
    <x v="184"/>
    <x v="0"/>
  </r>
  <r>
    <x v="0"/>
    <x v="17"/>
    <x v="17"/>
    <x v="11"/>
    <x v="11"/>
    <x v="11"/>
    <x v="11"/>
    <x v="51"/>
    <x v="59"/>
    <x v="55"/>
    <x v="247"/>
    <x v="23"/>
    <x v="176"/>
    <x v="0"/>
  </r>
  <r>
    <x v="0"/>
    <x v="17"/>
    <x v="17"/>
    <x v="20"/>
    <x v="20"/>
    <x v="20"/>
    <x v="12"/>
    <x v="52"/>
    <x v="179"/>
    <x v="107"/>
    <x v="241"/>
    <x v="71"/>
    <x v="99"/>
    <x v="0"/>
  </r>
  <r>
    <x v="0"/>
    <x v="17"/>
    <x v="17"/>
    <x v="13"/>
    <x v="13"/>
    <x v="13"/>
    <x v="13"/>
    <x v="65"/>
    <x v="185"/>
    <x v="102"/>
    <x v="139"/>
    <x v="55"/>
    <x v="150"/>
    <x v="0"/>
  </r>
  <r>
    <x v="0"/>
    <x v="17"/>
    <x v="17"/>
    <x v="21"/>
    <x v="21"/>
    <x v="21"/>
    <x v="14"/>
    <x v="55"/>
    <x v="49"/>
    <x v="65"/>
    <x v="30"/>
    <x v="44"/>
    <x v="185"/>
    <x v="0"/>
  </r>
  <r>
    <x v="0"/>
    <x v="17"/>
    <x v="17"/>
    <x v="22"/>
    <x v="22"/>
    <x v="22"/>
    <x v="14"/>
    <x v="55"/>
    <x v="49"/>
    <x v="102"/>
    <x v="139"/>
    <x v="42"/>
    <x v="186"/>
    <x v="0"/>
  </r>
  <r>
    <x v="0"/>
    <x v="17"/>
    <x v="17"/>
    <x v="29"/>
    <x v="29"/>
    <x v="29"/>
    <x v="16"/>
    <x v="79"/>
    <x v="62"/>
    <x v="36"/>
    <x v="167"/>
    <x v="53"/>
    <x v="187"/>
    <x v="0"/>
  </r>
  <r>
    <x v="0"/>
    <x v="17"/>
    <x v="17"/>
    <x v="17"/>
    <x v="17"/>
    <x v="17"/>
    <x v="17"/>
    <x v="68"/>
    <x v="123"/>
    <x v="74"/>
    <x v="90"/>
    <x v="63"/>
    <x v="31"/>
    <x v="0"/>
  </r>
  <r>
    <x v="0"/>
    <x v="17"/>
    <x v="17"/>
    <x v="14"/>
    <x v="14"/>
    <x v="14"/>
    <x v="18"/>
    <x v="93"/>
    <x v="51"/>
    <x v="62"/>
    <x v="248"/>
    <x v="64"/>
    <x v="188"/>
    <x v="0"/>
  </r>
  <r>
    <x v="0"/>
    <x v="17"/>
    <x v="17"/>
    <x v="5"/>
    <x v="5"/>
    <x v="5"/>
    <x v="18"/>
    <x v="93"/>
    <x v="51"/>
    <x v="90"/>
    <x v="249"/>
    <x v="55"/>
    <x v="150"/>
    <x v="0"/>
  </r>
  <r>
    <x v="0"/>
    <x v="18"/>
    <x v="18"/>
    <x v="0"/>
    <x v="0"/>
    <x v="0"/>
    <x v="0"/>
    <x v="107"/>
    <x v="186"/>
    <x v="99"/>
    <x v="250"/>
    <x v="43"/>
    <x v="189"/>
    <x v="0"/>
  </r>
  <r>
    <x v="0"/>
    <x v="18"/>
    <x v="18"/>
    <x v="2"/>
    <x v="2"/>
    <x v="2"/>
    <x v="1"/>
    <x v="62"/>
    <x v="187"/>
    <x v="52"/>
    <x v="251"/>
    <x v="49"/>
    <x v="190"/>
    <x v="0"/>
  </r>
  <r>
    <x v="0"/>
    <x v="18"/>
    <x v="18"/>
    <x v="1"/>
    <x v="1"/>
    <x v="1"/>
    <x v="2"/>
    <x v="121"/>
    <x v="188"/>
    <x v="107"/>
    <x v="252"/>
    <x v="34"/>
    <x v="191"/>
    <x v="0"/>
  </r>
  <r>
    <x v="0"/>
    <x v="18"/>
    <x v="18"/>
    <x v="4"/>
    <x v="4"/>
    <x v="4"/>
    <x v="3"/>
    <x v="68"/>
    <x v="127"/>
    <x v="102"/>
    <x v="253"/>
    <x v="59"/>
    <x v="192"/>
    <x v="0"/>
  </r>
  <r>
    <x v="0"/>
    <x v="18"/>
    <x v="18"/>
    <x v="10"/>
    <x v="10"/>
    <x v="10"/>
    <x v="4"/>
    <x v="106"/>
    <x v="189"/>
    <x v="87"/>
    <x v="70"/>
    <x v="83"/>
    <x v="193"/>
    <x v="0"/>
  </r>
  <r>
    <x v="0"/>
    <x v="18"/>
    <x v="18"/>
    <x v="6"/>
    <x v="6"/>
    <x v="6"/>
    <x v="5"/>
    <x v="84"/>
    <x v="190"/>
    <x v="91"/>
    <x v="254"/>
    <x v="48"/>
    <x v="194"/>
    <x v="0"/>
  </r>
  <r>
    <x v="0"/>
    <x v="18"/>
    <x v="18"/>
    <x v="14"/>
    <x v="14"/>
    <x v="14"/>
    <x v="5"/>
    <x v="84"/>
    <x v="190"/>
    <x v="64"/>
    <x v="255"/>
    <x v="61"/>
    <x v="195"/>
    <x v="0"/>
  </r>
  <r>
    <x v="0"/>
    <x v="18"/>
    <x v="18"/>
    <x v="7"/>
    <x v="7"/>
    <x v="7"/>
    <x v="7"/>
    <x v="85"/>
    <x v="109"/>
    <x v="50"/>
    <x v="256"/>
    <x v="70"/>
    <x v="99"/>
    <x v="0"/>
  </r>
  <r>
    <x v="0"/>
    <x v="18"/>
    <x v="18"/>
    <x v="13"/>
    <x v="13"/>
    <x v="13"/>
    <x v="8"/>
    <x v="108"/>
    <x v="191"/>
    <x v="66"/>
    <x v="257"/>
    <x v="72"/>
    <x v="111"/>
    <x v="0"/>
  </r>
  <r>
    <x v="0"/>
    <x v="18"/>
    <x v="18"/>
    <x v="11"/>
    <x v="11"/>
    <x v="11"/>
    <x v="9"/>
    <x v="109"/>
    <x v="71"/>
    <x v="61"/>
    <x v="103"/>
    <x v="23"/>
    <x v="196"/>
    <x v="0"/>
  </r>
  <r>
    <x v="0"/>
    <x v="18"/>
    <x v="18"/>
    <x v="5"/>
    <x v="5"/>
    <x v="5"/>
    <x v="9"/>
    <x v="109"/>
    <x v="71"/>
    <x v="85"/>
    <x v="151"/>
    <x v="43"/>
    <x v="189"/>
    <x v="0"/>
  </r>
  <r>
    <x v="0"/>
    <x v="18"/>
    <x v="18"/>
    <x v="3"/>
    <x v="3"/>
    <x v="3"/>
    <x v="11"/>
    <x v="89"/>
    <x v="192"/>
    <x v="29"/>
    <x v="199"/>
    <x v="53"/>
    <x v="149"/>
    <x v="0"/>
  </r>
  <r>
    <x v="0"/>
    <x v="18"/>
    <x v="18"/>
    <x v="15"/>
    <x v="15"/>
    <x v="15"/>
    <x v="12"/>
    <x v="91"/>
    <x v="193"/>
    <x v="91"/>
    <x v="254"/>
    <x v="69"/>
    <x v="197"/>
    <x v="0"/>
  </r>
  <r>
    <x v="0"/>
    <x v="18"/>
    <x v="18"/>
    <x v="9"/>
    <x v="9"/>
    <x v="9"/>
    <x v="12"/>
    <x v="91"/>
    <x v="193"/>
    <x v="47"/>
    <x v="258"/>
    <x v="71"/>
    <x v="198"/>
    <x v="0"/>
  </r>
  <r>
    <x v="0"/>
    <x v="18"/>
    <x v="18"/>
    <x v="35"/>
    <x v="35"/>
    <x v="35"/>
    <x v="14"/>
    <x v="92"/>
    <x v="174"/>
    <x v="64"/>
    <x v="255"/>
    <x v="58"/>
    <x v="199"/>
    <x v="0"/>
  </r>
  <r>
    <x v="0"/>
    <x v="18"/>
    <x v="18"/>
    <x v="8"/>
    <x v="8"/>
    <x v="8"/>
    <x v="15"/>
    <x v="96"/>
    <x v="15"/>
    <x v="63"/>
    <x v="204"/>
    <x v="26"/>
    <x v="200"/>
    <x v="0"/>
  </r>
  <r>
    <x v="0"/>
    <x v="18"/>
    <x v="18"/>
    <x v="34"/>
    <x v="34"/>
    <x v="34"/>
    <x v="16"/>
    <x v="99"/>
    <x v="154"/>
    <x v="32"/>
    <x v="259"/>
    <x v="59"/>
    <x v="192"/>
    <x v="0"/>
  </r>
  <r>
    <x v="0"/>
    <x v="18"/>
    <x v="18"/>
    <x v="48"/>
    <x v="48"/>
    <x v="48"/>
    <x v="17"/>
    <x v="104"/>
    <x v="78"/>
    <x v="103"/>
    <x v="260"/>
    <x v="73"/>
    <x v="201"/>
    <x v="0"/>
  </r>
  <r>
    <x v="0"/>
    <x v="18"/>
    <x v="18"/>
    <x v="26"/>
    <x v="26"/>
    <x v="26"/>
    <x v="17"/>
    <x v="104"/>
    <x v="78"/>
    <x v="82"/>
    <x v="261"/>
    <x v="53"/>
    <x v="149"/>
    <x v="0"/>
  </r>
  <r>
    <x v="0"/>
    <x v="18"/>
    <x v="18"/>
    <x v="17"/>
    <x v="17"/>
    <x v="17"/>
    <x v="17"/>
    <x v="104"/>
    <x v="78"/>
    <x v="64"/>
    <x v="255"/>
    <x v="42"/>
    <x v="202"/>
    <x v="0"/>
  </r>
  <r>
    <x v="0"/>
    <x v="19"/>
    <x v="19"/>
    <x v="0"/>
    <x v="0"/>
    <x v="0"/>
    <x v="0"/>
    <x v="79"/>
    <x v="194"/>
    <x v="49"/>
    <x v="229"/>
    <x v="71"/>
    <x v="11"/>
    <x v="0"/>
  </r>
  <r>
    <x v="0"/>
    <x v="19"/>
    <x v="19"/>
    <x v="7"/>
    <x v="7"/>
    <x v="7"/>
    <x v="1"/>
    <x v="93"/>
    <x v="195"/>
    <x v="55"/>
    <x v="262"/>
    <x v="70"/>
    <x v="54"/>
    <x v="0"/>
  </r>
  <r>
    <x v="0"/>
    <x v="19"/>
    <x v="19"/>
    <x v="1"/>
    <x v="1"/>
    <x v="1"/>
    <x v="2"/>
    <x v="83"/>
    <x v="196"/>
    <x v="71"/>
    <x v="263"/>
    <x v="71"/>
    <x v="11"/>
    <x v="0"/>
  </r>
  <r>
    <x v="0"/>
    <x v="19"/>
    <x v="19"/>
    <x v="2"/>
    <x v="2"/>
    <x v="2"/>
    <x v="3"/>
    <x v="109"/>
    <x v="104"/>
    <x v="85"/>
    <x v="231"/>
    <x v="43"/>
    <x v="203"/>
    <x v="0"/>
  </r>
  <r>
    <x v="0"/>
    <x v="19"/>
    <x v="19"/>
    <x v="6"/>
    <x v="6"/>
    <x v="6"/>
    <x v="4"/>
    <x v="90"/>
    <x v="144"/>
    <x v="103"/>
    <x v="264"/>
    <x v="54"/>
    <x v="204"/>
    <x v="0"/>
  </r>
  <r>
    <x v="0"/>
    <x v="19"/>
    <x v="19"/>
    <x v="3"/>
    <x v="3"/>
    <x v="3"/>
    <x v="4"/>
    <x v="90"/>
    <x v="144"/>
    <x v="47"/>
    <x v="265"/>
    <x v="43"/>
    <x v="203"/>
    <x v="0"/>
  </r>
  <r>
    <x v="0"/>
    <x v="19"/>
    <x v="19"/>
    <x v="5"/>
    <x v="5"/>
    <x v="5"/>
    <x v="4"/>
    <x v="90"/>
    <x v="144"/>
    <x v="66"/>
    <x v="266"/>
    <x v="70"/>
    <x v="54"/>
    <x v="0"/>
  </r>
  <r>
    <x v="0"/>
    <x v="19"/>
    <x v="19"/>
    <x v="4"/>
    <x v="4"/>
    <x v="4"/>
    <x v="7"/>
    <x v="91"/>
    <x v="145"/>
    <x v="66"/>
    <x v="266"/>
    <x v="75"/>
    <x v="120"/>
    <x v="0"/>
  </r>
  <r>
    <x v="0"/>
    <x v="19"/>
    <x v="19"/>
    <x v="18"/>
    <x v="18"/>
    <x v="18"/>
    <x v="8"/>
    <x v="99"/>
    <x v="197"/>
    <x v="61"/>
    <x v="267"/>
    <x v="72"/>
    <x v="205"/>
    <x v="0"/>
  </r>
  <r>
    <x v="0"/>
    <x v="19"/>
    <x v="19"/>
    <x v="13"/>
    <x v="13"/>
    <x v="13"/>
    <x v="9"/>
    <x v="97"/>
    <x v="172"/>
    <x v="74"/>
    <x v="268"/>
    <x v="43"/>
    <x v="203"/>
    <x v="0"/>
  </r>
  <r>
    <x v="0"/>
    <x v="19"/>
    <x v="19"/>
    <x v="14"/>
    <x v="14"/>
    <x v="14"/>
    <x v="10"/>
    <x v="104"/>
    <x v="173"/>
    <x v="63"/>
    <x v="183"/>
    <x v="72"/>
    <x v="205"/>
    <x v="0"/>
  </r>
  <r>
    <x v="0"/>
    <x v="19"/>
    <x v="19"/>
    <x v="9"/>
    <x v="9"/>
    <x v="9"/>
    <x v="11"/>
    <x v="110"/>
    <x v="130"/>
    <x v="74"/>
    <x v="268"/>
    <x v="70"/>
    <x v="54"/>
    <x v="0"/>
  </r>
  <r>
    <x v="0"/>
    <x v="19"/>
    <x v="19"/>
    <x v="8"/>
    <x v="8"/>
    <x v="8"/>
    <x v="12"/>
    <x v="111"/>
    <x v="179"/>
    <x v="51"/>
    <x v="269"/>
    <x v="34"/>
    <x v="31"/>
    <x v="0"/>
  </r>
  <r>
    <x v="0"/>
    <x v="19"/>
    <x v="19"/>
    <x v="11"/>
    <x v="11"/>
    <x v="11"/>
    <x v="13"/>
    <x v="112"/>
    <x v="198"/>
    <x v="32"/>
    <x v="270"/>
    <x v="75"/>
    <x v="120"/>
    <x v="0"/>
  </r>
  <r>
    <x v="0"/>
    <x v="19"/>
    <x v="19"/>
    <x v="34"/>
    <x v="34"/>
    <x v="34"/>
    <x v="14"/>
    <x v="133"/>
    <x v="185"/>
    <x v="87"/>
    <x v="128"/>
    <x v="75"/>
    <x v="120"/>
    <x v="0"/>
  </r>
  <r>
    <x v="0"/>
    <x v="19"/>
    <x v="19"/>
    <x v="15"/>
    <x v="15"/>
    <x v="15"/>
    <x v="15"/>
    <x v="114"/>
    <x v="199"/>
    <x v="91"/>
    <x v="54"/>
    <x v="59"/>
    <x v="206"/>
    <x v="0"/>
  </r>
  <r>
    <x v="0"/>
    <x v="19"/>
    <x v="19"/>
    <x v="10"/>
    <x v="10"/>
    <x v="10"/>
    <x v="15"/>
    <x v="114"/>
    <x v="199"/>
    <x v="94"/>
    <x v="271"/>
    <x v="39"/>
    <x v="207"/>
    <x v="0"/>
  </r>
  <r>
    <x v="0"/>
    <x v="19"/>
    <x v="19"/>
    <x v="23"/>
    <x v="23"/>
    <x v="23"/>
    <x v="15"/>
    <x v="114"/>
    <x v="199"/>
    <x v="63"/>
    <x v="183"/>
    <x v="71"/>
    <x v="11"/>
    <x v="0"/>
  </r>
  <r>
    <x v="0"/>
    <x v="19"/>
    <x v="19"/>
    <x v="16"/>
    <x v="16"/>
    <x v="16"/>
    <x v="15"/>
    <x v="114"/>
    <x v="199"/>
    <x v="92"/>
    <x v="272"/>
    <x v="53"/>
    <x v="137"/>
    <x v="0"/>
  </r>
  <r>
    <x v="0"/>
    <x v="19"/>
    <x v="19"/>
    <x v="49"/>
    <x v="49"/>
    <x v="49"/>
    <x v="19"/>
    <x v="115"/>
    <x v="112"/>
    <x v="82"/>
    <x v="10"/>
    <x v="71"/>
    <x v="11"/>
    <x v="0"/>
  </r>
  <r>
    <x v="0"/>
    <x v="19"/>
    <x v="19"/>
    <x v="29"/>
    <x v="29"/>
    <x v="29"/>
    <x v="19"/>
    <x v="115"/>
    <x v="112"/>
    <x v="51"/>
    <x v="269"/>
    <x v="75"/>
    <x v="120"/>
    <x v="0"/>
  </r>
  <r>
    <x v="0"/>
    <x v="19"/>
    <x v="19"/>
    <x v="12"/>
    <x v="12"/>
    <x v="12"/>
    <x v="19"/>
    <x v="115"/>
    <x v="112"/>
    <x v="63"/>
    <x v="183"/>
    <x v="70"/>
    <x v="54"/>
    <x v="0"/>
  </r>
  <r>
    <x v="0"/>
    <x v="20"/>
    <x v="20"/>
    <x v="0"/>
    <x v="0"/>
    <x v="0"/>
    <x v="0"/>
    <x v="36"/>
    <x v="200"/>
    <x v="115"/>
    <x v="273"/>
    <x v="67"/>
    <x v="208"/>
    <x v="0"/>
  </r>
  <r>
    <x v="0"/>
    <x v="20"/>
    <x v="20"/>
    <x v="12"/>
    <x v="12"/>
    <x v="12"/>
    <x v="1"/>
    <x v="134"/>
    <x v="201"/>
    <x v="118"/>
    <x v="274"/>
    <x v="44"/>
    <x v="209"/>
    <x v="1"/>
  </r>
  <r>
    <x v="0"/>
    <x v="20"/>
    <x v="20"/>
    <x v="9"/>
    <x v="9"/>
    <x v="9"/>
    <x v="2"/>
    <x v="66"/>
    <x v="202"/>
    <x v="49"/>
    <x v="122"/>
    <x v="40"/>
    <x v="210"/>
    <x v="0"/>
  </r>
  <r>
    <x v="0"/>
    <x v="20"/>
    <x v="20"/>
    <x v="2"/>
    <x v="2"/>
    <x v="2"/>
    <x v="3"/>
    <x v="93"/>
    <x v="126"/>
    <x v="82"/>
    <x v="275"/>
    <x v="46"/>
    <x v="211"/>
    <x v="0"/>
  </r>
  <r>
    <x v="0"/>
    <x v="20"/>
    <x v="20"/>
    <x v="1"/>
    <x v="1"/>
    <x v="1"/>
    <x v="4"/>
    <x v="98"/>
    <x v="170"/>
    <x v="71"/>
    <x v="276"/>
    <x v="43"/>
    <x v="98"/>
    <x v="0"/>
  </r>
  <r>
    <x v="0"/>
    <x v="20"/>
    <x v="20"/>
    <x v="4"/>
    <x v="4"/>
    <x v="4"/>
    <x v="5"/>
    <x v="103"/>
    <x v="203"/>
    <x v="101"/>
    <x v="277"/>
    <x v="39"/>
    <x v="42"/>
    <x v="0"/>
  </r>
  <r>
    <x v="0"/>
    <x v="20"/>
    <x v="20"/>
    <x v="15"/>
    <x v="15"/>
    <x v="15"/>
    <x v="6"/>
    <x v="94"/>
    <x v="204"/>
    <x v="91"/>
    <x v="87"/>
    <x v="60"/>
    <x v="212"/>
    <x v="0"/>
  </r>
  <r>
    <x v="0"/>
    <x v="20"/>
    <x v="20"/>
    <x v="46"/>
    <x v="46"/>
    <x v="46"/>
    <x v="6"/>
    <x v="94"/>
    <x v="204"/>
    <x v="91"/>
    <x v="87"/>
    <x v="60"/>
    <x v="212"/>
    <x v="0"/>
  </r>
  <r>
    <x v="0"/>
    <x v="20"/>
    <x v="20"/>
    <x v="22"/>
    <x v="22"/>
    <x v="22"/>
    <x v="6"/>
    <x v="94"/>
    <x v="204"/>
    <x v="84"/>
    <x v="278"/>
    <x v="34"/>
    <x v="77"/>
    <x v="0"/>
  </r>
  <r>
    <x v="0"/>
    <x v="20"/>
    <x v="20"/>
    <x v="7"/>
    <x v="7"/>
    <x v="7"/>
    <x v="9"/>
    <x v="89"/>
    <x v="96"/>
    <x v="60"/>
    <x v="279"/>
    <x v="59"/>
    <x v="175"/>
    <x v="0"/>
  </r>
  <r>
    <x v="0"/>
    <x v="20"/>
    <x v="20"/>
    <x v="3"/>
    <x v="3"/>
    <x v="3"/>
    <x v="10"/>
    <x v="90"/>
    <x v="28"/>
    <x v="63"/>
    <x v="176"/>
    <x v="58"/>
    <x v="213"/>
    <x v="0"/>
  </r>
  <r>
    <x v="0"/>
    <x v="20"/>
    <x v="20"/>
    <x v="11"/>
    <x v="11"/>
    <x v="11"/>
    <x v="11"/>
    <x v="91"/>
    <x v="12"/>
    <x v="74"/>
    <x v="280"/>
    <x v="72"/>
    <x v="57"/>
    <x v="0"/>
  </r>
  <r>
    <x v="0"/>
    <x v="20"/>
    <x v="20"/>
    <x v="19"/>
    <x v="19"/>
    <x v="19"/>
    <x v="11"/>
    <x v="91"/>
    <x v="12"/>
    <x v="94"/>
    <x v="246"/>
    <x v="67"/>
    <x v="208"/>
    <x v="0"/>
  </r>
  <r>
    <x v="0"/>
    <x v="20"/>
    <x v="20"/>
    <x v="16"/>
    <x v="16"/>
    <x v="16"/>
    <x v="11"/>
    <x v="91"/>
    <x v="12"/>
    <x v="61"/>
    <x v="46"/>
    <x v="42"/>
    <x v="118"/>
    <x v="0"/>
  </r>
  <r>
    <x v="0"/>
    <x v="20"/>
    <x v="20"/>
    <x v="45"/>
    <x v="45"/>
    <x v="45"/>
    <x v="14"/>
    <x v="92"/>
    <x v="47"/>
    <x v="87"/>
    <x v="82"/>
    <x v="53"/>
    <x v="214"/>
    <x v="0"/>
  </r>
  <r>
    <x v="0"/>
    <x v="20"/>
    <x v="20"/>
    <x v="6"/>
    <x v="6"/>
    <x v="6"/>
    <x v="15"/>
    <x v="96"/>
    <x v="30"/>
    <x v="91"/>
    <x v="87"/>
    <x v="23"/>
    <x v="215"/>
    <x v="0"/>
  </r>
  <r>
    <x v="0"/>
    <x v="20"/>
    <x v="20"/>
    <x v="8"/>
    <x v="8"/>
    <x v="8"/>
    <x v="16"/>
    <x v="99"/>
    <x v="31"/>
    <x v="32"/>
    <x v="267"/>
    <x v="59"/>
    <x v="175"/>
    <x v="0"/>
  </r>
  <r>
    <x v="0"/>
    <x v="20"/>
    <x v="20"/>
    <x v="10"/>
    <x v="10"/>
    <x v="10"/>
    <x v="17"/>
    <x v="100"/>
    <x v="205"/>
    <x v="86"/>
    <x v="16"/>
    <x v="65"/>
    <x v="18"/>
    <x v="0"/>
  </r>
  <r>
    <x v="0"/>
    <x v="20"/>
    <x v="20"/>
    <x v="28"/>
    <x v="28"/>
    <x v="28"/>
    <x v="18"/>
    <x v="110"/>
    <x v="175"/>
    <x v="86"/>
    <x v="16"/>
    <x v="42"/>
    <x v="118"/>
    <x v="0"/>
  </r>
  <r>
    <x v="0"/>
    <x v="20"/>
    <x v="20"/>
    <x v="14"/>
    <x v="14"/>
    <x v="14"/>
    <x v="18"/>
    <x v="110"/>
    <x v="175"/>
    <x v="94"/>
    <x v="246"/>
    <x v="26"/>
    <x v="216"/>
    <x v="0"/>
  </r>
  <r>
    <x v="0"/>
    <x v="20"/>
    <x v="20"/>
    <x v="36"/>
    <x v="36"/>
    <x v="36"/>
    <x v="18"/>
    <x v="110"/>
    <x v="175"/>
    <x v="86"/>
    <x v="16"/>
    <x v="42"/>
    <x v="118"/>
    <x v="0"/>
  </r>
  <r>
    <x v="0"/>
    <x v="20"/>
    <x v="20"/>
    <x v="17"/>
    <x v="17"/>
    <x v="17"/>
    <x v="18"/>
    <x v="110"/>
    <x v="175"/>
    <x v="86"/>
    <x v="16"/>
    <x v="42"/>
    <x v="118"/>
    <x v="0"/>
  </r>
  <r>
    <x v="0"/>
    <x v="21"/>
    <x v="21"/>
    <x v="1"/>
    <x v="1"/>
    <x v="1"/>
    <x v="0"/>
    <x v="81"/>
    <x v="206"/>
    <x v="119"/>
    <x v="281"/>
    <x v="71"/>
    <x v="217"/>
    <x v="0"/>
  </r>
  <r>
    <x v="0"/>
    <x v="21"/>
    <x v="21"/>
    <x v="0"/>
    <x v="0"/>
    <x v="0"/>
    <x v="1"/>
    <x v="101"/>
    <x v="186"/>
    <x v="119"/>
    <x v="281"/>
    <x v="70"/>
    <x v="218"/>
    <x v="0"/>
  </r>
  <r>
    <x v="0"/>
    <x v="21"/>
    <x v="21"/>
    <x v="6"/>
    <x v="6"/>
    <x v="6"/>
    <x v="2"/>
    <x v="116"/>
    <x v="207"/>
    <x v="51"/>
    <x v="282"/>
    <x v="64"/>
    <x v="219"/>
    <x v="0"/>
  </r>
  <r>
    <x v="0"/>
    <x v="21"/>
    <x v="21"/>
    <x v="3"/>
    <x v="3"/>
    <x v="3"/>
    <x v="3"/>
    <x v="102"/>
    <x v="208"/>
    <x v="90"/>
    <x v="218"/>
    <x v="72"/>
    <x v="55"/>
    <x v="0"/>
  </r>
  <r>
    <x v="0"/>
    <x v="21"/>
    <x v="21"/>
    <x v="5"/>
    <x v="5"/>
    <x v="5"/>
    <x v="4"/>
    <x v="88"/>
    <x v="209"/>
    <x v="80"/>
    <x v="283"/>
    <x v="43"/>
    <x v="62"/>
    <x v="0"/>
  </r>
  <r>
    <x v="0"/>
    <x v="21"/>
    <x v="21"/>
    <x v="8"/>
    <x v="8"/>
    <x v="8"/>
    <x v="5"/>
    <x v="109"/>
    <x v="203"/>
    <x v="47"/>
    <x v="284"/>
    <x v="39"/>
    <x v="220"/>
    <x v="0"/>
  </r>
  <r>
    <x v="0"/>
    <x v="21"/>
    <x v="21"/>
    <x v="14"/>
    <x v="14"/>
    <x v="14"/>
    <x v="6"/>
    <x v="95"/>
    <x v="210"/>
    <x v="32"/>
    <x v="285"/>
    <x v="55"/>
    <x v="221"/>
    <x v="0"/>
  </r>
  <r>
    <x v="0"/>
    <x v="21"/>
    <x v="21"/>
    <x v="13"/>
    <x v="13"/>
    <x v="13"/>
    <x v="7"/>
    <x v="90"/>
    <x v="7"/>
    <x v="84"/>
    <x v="3"/>
    <x v="70"/>
    <x v="218"/>
    <x v="1"/>
  </r>
  <r>
    <x v="0"/>
    <x v="21"/>
    <x v="21"/>
    <x v="11"/>
    <x v="11"/>
    <x v="11"/>
    <x v="7"/>
    <x v="90"/>
    <x v="7"/>
    <x v="29"/>
    <x v="235"/>
    <x v="39"/>
    <x v="220"/>
    <x v="0"/>
  </r>
  <r>
    <x v="0"/>
    <x v="21"/>
    <x v="21"/>
    <x v="2"/>
    <x v="2"/>
    <x v="2"/>
    <x v="7"/>
    <x v="90"/>
    <x v="7"/>
    <x v="76"/>
    <x v="286"/>
    <x v="59"/>
    <x v="222"/>
    <x v="0"/>
  </r>
  <r>
    <x v="0"/>
    <x v="21"/>
    <x v="21"/>
    <x v="4"/>
    <x v="4"/>
    <x v="4"/>
    <x v="10"/>
    <x v="91"/>
    <x v="95"/>
    <x v="47"/>
    <x v="284"/>
    <x v="71"/>
    <x v="217"/>
    <x v="0"/>
  </r>
  <r>
    <x v="0"/>
    <x v="21"/>
    <x v="21"/>
    <x v="10"/>
    <x v="10"/>
    <x v="10"/>
    <x v="11"/>
    <x v="92"/>
    <x v="173"/>
    <x v="32"/>
    <x v="285"/>
    <x v="72"/>
    <x v="55"/>
    <x v="0"/>
  </r>
  <r>
    <x v="0"/>
    <x v="21"/>
    <x v="21"/>
    <x v="15"/>
    <x v="15"/>
    <x v="15"/>
    <x v="12"/>
    <x v="100"/>
    <x v="119"/>
    <x v="61"/>
    <x v="49"/>
    <x v="39"/>
    <x v="220"/>
    <x v="0"/>
  </r>
  <r>
    <x v="0"/>
    <x v="21"/>
    <x v="21"/>
    <x v="9"/>
    <x v="9"/>
    <x v="9"/>
    <x v="13"/>
    <x v="97"/>
    <x v="86"/>
    <x v="76"/>
    <x v="286"/>
    <x v="75"/>
    <x v="120"/>
    <x v="0"/>
  </r>
  <r>
    <x v="0"/>
    <x v="21"/>
    <x v="21"/>
    <x v="39"/>
    <x v="39"/>
    <x v="39"/>
    <x v="14"/>
    <x v="110"/>
    <x v="211"/>
    <x v="74"/>
    <x v="84"/>
    <x v="70"/>
    <x v="218"/>
    <x v="0"/>
  </r>
  <r>
    <x v="0"/>
    <x v="21"/>
    <x v="21"/>
    <x v="29"/>
    <x v="29"/>
    <x v="29"/>
    <x v="14"/>
    <x v="110"/>
    <x v="211"/>
    <x v="75"/>
    <x v="13"/>
    <x v="75"/>
    <x v="120"/>
    <x v="0"/>
  </r>
  <r>
    <x v="0"/>
    <x v="21"/>
    <x v="21"/>
    <x v="34"/>
    <x v="34"/>
    <x v="34"/>
    <x v="14"/>
    <x v="110"/>
    <x v="211"/>
    <x v="87"/>
    <x v="287"/>
    <x v="43"/>
    <x v="62"/>
    <x v="0"/>
  </r>
  <r>
    <x v="0"/>
    <x v="21"/>
    <x v="21"/>
    <x v="18"/>
    <x v="18"/>
    <x v="18"/>
    <x v="17"/>
    <x v="111"/>
    <x v="123"/>
    <x v="64"/>
    <x v="117"/>
    <x v="72"/>
    <x v="55"/>
    <x v="0"/>
  </r>
  <r>
    <x v="0"/>
    <x v="21"/>
    <x v="21"/>
    <x v="49"/>
    <x v="49"/>
    <x v="49"/>
    <x v="18"/>
    <x v="133"/>
    <x v="212"/>
    <x v="51"/>
    <x v="282"/>
    <x v="43"/>
    <x v="62"/>
    <x v="0"/>
  </r>
  <r>
    <x v="0"/>
    <x v="21"/>
    <x v="21"/>
    <x v="17"/>
    <x v="17"/>
    <x v="17"/>
    <x v="18"/>
    <x v="133"/>
    <x v="212"/>
    <x v="64"/>
    <x v="117"/>
    <x v="59"/>
    <x v="222"/>
    <x v="0"/>
  </r>
  <r>
    <x v="0"/>
    <x v="21"/>
    <x v="21"/>
    <x v="7"/>
    <x v="7"/>
    <x v="7"/>
    <x v="18"/>
    <x v="133"/>
    <x v="212"/>
    <x v="61"/>
    <x v="49"/>
    <x v="70"/>
    <x v="218"/>
    <x v="0"/>
  </r>
  <r>
    <x v="0"/>
    <x v="22"/>
    <x v="22"/>
    <x v="0"/>
    <x v="0"/>
    <x v="0"/>
    <x v="0"/>
    <x v="131"/>
    <x v="213"/>
    <x v="117"/>
    <x v="288"/>
    <x v="34"/>
    <x v="21"/>
    <x v="0"/>
  </r>
  <r>
    <x v="0"/>
    <x v="22"/>
    <x v="22"/>
    <x v="8"/>
    <x v="8"/>
    <x v="8"/>
    <x v="1"/>
    <x v="101"/>
    <x v="214"/>
    <x v="98"/>
    <x v="289"/>
    <x v="23"/>
    <x v="223"/>
    <x v="0"/>
  </r>
  <r>
    <x v="0"/>
    <x v="22"/>
    <x v="22"/>
    <x v="1"/>
    <x v="1"/>
    <x v="1"/>
    <x v="2"/>
    <x v="79"/>
    <x v="215"/>
    <x v="49"/>
    <x v="290"/>
    <x v="71"/>
    <x v="98"/>
    <x v="0"/>
  </r>
  <r>
    <x v="0"/>
    <x v="22"/>
    <x v="22"/>
    <x v="5"/>
    <x v="5"/>
    <x v="5"/>
    <x v="3"/>
    <x v="102"/>
    <x v="22"/>
    <x v="98"/>
    <x v="289"/>
    <x v="59"/>
    <x v="224"/>
    <x v="0"/>
  </r>
  <r>
    <x v="0"/>
    <x v="22"/>
    <x v="22"/>
    <x v="2"/>
    <x v="2"/>
    <x v="2"/>
    <x v="4"/>
    <x v="83"/>
    <x v="81"/>
    <x v="50"/>
    <x v="291"/>
    <x v="40"/>
    <x v="89"/>
    <x v="0"/>
  </r>
  <r>
    <x v="0"/>
    <x v="22"/>
    <x v="22"/>
    <x v="9"/>
    <x v="9"/>
    <x v="9"/>
    <x v="5"/>
    <x v="103"/>
    <x v="23"/>
    <x v="71"/>
    <x v="233"/>
    <x v="70"/>
    <x v="225"/>
    <x v="0"/>
  </r>
  <r>
    <x v="0"/>
    <x v="22"/>
    <x v="22"/>
    <x v="4"/>
    <x v="4"/>
    <x v="4"/>
    <x v="6"/>
    <x v="85"/>
    <x v="216"/>
    <x v="33"/>
    <x v="292"/>
    <x v="40"/>
    <x v="89"/>
    <x v="0"/>
  </r>
  <r>
    <x v="0"/>
    <x v="22"/>
    <x v="22"/>
    <x v="3"/>
    <x v="3"/>
    <x v="3"/>
    <x v="7"/>
    <x v="87"/>
    <x v="150"/>
    <x v="81"/>
    <x v="220"/>
    <x v="59"/>
    <x v="224"/>
    <x v="0"/>
  </r>
  <r>
    <x v="0"/>
    <x v="22"/>
    <x v="22"/>
    <x v="6"/>
    <x v="6"/>
    <x v="6"/>
    <x v="8"/>
    <x v="109"/>
    <x v="217"/>
    <x v="63"/>
    <x v="111"/>
    <x v="67"/>
    <x v="226"/>
    <x v="0"/>
  </r>
  <r>
    <x v="0"/>
    <x v="22"/>
    <x v="22"/>
    <x v="7"/>
    <x v="7"/>
    <x v="7"/>
    <x v="9"/>
    <x v="89"/>
    <x v="172"/>
    <x v="80"/>
    <x v="293"/>
    <x v="75"/>
    <x v="120"/>
    <x v="0"/>
  </r>
  <r>
    <x v="0"/>
    <x v="22"/>
    <x v="22"/>
    <x v="10"/>
    <x v="10"/>
    <x v="10"/>
    <x v="10"/>
    <x v="95"/>
    <x v="44"/>
    <x v="74"/>
    <x v="167"/>
    <x v="42"/>
    <x v="188"/>
    <x v="0"/>
  </r>
  <r>
    <x v="0"/>
    <x v="22"/>
    <x v="22"/>
    <x v="28"/>
    <x v="28"/>
    <x v="28"/>
    <x v="11"/>
    <x v="91"/>
    <x v="153"/>
    <x v="64"/>
    <x v="32"/>
    <x v="23"/>
    <x v="223"/>
    <x v="0"/>
  </r>
  <r>
    <x v="0"/>
    <x v="22"/>
    <x v="22"/>
    <x v="14"/>
    <x v="14"/>
    <x v="14"/>
    <x v="11"/>
    <x v="91"/>
    <x v="153"/>
    <x v="63"/>
    <x v="111"/>
    <x v="73"/>
    <x v="227"/>
    <x v="0"/>
  </r>
  <r>
    <x v="0"/>
    <x v="22"/>
    <x v="22"/>
    <x v="37"/>
    <x v="37"/>
    <x v="37"/>
    <x v="13"/>
    <x v="92"/>
    <x v="59"/>
    <x v="62"/>
    <x v="294"/>
    <x v="55"/>
    <x v="38"/>
    <x v="0"/>
  </r>
  <r>
    <x v="0"/>
    <x v="22"/>
    <x v="22"/>
    <x v="13"/>
    <x v="13"/>
    <x v="13"/>
    <x v="14"/>
    <x v="96"/>
    <x v="72"/>
    <x v="32"/>
    <x v="295"/>
    <x v="39"/>
    <x v="228"/>
    <x v="0"/>
  </r>
  <r>
    <x v="0"/>
    <x v="22"/>
    <x v="22"/>
    <x v="11"/>
    <x v="11"/>
    <x v="11"/>
    <x v="15"/>
    <x v="100"/>
    <x v="174"/>
    <x v="61"/>
    <x v="296"/>
    <x v="39"/>
    <x v="228"/>
    <x v="0"/>
  </r>
  <r>
    <x v="0"/>
    <x v="22"/>
    <x v="22"/>
    <x v="15"/>
    <x v="15"/>
    <x v="15"/>
    <x v="16"/>
    <x v="97"/>
    <x v="218"/>
    <x v="92"/>
    <x v="297"/>
    <x v="23"/>
    <x v="223"/>
    <x v="0"/>
  </r>
  <r>
    <x v="0"/>
    <x v="22"/>
    <x v="22"/>
    <x v="17"/>
    <x v="17"/>
    <x v="17"/>
    <x v="16"/>
    <x v="97"/>
    <x v="218"/>
    <x v="51"/>
    <x v="95"/>
    <x v="72"/>
    <x v="71"/>
    <x v="0"/>
  </r>
  <r>
    <x v="0"/>
    <x v="22"/>
    <x v="22"/>
    <x v="18"/>
    <x v="18"/>
    <x v="18"/>
    <x v="18"/>
    <x v="104"/>
    <x v="205"/>
    <x v="82"/>
    <x v="298"/>
    <x v="53"/>
    <x v="229"/>
    <x v="0"/>
  </r>
  <r>
    <x v="0"/>
    <x v="22"/>
    <x v="22"/>
    <x v="16"/>
    <x v="16"/>
    <x v="16"/>
    <x v="18"/>
    <x v="104"/>
    <x v="205"/>
    <x v="82"/>
    <x v="298"/>
    <x v="53"/>
    <x v="229"/>
    <x v="0"/>
  </r>
  <r>
    <x v="0"/>
    <x v="23"/>
    <x v="23"/>
    <x v="0"/>
    <x v="0"/>
    <x v="0"/>
    <x v="0"/>
    <x v="125"/>
    <x v="219"/>
    <x v="110"/>
    <x v="299"/>
    <x v="39"/>
    <x v="180"/>
    <x v="0"/>
  </r>
  <r>
    <x v="0"/>
    <x v="23"/>
    <x v="23"/>
    <x v="1"/>
    <x v="1"/>
    <x v="1"/>
    <x v="1"/>
    <x v="135"/>
    <x v="220"/>
    <x v="120"/>
    <x v="300"/>
    <x v="43"/>
    <x v="37"/>
    <x v="0"/>
  </r>
  <r>
    <x v="0"/>
    <x v="23"/>
    <x v="23"/>
    <x v="2"/>
    <x v="2"/>
    <x v="2"/>
    <x v="2"/>
    <x v="136"/>
    <x v="159"/>
    <x v="121"/>
    <x v="301"/>
    <x v="49"/>
    <x v="230"/>
    <x v="0"/>
  </r>
  <r>
    <x v="0"/>
    <x v="23"/>
    <x v="23"/>
    <x v="3"/>
    <x v="3"/>
    <x v="3"/>
    <x v="3"/>
    <x v="137"/>
    <x v="221"/>
    <x v="58"/>
    <x v="302"/>
    <x v="60"/>
    <x v="231"/>
    <x v="0"/>
  </r>
  <r>
    <x v="0"/>
    <x v="23"/>
    <x v="23"/>
    <x v="5"/>
    <x v="5"/>
    <x v="5"/>
    <x v="4"/>
    <x v="45"/>
    <x v="222"/>
    <x v="42"/>
    <x v="303"/>
    <x v="53"/>
    <x v="232"/>
    <x v="0"/>
  </r>
  <r>
    <x v="0"/>
    <x v="23"/>
    <x v="23"/>
    <x v="8"/>
    <x v="8"/>
    <x v="8"/>
    <x v="5"/>
    <x v="73"/>
    <x v="223"/>
    <x v="122"/>
    <x v="258"/>
    <x v="61"/>
    <x v="233"/>
    <x v="0"/>
  </r>
  <r>
    <x v="0"/>
    <x v="23"/>
    <x v="23"/>
    <x v="10"/>
    <x v="10"/>
    <x v="10"/>
    <x v="6"/>
    <x v="119"/>
    <x v="68"/>
    <x v="47"/>
    <x v="304"/>
    <x v="80"/>
    <x v="170"/>
    <x v="0"/>
  </r>
  <r>
    <x v="0"/>
    <x v="23"/>
    <x v="23"/>
    <x v="6"/>
    <x v="6"/>
    <x v="6"/>
    <x v="7"/>
    <x v="47"/>
    <x v="69"/>
    <x v="62"/>
    <x v="254"/>
    <x v="29"/>
    <x v="234"/>
    <x v="0"/>
  </r>
  <r>
    <x v="0"/>
    <x v="23"/>
    <x v="23"/>
    <x v="4"/>
    <x v="4"/>
    <x v="4"/>
    <x v="8"/>
    <x v="75"/>
    <x v="93"/>
    <x v="100"/>
    <x v="305"/>
    <x v="73"/>
    <x v="126"/>
    <x v="0"/>
  </r>
  <r>
    <x v="0"/>
    <x v="23"/>
    <x v="23"/>
    <x v="7"/>
    <x v="7"/>
    <x v="7"/>
    <x v="9"/>
    <x v="50"/>
    <x v="9"/>
    <x v="100"/>
    <x v="305"/>
    <x v="34"/>
    <x v="9"/>
    <x v="0"/>
  </r>
  <r>
    <x v="0"/>
    <x v="23"/>
    <x v="23"/>
    <x v="15"/>
    <x v="15"/>
    <x v="15"/>
    <x v="10"/>
    <x v="63"/>
    <x v="224"/>
    <x v="29"/>
    <x v="306"/>
    <x v="27"/>
    <x v="235"/>
    <x v="0"/>
  </r>
  <r>
    <x v="0"/>
    <x v="23"/>
    <x v="23"/>
    <x v="13"/>
    <x v="13"/>
    <x v="13"/>
    <x v="11"/>
    <x v="65"/>
    <x v="29"/>
    <x v="71"/>
    <x v="225"/>
    <x v="73"/>
    <x v="126"/>
    <x v="0"/>
  </r>
  <r>
    <x v="0"/>
    <x v="23"/>
    <x v="23"/>
    <x v="18"/>
    <x v="18"/>
    <x v="18"/>
    <x v="11"/>
    <x v="65"/>
    <x v="29"/>
    <x v="66"/>
    <x v="223"/>
    <x v="83"/>
    <x v="236"/>
    <x v="0"/>
  </r>
  <r>
    <x v="0"/>
    <x v="23"/>
    <x v="23"/>
    <x v="9"/>
    <x v="9"/>
    <x v="9"/>
    <x v="13"/>
    <x v="55"/>
    <x v="225"/>
    <x v="79"/>
    <x v="221"/>
    <x v="71"/>
    <x v="237"/>
    <x v="0"/>
  </r>
  <r>
    <x v="0"/>
    <x v="23"/>
    <x v="23"/>
    <x v="11"/>
    <x v="11"/>
    <x v="11"/>
    <x v="14"/>
    <x v="67"/>
    <x v="48"/>
    <x v="48"/>
    <x v="307"/>
    <x v="53"/>
    <x v="232"/>
    <x v="0"/>
  </r>
  <r>
    <x v="0"/>
    <x v="23"/>
    <x v="23"/>
    <x v="32"/>
    <x v="32"/>
    <x v="32"/>
    <x v="15"/>
    <x v="98"/>
    <x v="76"/>
    <x v="76"/>
    <x v="308"/>
    <x v="67"/>
    <x v="228"/>
    <x v="0"/>
  </r>
  <r>
    <x v="0"/>
    <x v="23"/>
    <x v="23"/>
    <x v="12"/>
    <x v="12"/>
    <x v="12"/>
    <x v="16"/>
    <x v="83"/>
    <x v="226"/>
    <x v="98"/>
    <x v="50"/>
    <x v="43"/>
    <x v="37"/>
    <x v="0"/>
  </r>
  <r>
    <x v="0"/>
    <x v="23"/>
    <x v="23"/>
    <x v="14"/>
    <x v="14"/>
    <x v="14"/>
    <x v="17"/>
    <x v="103"/>
    <x v="87"/>
    <x v="61"/>
    <x v="226"/>
    <x v="74"/>
    <x v="238"/>
    <x v="0"/>
  </r>
  <r>
    <x v="0"/>
    <x v="23"/>
    <x v="23"/>
    <x v="17"/>
    <x v="17"/>
    <x v="17"/>
    <x v="18"/>
    <x v="85"/>
    <x v="227"/>
    <x v="63"/>
    <x v="28"/>
    <x v="52"/>
    <x v="157"/>
    <x v="0"/>
  </r>
  <r>
    <x v="0"/>
    <x v="23"/>
    <x v="23"/>
    <x v="45"/>
    <x v="45"/>
    <x v="45"/>
    <x v="19"/>
    <x v="108"/>
    <x v="228"/>
    <x v="84"/>
    <x v="176"/>
    <x v="53"/>
    <x v="232"/>
    <x v="0"/>
  </r>
  <r>
    <x v="0"/>
    <x v="24"/>
    <x v="24"/>
    <x v="3"/>
    <x v="3"/>
    <x v="3"/>
    <x v="0"/>
    <x v="138"/>
    <x v="229"/>
    <x v="118"/>
    <x v="309"/>
    <x v="49"/>
    <x v="138"/>
    <x v="0"/>
  </r>
  <r>
    <x v="0"/>
    <x v="24"/>
    <x v="24"/>
    <x v="0"/>
    <x v="0"/>
    <x v="0"/>
    <x v="1"/>
    <x v="139"/>
    <x v="53"/>
    <x v="106"/>
    <x v="310"/>
    <x v="40"/>
    <x v="239"/>
    <x v="0"/>
  </r>
  <r>
    <x v="0"/>
    <x v="24"/>
    <x v="24"/>
    <x v="1"/>
    <x v="1"/>
    <x v="1"/>
    <x v="2"/>
    <x v="49"/>
    <x v="230"/>
    <x v="58"/>
    <x v="311"/>
    <x v="71"/>
    <x v="103"/>
    <x v="0"/>
  </r>
  <r>
    <x v="0"/>
    <x v="24"/>
    <x v="24"/>
    <x v="5"/>
    <x v="5"/>
    <x v="5"/>
    <x v="3"/>
    <x v="64"/>
    <x v="231"/>
    <x v="59"/>
    <x v="312"/>
    <x v="53"/>
    <x v="47"/>
    <x v="0"/>
  </r>
  <r>
    <x v="0"/>
    <x v="24"/>
    <x v="24"/>
    <x v="6"/>
    <x v="6"/>
    <x v="6"/>
    <x v="4"/>
    <x v="54"/>
    <x v="40"/>
    <x v="64"/>
    <x v="313"/>
    <x v="47"/>
    <x v="240"/>
    <x v="0"/>
  </r>
  <r>
    <x v="0"/>
    <x v="24"/>
    <x v="24"/>
    <x v="2"/>
    <x v="2"/>
    <x v="2"/>
    <x v="4"/>
    <x v="54"/>
    <x v="40"/>
    <x v="55"/>
    <x v="314"/>
    <x v="42"/>
    <x v="241"/>
    <x v="0"/>
  </r>
  <r>
    <x v="0"/>
    <x v="24"/>
    <x v="24"/>
    <x v="10"/>
    <x v="10"/>
    <x v="10"/>
    <x v="6"/>
    <x v="65"/>
    <x v="209"/>
    <x v="84"/>
    <x v="315"/>
    <x v="50"/>
    <x v="242"/>
    <x v="0"/>
  </r>
  <r>
    <x v="0"/>
    <x v="24"/>
    <x v="24"/>
    <x v="8"/>
    <x v="8"/>
    <x v="8"/>
    <x v="7"/>
    <x v="93"/>
    <x v="171"/>
    <x v="65"/>
    <x v="316"/>
    <x v="26"/>
    <x v="243"/>
    <x v="0"/>
  </r>
  <r>
    <x v="0"/>
    <x v="24"/>
    <x v="24"/>
    <x v="15"/>
    <x v="15"/>
    <x v="15"/>
    <x v="8"/>
    <x v="86"/>
    <x v="232"/>
    <x v="51"/>
    <x v="85"/>
    <x v="60"/>
    <x v="23"/>
    <x v="0"/>
  </r>
  <r>
    <x v="0"/>
    <x v="24"/>
    <x v="24"/>
    <x v="13"/>
    <x v="13"/>
    <x v="13"/>
    <x v="8"/>
    <x v="86"/>
    <x v="232"/>
    <x v="47"/>
    <x v="11"/>
    <x v="55"/>
    <x v="118"/>
    <x v="0"/>
  </r>
  <r>
    <x v="0"/>
    <x v="24"/>
    <x v="24"/>
    <x v="4"/>
    <x v="4"/>
    <x v="4"/>
    <x v="8"/>
    <x v="86"/>
    <x v="232"/>
    <x v="85"/>
    <x v="317"/>
    <x v="39"/>
    <x v="24"/>
    <x v="0"/>
  </r>
  <r>
    <x v="0"/>
    <x v="24"/>
    <x v="24"/>
    <x v="35"/>
    <x v="35"/>
    <x v="35"/>
    <x v="11"/>
    <x v="108"/>
    <x v="72"/>
    <x v="76"/>
    <x v="318"/>
    <x v="65"/>
    <x v="36"/>
    <x v="0"/>
  </r>
  <r>
    <x v="0"/>
    <x v="24"/>
    <x v="24"/>
    <x v="7"/>
    <x v="7"/>
    <x v="7"/>
    <x v="11"/>
    <x v="108"/>
    <x v="72"/>
    <x v="90"/>
    <x v="78"/>
    <x v="75"/>
    <x v="120"/>
    <x v="0"/>
  </r>
  <r>
    <x v="0"/>
    <x v="24"/>
    <x v="24"/>
    <x v="28"/>
    <x v="28"/>
    <x v="28"/>
    <x v="13"/>
    <x v="87"/>
    <x v="233"/>
    <x v="62"/>
    <x v="308"/>
    <x v="67"/>
    <x v="244"/>
    <x v="0"/>
  </r>
  <r>
    <x v="0"/>
    <x v="24"/>
    <x v="24"/>
    <x v="18"/>
    <x v="18"/>
    <x v="18"/>
    <x v="14"/>
    <x v="88"/>
    <x v="47"/>
    <x v="62"/>
    <x v="308"/>
    <x v="69"/>
    <x v="30"/>
    <x v="0"/>
  </r>
  <r>
    <x v="0"/>
    <x v="24"/>
    <x v="24"/>
    <x v="9"/>
    <x v="9"/>
    <x v="9"/>
    <x v="14"/>
    <x v="88"/>
    <x v="47"/>
    <x v="80"/>
    <x v="71"/>
    <x v="43"/>
    <x v="9"/>
    <x v="0"/>
  </r>
  <r>
    <x v="0"/>
    <x v="24"/>
    <x v="24"/>
    <x v="27"/>
    <x v="27"/>
    <x v="27"/>
    <x v="16"/>
    <x v="89"/>
    <x v="211"/>
    <x v="60"/>
    <x v="285"/>
    <x v="59"/>
    <x v="245"/>
    <x v="0"/>
  </r>
  <r>
    <x v="0"/>
    <x v="24"/>
    <x v="24"/>
    <x v="14"/>
    <x v="14"/>
    <x v="14"/>
    <x v="17"/>
    <x v="91"/>
    <x v="199"/>
    <x v="61"/>
    <x v="319"/>
    <x v="55"/>
    <x v="118"/>
    <x v="0"/>
  </r>
  <r>
    <x v="0"/>
    <x v="24"/>
    <x v="24"/>
    <x v="50"/>
    <x v="50"/>
    <x v="50"/>
    <x v="18"/>
    <x v="96"/>
    <x v="212"/>
    <x v="38"/>
    <x v="187"/>
    <x v="71"/>
    <x v="103"/>
    <x v="0"/>
  </r>
  <r>
    <x v="0"/>
    <x v="24"/>
    <x v="24"/>
    <x v="11"/>
    <x v="11"/>
    <x v="11"/>
    <x v="18"/>
    <x v="96"/>
    <x v="212"/>
    <x v="51"/>
    <x v="85"/>
    <x v="42"/>
    <x v="241"/>
    <x v="1"/>
  </r>
  <r>
    <x v="0"/>
    <x v="25"/>
    <x v="25"/>
    <x v="1"/>
    <x v="1"/>
    <x v="1"/>
    <x v="0"/>
    <x v="54"/>
    <x v="146"/>
    <x v="95"/>
    <x v="320"/>
    <x v="40"/>
    <x v="246"/>
    <x v="0"/>
  </r>
  <r>
    <x v="0"/>
    <x v="25"/>
    <x v="25"/>
    <x v="0"/>
    <x v="0"/>
    <x v="0"/>
    <x v="1"/>
    <x v="116"/>
    <x v="234"/>
    <x v="73"/>
    <x v="321"/>
    <x v="70"/>
    <x v="65"/>
    <x v="0"/>
  </r>
  <r>
    <x v="0"/>
    <x v="25"/>
    <x v="25"/>
    <x v="3"/>
    <x v="3"/>
    <x v="3"/>
    <x v="2"/>
    <x v="106"/>
    <x v="90"/>
    <x v="65"/>
    <x v="322"/>
    <x v="72"/>
    <x v="247"/>
    <x v="0"/>
  </r>
  <r>
    <x v="0"/>
    <x v="25"/>
    <x v="25"/>
    <x v="8"/>
    <x v="8"/>
    <x v="8"/>
    <x v="3"/>
    <x v="98"/>
    <x v="2"/>
    <x v="101"/>
    <x v="150"/>
    <x v="53"/>
    <x v="44"/>
    <x v="0"/>
  </r>
  <r>
    <x v="0"/>
    <x v="25"/>
    <x v="25"/>
    <x v="5"/>
    <x v="5"/>
    <x v="5"/>
    <x v="4"/>
    <x v="83"/>
    <x v="235"/>
    <x v="50"/>
    <x v="323"/>
    <x v="40"/>
    <x v="246"/>
    <x v="0"/>
  </r>
  <r>
    <x v="0"/>
    <x v="25"/>
    <x v="25"/>
    <x v="6"/>
    <x v="6"/>
    <x v="6"/>
    <x v="5"/>
    <x v="108"/>
    <x v="236"/>
    <x v="94"/>
    <x v="324"/>
    <x v="61"/>
    <x v="248"/>
    <x v="0"/>
  </r>
  <r>
    <x v="0"/>
    <x v="25"/>
    <x v="25"/>
    <x v="11"/>
    <x v="11"/>
    <x v="11"/>
    <x v="6"/>
    <x v="99"/>
    <x v="161"/>
    <x v="87"/>
    <x v="267"/>
    <x v="39"/>
    <x v="249"/>
    <x v="0"/>
  </r>
  <r>
    <x v="0"/>
    <x v="25"/>
    <x v="25"/>
    <x v="2"/>
    <x v="2"/>
    <x v="2"/>
    <x v="6"/>
    <x v="99"/>
    <x v="161"/>
    <x v="75"/>
    <x v="325"/>
    <x v="40"/>
    <x v="246"/>
    <x v="0"/>
  </r>
  <r>
    <x v="0"/>
    <x v="25"/>
    <x v="25"/>
    <x v="27"/>
    <x v="27"/>
    <x v="27"/>
    <x v="8"/>
    <x v="100"/>
    <x v="28"/>
    <x v="87"/>
    <x v="267"/>
    <x v="59"/>
    <x v="82"/>
    <x v="0"/>
  </r>
  <r>
    <x v="0"/>
    <x v="25"/>
    <x v="25"/>
    <x v="10"/>
    <x v="10"/>
    <x v="10"/>
    <x v="8"/>
    <x v="100"/>
    <x v="28"/>
    <x v="63"/>
    <x v="211"/>
    <x v="42"/>
    <x v="250"/>
    <x v="0"/>
  </r>
  <r>
    <x v="0"/>
    <x v="25"/>
    <x v="25"/>
    <x v="13"/>
    <x v="13"/>
    <x v="13"/>
    <x v="8"/>
    <x v="100"/>
    <x v="28"/>
    <x v="75"/>
    <x v="325"/>
    <x v="43"/>
    <x v="167"/>
    <x v="0"/>
  </r>
  <r>
    <x v="0"/>
    <x v="25"/>
    <x v="25"/>
    <x v="35"/>
    <x v="35"/>
    <x v="35"/>
    <x v="11"/>
    <x v="97"/>
    <x v="233"/>
    <x v="63"/>
    <x v="211"/>
    <x v="53"/>
    <x v="44"/>
    <x v="0"/>
  </r>
  <r>
    <x v="0"/>
    <x v="25"/>
    <x v="25"/>
    <x v="4"/>
    <x v="4"/>
    <x v="4"/>
    <x v="11"/>
    <x v="97"/>
    <x v="233"/>
    <x v="29"/>
    <x v="326"/>
    <x v="70"/>
    <x v="65"/>
    <x v="0"/>
  </r>
  <r>
    <x v="0"/>
    <x v="25"/>
    <x v="25"/>
    <x v="15"/>
    <x v="15"/>
    <x v="15"/>
    <x v="13"/>
    <x v="104"/>
    <x v="75"/>
    <x v="82"/>
    <x v="204"/>
    <x v="53"/>
    <x v="44"/>
    <x v="0"/>
  </r>
  <r>
    <x v="0"/>
    <x v="25"/>
    <x v="25"/>
    <x v="9"/>
    <x v="9"/>
    <x v="9"/>
    <x v="14"/>
    <x v="110"/>
    <x v="15"/>
    <x v="32"/>
    <x v="327"/>
    <x v="71"/>
    <x v="251"/>
    <x v="0"/>
  </r>
  <r>
    <x v="0"/>
    <x v="25"/>
    <x v="25"/>
    <x v="51"/>
    <x v="51"/>
    <x v="51"/>
    <x v="15"/>
    <x v="111"/>
    <x v="100"/>
    <x v="32"/>
    <x v="327"/>
    <x v="70"/>
    <x v="65"/>
    <x v="0"/>
  </r>
  <r>
    <x v="0"/>
    <x v="25"/>
    <x v="25"/>
    <x v="36"/>
    <x v="36"/>
    <x v="36"/>
    <x v="15"/>
    <x v="111"/>
    <x v="100"/>
    <x v="94"/>
    <x v="324"/>
    <x v="55"/>
    <x v="252"/>
    <x v="0"/>
  </r>
  <r>
    <x v="0"/>
    <x v="25"/>
    <x v="25"/>
    <x v="18"/>
    <x v="18"/>
    <x v="18"/>
    <x v="17"/>
    <x v="112"/>
    <x v="111"/>
    <x v="51"/>
    <x v="328"/>
    <x v="40"/>
    <x v="246"/>
    <x v="0"/>
  </r>
  <r>
    <x v="0"/>
    <x v="25"/>
    <x v="25"/>
    <x v="52"/>
    <x v="52"/>
    <x v="52"/>
    <x v="18"/>
    <x v="133"/>
    <x v="78"/>
    <x v="87"/>
    <x v="267"/>
    <x v="75"/>
    <x v="120"/>
    <x v="0"/>
  </r>
  <r>
    <x v="0"/>
    <x v="25"/>
    <x v="25"/>
    <x v="34"/>
    <x v="34"/>
    <x v="34"/>
    <x v="18"/>
    <x v="133"/>
    <x v="78"/>
    <x v="62"/>
    <x v="127"/>
    <x v="71"/>
    <x v="251"/>
    <x v="0"/>
  </r>
  <r>
    <x v="0"/>
    <x v="25"/>
    <x v="25"/>
    <x v="7"/>
    <x v="7"/>
    <x v="7"/>
    <x v="18"/>
    <x v="133"/>
    <x v="78"/>
    <x v="87"/>
    <x v="267"/>
    <x v="75"/>
    <x v="120"/>
    <x v="0"/>
  </r>
  <r>
    <x v="0"/>
    <x v="26"/>
    <x v="26"/>
    <x v="2"/>
    <x v="2"/>
    <x v="2"/>
    <x v="0"/>
    <x v="139"/>
    <x v="237"/>
    <x v="117"/>
    <x v="329"/>
    <x v="53"/>
    <x v="253"/>
    <x v="0"/>
  </r>
  <r>
    <x v="0"/>
    <x v="26"/>
    <x v="26"/>
    <x v="1"/>
    <x v="1"/>
    <x v="1"/>
    <x v="1"/>
    <x v="55"/>
    <x v="238"/>
    <x v="95"/>
    <x v="330"/>
    <x v="75"/>
    <x v="120"/>
    <x v="0"/>
  </r>
  <r>
    <x v="0"/>
    <x v="26"/>
    <x v="26"/>
    <x v="6"/>
    <x v="6"/>
    <x v="6"/>
    <x v="2"/>
    <x v="116"/>
    <x v="142"/>
    <x v="64"/>
    <x v="331"/>
    <x v="46"/>
    <x v="254"/>
    <x v="0"/>
  </r>
  <r>
    <x v="0"/>
    <x v="26"/>
    <x v="26"/>
    <x v="5"/>
    <x v="5"/>
    <x v="5"/>
    <x v="3"/>
    <x v="106"/>
    <x v="214"/>
    <x v="90"/>
    <x v="332"/>
    <x v="39"/>
    <x v="255"/>
    <x v="0"/>
  </r>
  <r>
    <x v="0"/>
    <x v="26"/>
    <x v="26"/>
    <x v="0"/>
    <x v="0"/>
    <x v="0"/>
    <x v="4"/>
    <x v="86"/>
    <x v="239"/>
    <x v="65"/>
    <x v="333"/>
    <x v="71"/>
    <x v="81"/>
    <x v="0"/>
  </r>
  <r>
    <x v="0"/>
    <x v="26"/>
    <x v="26"/>
    <x v="8"/>
    <x v="8"/>
    <x v="8"/>
    <x v="5"/>
    <x v="108"/>
    <x v="240"/>
    <x v="38"/>
    <x v="334"/>
    <x v="26"/>
    <x v="256"/>
    <x v="0"/>
  </r>
  <r>
    <x v="0"/>
    <x v="26"/>
    <x v="26"/>
    <x v="10"/>
    <x v="10"/>
    <x v="10"/>
    <x v="6"/>
    <x v="109"/>
    <x v="81"/>
    <x v="32"/>
    <x v="335"/>
    <x v="73"/>
    <x v="257"/>
    <x v="0"/>
  </r>
  <r>
    <x v="0"/>
    <x v="26"/>
    <x v="26"/>
    <x v="3"/>
    <x v="3"/>
    <x v="3"/>
    <x v="7"/>
    <x v="92"/>
    <x v="56"/>
    <x v="75"/>
    <x v="336"/>
    <x v="59"/>
    <x v="258"/>
    <x v="0"/>
  </r>
  <r>
    <x v="0"/>
    <x v="26"/>
    <x v="26"/>
    <x v="27"/>
    <x v="27"/>
    <x v="27"/>
    <x v="8"/>
    <x v="96"/>
    <x v="6"/>
    <x v="29"/>
    <x v="337"/>
    <x v="40"/>
    <x v="169"/>
    <x v="0"/>
  </r>
  <r>
    <x v="0"/>
    <x v="26"/>
    <x v="26"/>
    <x v="19"/>
    <x v="19"/>
    <x v="19"/>
    <x v="8"/>
    <x v="96"/>
    <x v="6"/>
    <x v="63"/>
    <x v="338"/>
    <x v="26"/>
    <x v="256"/>
    <x v="0"/>
  </r>
  <r>
    <x v="0"/>
    <x v="26"/>
    <x v="26"/>
    <x v="7"/>
    <x v="7"/>
    <x v="7"/>
    <x v="8"/>
    <x v="96"/>
    <x v="6"/>
    <x v="47"/>
    <x v="339"/>
    <x v="75"/>
    <x v="120"/>
    <x v="0"/>
  </r>
  <r>
    <x v="0"/>
    <x v="26"/>
    <x v="26"/>
    <x v="14"/>
    <x v="14"/>
    <x v="14"/>
    <x v="11"/>
    <x v="100"/>
    <x v="241"/>
    <x v="82"/>
    <x v="294"/>
    <x v="55"/>
    <x v="259"/>
    <x v="0"/>
  </r>
  <r>
    <x v="0"/>
    <x v="26"/>
    <x v="26"/>
    <x v="53"/>
    <x v="53"/>
    <x v="53"/>
    <x v="12"/>
    <x v="110"/>
    <x v="233"/>
    <x v="93"/>
    <x v="132"/>
    <x v="73"/>
    <x v="257"/>
    <x v="0"/>
  </r>
  <r>
    <x v="0"/>
    <x v="26"/>
    <x v="26"/>
    <x v="15"/>
    <x v="15"/>
    <x v="15"/>
    <x v="13"/>
    <x v="111"/>
    <x v="242"/>
    <x v="94"/>
    <x v="66"/>
    <x v="55"/>
    <x v="259"/>
    <x v="0"/>
  </r>
  <r>
    <x v="0"/>
    <x v="26"/>
    <x v="26"/>
    <x v="13"/>
    <x v="13"/>
    <x v="13"/>
    <x v="13"/>
    <x v="111"/>
    <x v="242"/>
    <x v="32"/>
    <x v="335"/>
    <x v="70"/>
    <x v="37"/>
    <x v="0"/>
  </r>
  <r>
    <x v="0"/>
    <x v="26"/>
    <x v="26"/>
    <x v="28"/>
    <x v="28"/>
    <x v="28"/>
    <x v="15"/>
    <x v="112"/>
    <x v="31"/>
    <x v="86"/>
    <x v="340"/>
    <x v="72"/>
    <x v="229"/>
    <x v="0"/>
  </r>
  <r>
    <x v="0"/>
    <x v="26"/>
    <x v="26"/>
    <x v="18"/>
    <x v="18"/>
    <x v="18"/>
    <x v="16"/>
    <x v="113"/>
    <x v="76"/>
    <x v="91"/>
    <x v="18"/>
    <x v="39"/>
    <x v="255"/>
    <x v="0"/>
  </r>
  <r>
    <x v="0"/>
    <x v="26"/>
    <x v="26"/>
    <x v="4"/>
    <x v="4"/>
    <x v="4"/>
    <x v="16"/>
    <x v="113"/>
    <x v="76"/>
    <x v="61"/>
    <x v="128"/>
    <x v="75"/>
    <x v="120"/>
    <x v="0"/>
  </r>
  <r>
    <x v="0"/>
    <x v="26"/>
    <x v="26"/>
    <x v="12"/>
    <x v="12"/>
    <x v="12"/>
    <x v="16"/>
    <x v="113"/>
    <x v="76"/>
    <x v="82"/>
    <x v="294"/>
    <x v="40"/>
    <x v="169"/>
    <x v="0"/>
  </r>
  <r>
    <x v="0"/>
    <x v="26"/>
    <x v="26"/>
    <x v="34"/>
    <x v="34"/>
    <x v="34"/>
    <x v="19"/>
    <x v="114"/>
    <x v="243"/>
    <x v="51"/>
    <x v="104"/>
    <x v="70"/>
    <x v="37"/>
    <x v="0"/>
  </r>
  <r>
    <x v="0"/>
    <x v="26"/>
    <x v="26"/>
    <x v="54"/>
    <x v="54"/>
    <x v="54"/>
    <x v="19"/>
    <x v="114"/>
    <x v="243"/>
    <x v="92"/>
    <x v="213"/>
    <x v="53"/>
    <x v="253"/>
    <x v="0"/>
  </r>
  <r>
    <x v="0"/>
    <x v="27"/>
    <x v="27"/>
    <x v="43"/>
    <x v="43"/>
    <x v="43"/>
    <x v="0"/>
    <x v="140"/>
    <x v="244"/>
    <x v="123"/>
    <x v="341"/>
    <x v="7"/>
    <x v="260"/>
    <x v="0"/>
  </r>
  <r>
    <x v="0"/>
    <x v="27"/>
    <x v="27"/>
    <x v="0"/>
    <x v="0"/>
    <x v="0"/>
    <x v="1"/>
    <x v="64"/>
    <x v="245"/>
    <x v="119"/>
    <x v="342"/>
    <x v="34"/>
    <x v="175"/>
    <x v="0"/>
  </r>
  <r>
    <x v="0"/>
    <x v="27"/>
    <x v="27"/>
    <x v="11"/>
    <x v="11"/>
    <x v="11"/>
    <x v="2"/>
    <x v="53"/>
    <x v="246"/>
    <x v="71"/>
    <x v="94"/>
    <x v="69"/>
    <x v="261"/>
    <x v="0"/>
  </r>
  <r>
    <x v="0"/>
    <x v="27"/>
    <x v="27"/>
    <x v="1"/>
    <x v="1"/>
    <x v="1"/>
    <x v="3"/>
    <x v="81"/>
    <x v="247"/>
    <x v="89"/>
    <x v="343"/>
    <x v="70"/>
    <x v="41"/>
    <x v="0"/>
  </r>
  <r>
    <x v="0"/>
    <x v="27"/>
    <x v="27"/>
    <x v="5"/>
    <x v="5"/>
    <x v="5"/>
    <x v="4"/>
    <x v="116"/>
    <x v="148"/>
    <x v="71"/>
    <x v="94"/>
    <x v="39"/>
    <x v="262"/>
    <x v="0"/>
  </r>
  <r>
    <x v="0"/>
    <x v="27"/>
    <x v="27"/>
    <x v="6"/>
    <x v="6"/>
    <x v="6"/>
    <x v="5"/>
    <x v="82"/>
    <x v="248"/>
    <x v="61"/>
    <x v="282"/>
    <x v="63"/>
    <x v="263"/>
    <x v="0"/>
  </r>
  <r>
    <x v="0"/>
    <x v="27"/>
    <x v="27"/>
    <x v="3"/>
    <x v="3"/>
    <x v="3"/>
    <x v="6"/>
    <x v="83"/>
    <x v="249"/>
    <x v="101"/>
    <x v="257"/>
    <x v="72"/>
    <x v="10"/>
    <x v="0"/>
  </r>
  <r>
    <x v="0"/>
    <x v="27"/>
    <x v="27"/>
    <x v="8"/>
    <x v="8"/>
    <x v="8"/>
    <x v="7"/>
    <x v="109"/>
    <x v="9"/>
    <x v="74"/>
    <x v="127"/>
    <x v="65"/>
    <x v="264"/>
    <x v="0"/>
  </r>
  <r>
    <x v="0"/>
    <x v="27"/>
    <x v="27"/>
    <x v="18"/>
    <x v="18"/>
    <x v="18"/>
    <x v="8"/>
    <x v="94"/>
    <x v="184"/>
    <x v="61"/>
    <x v="282"/>
    <x v="58"/>
    <x v="265"/>
    <x v="0"/>
  </r>
  <r>
    <x v="0"/>
    <x v="27"/>
    <x v="27"/>
    <x v="55"/>
    <x v="55"/>
    <x v="55"/>
    <x v="9"/>
    <x v="89"/>
    <x v="46"/>
    <x v="29"/>
    <x v="259"/>
    <x v="53"/>
    <x v="249"/>
    <x v="0"/>
  </r>
  <r>
    <x v="0"/>
    <x v="27"/>
    <x v="27"/>
    <x v="56"/>
    <x v="56"/>
    <x v="56"/>
    <x v="9"/>
    <x v="89"/>
    <x v="46"/>
    <x v="91"/>
    <x v="67"/>
    <x v="54"/>
    <x v="266"/>
    <x v="0"/>
  </r>
  <r>
    <x v="0"/>
    <x v="27"/>
    <x v="27"/>
    <x v="4"/>
    <x v="4"/>
    <x v="4"/>
    <x v="11"/>
    <x v="95"/>
    <x v="119"/>
    <x v="84"/>
    <x v="325"/>
    <x v="43"/>
    <x v="239"/>
    <x v="0"/>
  </r>
  <r>
    <x v="0"/>
    <x v="27"/>
    <x v="27"/>
    <x v="13"/>
    <x v="13"/>
    <x v="13"/>
    <x v="12"/>
    <x v="96"/>
    <x v="211"/>
    <x v="60"/>
    <x v="344"/>
    <x v="70"/>
    <x v="41"/>
    <x v="0"/>
  </r>
  <r>
    <x v="0"/>
    <x v="27"/>
    <x v="27"/>
    <x v="9"/>
    <x v="9"/>
    <x v="9"/>
    <x v="12"/>
    <x v="96"/>
    <x v="211"/>
    <x v="38"/>
    <x v="345"/>
    <x v="71"/>
    <x v="267"/>
    <x v="0"/>
  </r>
  <r>
    <x v="0"/>
    <x v="27"/>
    <x v="27"/>
    <x v="27"/>
    <x v="27"/>
    <x v="27"/>
    <x v="14"/>
    <x v="99"/>
    <x v="100"/>
    <x v="76"/>
    <x v="346"/>
    <x v="71"/>
    <x v="267"/>
    <x v="0"/>
  </r>
  <r>
    <x v="0"/>
    <x v="27"/>
    <x v="27"/>
    <x v="14"/>
    <x v="14"/>
    <x v="14"/>
    <x v="14"/>
    <x v="99"/>
    <x v="100"/>
    <x v="62"/>
    <x v="331"/>
    <x v="53"/>
    <x v="249"/>
    <x v="0"/>
  </r>
  <r>
    <x v="0"/>
    <x v="27"/>
    <x v="27"/>
    <x v="29"/>
    <x v="29"/>
    <x v="29"/>
    <x v="14"/>
    <x v="99"/>
    <x v="100"/>
    <x v="76"/>
    <x v="346"/>
    <x v="71"/>
    <x v="267"/>
    <x v="0"/>
  </r>
  <r>
    <x v="0"/>
    <x v="27"/>
    <x v="27"/>
    <x v="10"/>
    <x v="10"/>
    <x v="10"/>
    <x v="17"/>
    <x v="100"/>
    <x v="155"/>
    <x v="82"/>
    <x v="32"/>
    <x v="55"/>
    <x v="116"/>
    <x v="0"/>
  </r>
  <r>
    <x v="0"/>
    <x v="27"/>
    <x v="27"/>
    <x v="57"/>
    <x v="57"/>
    <x v="57"/>
    <x v="18"/>
    <x v="104"/>
    <x v="212"/>
    <x v="86"/>
    <x v="66"/>
    <x v="55"/>
    <x v="116"/>
    <x v="0"/>
  </r>
  <r>
    <x v="0"/>
    <x v="27"/>
    <x v="27"/>
    <x v="17"/>
    <x v="17"/>
    <x v="17"/>
    <x v="18"/>
    <x v="104"/>
    <x v="212"/>
    <x v="63"/>
    <x v="347"/>
    <x v="72"/>
    <x v="10"/>
    <x v="0"/>
  </r>
  <r>
    <x v="0"/>
    <x v="28"/>
    <x v="28"/>
    <x v="2"/>
    <x v="2"/>
    <x v="2"/>
    <x v="0"/>
    <x v="141"/>
    <x v="250"/>
    <x v="124"/>
    <x v="348"/>
    <x v="68"/>
    <x v="268"/>
    <x v="0"/>
  </r>
  <r>
    <x v="0"/>
    <x v="28"/>
    <x v="28"/>
    <x v="0"/>
    <x v="0"/>
    <x v="0"/>
    <x v="1"/>
    <x v="57"/>
    <x v="196"/>
    <x v="125"/>
    <x v="349"/>
    <x v="59"/>
    <x v="115"/>
    <x v="0"/>
  </r>
  <r>
    <x v="0"/>
    <x v="28"/>
    <x v="28"/>
    <x v="1"/>
    <x v="1"/>
    <x v="1"/>
    <x v="2"/>
    <x v="34"/>
    <x v="251"/>
    <x v="126"/>
    <x v="350"/>
    <x v="59"/>
    <x v="115"/>
    <x v="0"/>
  </r>
  <r>
    <x v="0"/>
    <x v="28"/>
    <x v="28"/>
    <x v="14"/>
    <x v="14"/>
    <x v="14"/>
    <x v="3"/>
    <x v="105"/>
    <x v="252"/>
    <x v="82"/>
    <x v="351"/>
    <x v="84"/>
    <x v="269"/>
    <x v="0"/>
  </r>
  <r>
    <x v="0"/>
    <x v="28"/>
    <x v="28"/>
    <x v="7"/>
    <x v="7"/>
    <x v="7"/>
    <x v="4"/>
    <x v="139"/>
    <x v="144"/>
    <x v="106"/>
    <x v="352"/>
    <x v="40"/>
    <x v="25"/>
    <x v="0"/>
  </r>
  <r>
    <x v="0"/>
    <x v="28"/>
    <x v="28"/>
    <x v="4"/>
    <x v="4"/>
    <x v="4"/>
    <x v="5"/>
    <x v="61"/>
    <x v="253"/>
    <x v="83"/>
    <x v="353"/>
    <x v="69"/>
    <x v="59"/>
    <x v="0"/>
  </r>
  <r>
    <x v="0"/>
    <x v="28"/>
    <x v="28"/>
    <x v="6"/>
    <x v="6"/>
    <x v="6"/>
    <x v="6"/>
    <x v="47"/>
    <x v="145"/>
    <x v="82"/>
    <x v="351"/>
    <x v="85"/>
    <x v="270"/>
    <x v="0"/>
  </r>
  <r>
    <x v="0"/>
    <x v="28"/>
    <x v="28"/>
    <x v="10"/>
    <x v="10"/>
    <x v="10"/>
    <x v="7"/>
    <x v="51"/>
    <x v="254"/>
    <x v="62"/>
    <x v="90"/>
    <x v="35"/>
    <x v="271"/>
    <x v="0"/>
  </r>
  <r>
    <x v="0"/>
    <x v="28"/>
    <x v="28"/>
    <x v="5"/>
    <x v="5"/>
    <x v="5"/>
    <x v="7"/>
    <x v="51"/>
    <x v="254"/>
    <x v="59"/>
    <x v="108"/>
    <x v="65"/>
    <x v="272"/>
    <x v="0"/>
  </r>
  <r>
    <x v="0"/>
    <x v="28"/>
    <x v="28"/>
    <x v="3"/>
    <x v="3"/>
    <x v="3"/>
    <x v="9"/>
    <x v="52"/>
    <x v="93"/>
    <x v="48"/>
    <x v="195"/>
    <x v="49"/>
    <x v="127"/>
    <x v="0"/>
  </r>
  <r>
    <x v="0"/>
    <x v="28"/>
    <x v="28"/>
    <x v="9"/>
    <x v="9"/>
    <x v="9"/>
    <x v="10"/>
    <x v="116"/>
    <x v="86"/>
    <x v="48"/>
    <x v="195"/>
    <x v="34"/>
    <x v="9"/>
    <x v="0"/>
  </r>
  <r>
    <x v="0"/>
    <x v="28"/>
    <x v="28"/>
    <x v="58"/>
    <x v="58"/>
    <x v="58"/>
    <x v="11"/>
    <x v="102"/>
    <x v="242"/>
    <x v="93"/>
    <x v="132"/>
    <x v="27"/>
    <x v="273"/>
    <x v="0"/>
  </r>
  <r>
    <x v="0"/>
    <x v="28"/>
    <x v="28"/>
    <x v="13"/>
    <x v="13"/>
    <x v="13"/>
    <x v="12"/>
    <x v="106"/>
    <x v="185"/>
    <x v="50"/>
    <x v="325"/>
    <x v="59"/>
    <x v="115"/>
    <x v="0"/>
  </r>
  <r>
    <x v="0"/>
    <x v="28"/>
    <x v="28"/>
    <x v="11"/>
    <x v="11"/>
    <x v="11"/>
    <x v="12"/>
    <x v="106"/>
    <x v="185"/>
    <x v="38"/>
    <x v="34"/>
    <x v="67"/>
    <x v="274"/>
    <x v="0"/>
  </r>
  <r>
    <x v="0"/>
    <x v="28"/>
    <x v="28"/>
    <x v="59"/>
    <x v="59"/>
    <x v="59"/>
    <x v="14"/>
    <x v="83"/>
    <x v="99"/>
    <x v="93"/>
    <x v="132"/>
    <x v="25"/>
    <x v="275"/>
    <x v="0"/>
  </r>
  <r>
    <x v="0"/>
    <x v="28"/>
    <x v="28"/>
    <x v="15"/>
    <x v="15"/>
    <x v="15"/>
    <x v="15"/>
    <x v="86"/>
    <x v="111"/>
    <x v="91"/>
    <x v="19"/>
    <x v="61"/>
    <x v="188"/>
    <x v="0"/>
  </r>
  <r>
    <x v="0"/>
    <x v="28"/>
    <x v="28"/>
    <x v="35"/>
    <x v="35"/>
    <x v="35"/>
    <x v="16"/>
    <x v="108"/>
    <x v="76"/>
    <x v="92"/>
    <x v="354"/>
    <x v="48"/>
    <x v="215"/>
    <x v="0"/>
  </r>
  <r>
    <x v="0"/>
    <x v="28"/>
    <x v="28"/>
    <x v="12"/>
    <x v="12"/>
    <x v="12"/>
    <x v="16"/>
    <x v="108"/>
    <x v="76"/>
    <x v="85"/>
    <x v="355"/>
    <x v="59"/>
    <x v="115"/>
    <x v="0"/>
  </r>
  <r>
    <x v="0"/>
    <x v="28"/>
    <x v="28"/>
    <x v="41"/>
    <x v="41"/>
    <x v="41"/>
    <x v="18"/>
    <x v="88"/>
    <x v="175"/>
    <x v="81"/>
    <x v="112"/>
    <x v="34"/>
    <x v="9"/>
    <x v="0"/>
  </r>
  <r>
    <x v="0"/>
    <x v="28"/>
    <x v="28"/>
    <x v="22"/>
    <x v="22"/>
    <x v="22"/>
    <x v="19"/>
    <x v="109"/>
    <x v="88"/>
    <x v="76"/>
    <x v="141"/>
    <x v="42"/>
    <x v="104"/>
    <x v="0"/>
  </r>
  <r>
    <x v="0"/>
    <x v="29"/>
    <x v="29"/>
    <x v="3"/>
    <x v="3"/>
    <x v="3"/>
    <x v="0"/>
    <x v="62"/>
    <x v="255"/>
    <x v="35"/>
    <x v="56"/>
    <x v="42"/>
    <x v="276"/>
    <x v="0"/>
  </r>
  <r>
    <x v="0"/>
    <x v="29"/>
    <x v="29"/>
    <x v="1"/>
    <x v="1"/>
    <x v="1"/>
    <x v="1"/>
    <x v="67"/>
    <x v="187"/>
    <x v="49"/>
    <x v="333"/>
    <x v="43"/>
    <x v="56"/>
    <x v="0"/>
  </r>
  <r>
    <x v="0"/>
    <x v="29"/>
    <x v="29"/>
    <x v="5"/>
    <x v="5"/>
    <x v="5"/>
    <x v="2"/>
    <x v="93"/>
    <x v="256"/>
    <x v="55"/>
    <x v="356"/>
    <x v="70"/>
    <x v="277"/>
    <x v="0"/>
  </r>
  <r>
    <x v="0"/>
    <x v="29"/>
    <x v="29"/>
    <x v="0"/>
    <x v="0"/>
    <x v="0"/>
    <x v="3"/>
    <x v="82"/>
    <x v="257"/>
    <x v="52"/>
    <x v="357"/>
    <x v="70"/>
    <x v="277"/>
    <x v="0"/>
  </r>
  <r>
    <x v="0"/>
    <x v="29"/>
    <x v="29"/>
    <x v="6"/>
    <x v="6"/>
    <x v="6"/>
    <x v="4"/>
    <x v="98"/>
    <x v="67"/>
    <x v="86"/>
    <x v="15"/>
    <x v="64"/>
    <x v="278"/>
    <x v="0"/>
  </r>
  <r>
    <x v="0"/>
    <x v="29"/>
    <x v="29"/>
    <x v="8"/>
    <x v="8"/>
    <x v="8"/>
    <x v="5"/>
    <x v="103"/>
    <x v="240"/>
    <x v="96"/>
    <x v="236"/>
    <x v="72"/>
    <x v="279"/>
    <x v="0"/>
  </r>
  <r>
    <x v="0"/>
    <x v="29"/>
    <x v="29"/>
    <x v="13"/>
    <x v="13"/>
    <x v="13"/>
    <x v="6"/>
    <x v="84"/>
    <x v="258"/>
    <x v="33"/>
    <x v="94"/>
    <x v="40"/>
    <x v="280"/>
    <x v="1"/>
  </r>
  <r>
    <x v="0"/>
    <x v="29"/>
    <x v="29"/>
    <x v="18"/>
    <x v="18"/>
    <x v="18"/>
    <x v="7"/>
    <x v="108"/>
    <x v="259"/>
    <x v="85"/>
    <x v="358"/>
    <x v="59"/>
    <x v="93"/>
    <x v="0"/>
  </r>
  <r>
    <x v="0"/>
    <x v="29"/>
    <x v="29"/>
    <x v="10"/>
    <x v="10"/>
    <x v="10"/>
    <x v="8"/>
    <x v="89"/>
    <x v="68"/>
    <x v="32"/>
    <x v="228"/>
    <x v="26"/>
    <x v="281"/>
    <x v="0"/>
  </r>
  <r>
    <x v="0"/>
    <x v="29"/>
    <x v="29"/>
    <x v="4"/>
    <x v="4"/>
    <x v="4"/>
    <x v="9"/>
    <x v="99"/>
    <x v="184"/>
    <x v="76"/>
    <x v="12"/>
    <x v="71"/>
    <x v="187"/>
    <x v="0"/>
  </r>
  <r>
    <x v="0"/>
    <x v="29"/>
    <x v="29"/>
    <x v="60"/>
    <x v="60"/>
    <x v="60"/>
    <x v="10"/>
    <x v="97"/>
    <x v="13"/>
    <x v="64"/>
    <x v="359"/>
    <x v="55"/>
    <x v="282"/>
    <x v="0"/>
  </r>
  <r>
    <x v="0"/>
    <x v="29"/>
    <x v="29"/>
    <x v="27"/>
    <x v="27"/>
    <x v="27"/>
    <x v="11"/>
    <x v="104"/>
    <x v="225"/>
    <x v="74"/>
    <x v="98"/>
    <x v="71"/>
    <x v="187"/>
    <x v="0"/>
  </r>
  <r>
    <x v="0"/>
    <x v="29"/>
    <x v="29"/>
    <x v="14"/>
    <x v="14"/>
    <x v="14"/>
    <x v="12"/>
    <x v="110"/>
    <x v="49"/>
    <x v="51"/>
    <x v="360"/>
    <x v="59"/>
    <x v="93"/>
    <x v="0"/>
  </r>
  <r>
    <x v="0"/>
    <x v="29"/>
    <x v="29"/>
    <x v="29"/>
    <x v="29"/>
    <x v="29"/>
    <x v="12"/>
    <x v="110"/>
    <x v="49"/>
    <x v="32"/>
    <x v="228"/>
    <x v="71"/>
    <x v="187"/>
    <x v="0"/>
  </r>
  <r>
    <x v="0"/>
    <x v="29"/>
    <x v="29"/>
    <x v="15"/>
    <x v="15"/>
    <x v="15"/>
    <x v="14"/>
    <x v="111"/>
    <x v="205"/>
    <x v="51"/>
    <x v="360"/>
    <x v="34"/>
    <x v="249"/>
    <x v="0"/>
  </r>
  <r>
    <x v="0"/>
    <x v="29"/>
    <x v="29"/>
    <x v="9"/>
    <x v="9"/>
    <x v="9"/>
    <x v="14"/>
    <x v="111"/>
    <x v="205"/>
    <x v="74"/>
    <x v="98"/>
    <x v="75"/>
    <x v="120"/>
    <x v="0"/>
  </r>
  <r>
    <x v="0"/>
    <x v="29"/>
    <x v="29"/>
    <x v="39"/>
    <x v="39"/>
    <x v="39"/>
    <x v="16"/>
    <x v="112"/>
    <x v="111"/>
    <x v="87"/>
    <x v="46"/>
    <x v="70"/>
    <x v="277"/>
    <x v="0"/>
  </r>
  <r>
    <x v="0"/>
    <x v="29"/>
    <x v="29"/>
    <x v="33"/>
    <x v="33"/>
    <x v="33"/>
    <x v="17"/>
    <x v="133"/>
    <x v="36"/>
    <x v="61"/>
    <x v="133"/>
    <x v="70"/>
    <x v="277"/>
    <x v="0"/>
  </r>
  <r>
    <x v="0"/>
    <x v="29"/>
    <x v="29"/>
    <x v="52"/>
    <x v="52"/>
    <x v="52"/>
    <x v="17"/>
    <x v="133"/>
    <x v="36"/>
    <x v="62"/>
    <x v="361"/>
    <x v="71"/>
    <x v="187"/>
    <x v="0"/>
  </r>
  <r>
    <x v="0"/>
    <x v="29"/>
    <x v="29"/>
    <x v="49"/>
    <x v="49"/>
    <x v="49"/>
    <x v="19"/>
    <x v="113"/>
    <x v="18"/>
    <x v="62"/>
    <x v="361"/>
    <x v="70"/>
    <x v="277"/>
    <x v="0"/>
  </r>
  <r>
    <x v="0"/>
    <x v="29"/>
    <x v="29"/>
    <x v="28"/>
    <x v="28"/>
    <x v="28"/>
    <x v="19"/>
    <x v="113"/>
    <x v="18"/>
    <x v="82"/>
    <x v="308"/>
    <x v="40"/>
    <x v="280"/>
    <x v="0"/>
  </r>
  <r>
    <x v="0"/>
    <x v="29"/>
    <x v="29"/>
    <x v="32"/>
    <x v="32"/>
    <x v="32"/>
    <x v="19"/>
    <x v="113"/>
    <x v="18"/>
    <x v="64"/>
    <x v="359"/>
    <x v="34"/>
    <x v="249"/>
    <x v="0"/>
  </r>
  <r>
    <x v="0"/>
    <x v="29"/>
    <x v="29"/>
    <x v="16"/>
    <x v="16"/>
    <x v="16"/>
    <x v="19"/>
    <x v="113"/>
    <x v="18"/>
    <x v="64"/>
    <x v="359"/>
    <x v="40"/>
    <x v="280"/>
    <x v="0"/>
  </r>
  <r>
    <x v="0"/>
    <x v="29"/>
    <x v="29"/>
    <x v="34"/>
    <x v="34"/>
    <x v="34"/>
    <x v="19"/>
    <x v="113"/>
    <x v="18"/>
    <x v="61"/>
    <x v="133"/>
    <x v="75"/>
    <x v="120"/>
    <x v="0"/>
  </r>
  <r>
    <x v="0"/>
    <x v="29"/>
    <x v="29"/>
    <x v="7"/>
    <x v="7"/>
    <x v="7"/>
    <x v="19"/>
    <x v="113"/>
    <x v="18"/>
    <x v="61"/>
    <x v="133"/>
    <x v="75"/>
    <x v="120"/>
    <x v="0"/>
  </r>
  <r>
    <x v="0"/>
    <x v="30"/>
    <x v="30"/>
    <x v="1"/>
    <x v="1"/>
    <x v="1"/>
    <x v="0"/>
    <x v="107"/>
    <x v="260"/>
    <x v="99"/>
    <x v="362"/>
    <x v="43"/>
    <x v="104"/>
    <x v="0"/>
  </r>
  <r>
    <x v="0"/>
    <x v="30"/>
    <x v="30"/>
    <x v="3"/>
    <x v="3"/>
    <x v="3"/>
    <x v="1"/>
    <x v="49"/>
    <x v="261"/>
    <x v="35"/>
    <x v="363"/>
    <x v="26"/>
    <x v="212"/>
    <x v="0"/>
  </r>
  <r>
    <x v="0"/>
    <x v="30"/>
    <x v="30"/>
    <x v="0"/>
    <x v="0"/>
    <x v="0"/>
    <x v="2"/>
    <x v="50"/>
    <x v="262"/>
    <x v="105"/>
    <x v="364"/>
    <x v="71"/>
    <x v="109"/>
    <x v="0"/>
  </r>
  <r>
    <x v="0"/>
    <x v="30"/>
    <x v="30"/>
    <x v="5"/>
    <x v="5"/>
    <x v="5"/>
    <x v="3"/>
    <x v="103"/>
    <x v="252"/>
    <x v="71"/>
    <x v="365"/>
    <x v="70"/>
    <x v="103"/>
    <x v="0"/>
  </r>
  <r>
    <x v="0"/>
    <x v="30"/>
    <x v="30"/>
    <x v="6"/>
    <x v="6"/>
    <x v="6"/>
    <x v="4"/>
    <x v="109"/>
    <x v="263"/>
    <x v="91"/>
    <x v="37"/>
    <x v="74"/>
    <x v="283"/>
    <x v="0"/>
  </r>
  <r>
    <x v="0"/>
    <x v="30"/>
    <x v="30"/>
    <x v="8"/>
    <x v="8"/>
    <x v="8"/>
    <x v="4"/>
    <x v="109"/>
    <x v="263"/>
    <x v="81"/>
    <x v="366"/>
    <x v="40"/>
    <x v="284"/>
    <x v="0"/>
  </r>
  <r>
    <x v="0"/>
    <x v="30"/>
    <x v="30"/>
    <x v="13"/>
    <x v="13"/>
    <x v="13"/>
    <x v="6"/>
    <x v="94"/>
    <x v="109"/>
    <x v="84"/>
    <x v="195"/>
    <x v="34"/>
    <x v="52"/>
    <x v="0"/>
  </r>
  <r>
    <x v="0"/>
    <x v="30"/>
    <x v="30"/>
    <x v="18"/>
    <x v="18"/>
    <x v="18"/>
    <x v="6"/>
    <x v="94"/>
    <x v="109"/>
    <x v="38"/>
    <x v="59"/>
    <x v="72"/>
    <x v="285"/>
    <x v="0"/>
  </r>
  <r>
    <x v="0"/>
    <x v="30"/>
    <x v="30"/>
    <x v="14"/>
    <x v="14"/>
    <x v="14"/>
    <x v="8"/>
    <x v="95"/>
    <x v="264"/>
    <x v="74"/>
    <x v="285"/>
    <x v="42"/>
    <x v="60"/>
    <x v="0"/>
  </r>
  <r>
    <x v="0"/>
    <x v="30"/>
    <x v="30"/>
    <x v="11"/>
    <x v="11"/>
    <x v="11"/>
    <x v="8"/>
    <x v="95"/>
    <x v="264"/>
    <x v="38"/>
    <x v="59"/>
    <x v="59"/>
    <x v="127"/>
    <x v="0"/>
  </r>
  <r>
    <x v="0"/>
    <x v="30"/>
    <x v="30"/>
    <x v="10"/>
    <x v="10"/>
    <x v="10"/>
    <x v="10"/>
    <x v="90"/>
    <x v="129"/>
    <x v="62"/>
    <x v="367"/>
    <x v="65"/>
    <x v="223"/>
    <x v="0"/>
  </r>
  <r>
    <x v="0"/>
    <x v="30"/>
    <x v="30"/>
    <x v="2"/>
    <x v="2"/>
    <x v="2"/>
    <x v="10"/>
    <x v="90"/>
    <x v="129"/>
    <x v="60"/>
    <x v="268"/>
    <x v="40"/>
    <x v="284"/>
    <x v="0"/>
  </r>
  <r>
    <x v="0"/>
    <x v="30"/>
    <x v="30"/>
    <x v="4"/>
    <x v="4"/>
    <x v="4"/>
    <x v="10"/>
    <x v="90"/>
    <x v="129"/>
    <x v="84"/>
    <x v="195"/>
    <x v="71"/>
    <x v="109"/>
    <x v="0"/>
  </r>
  <r>
    <x v="0"/>
    <x v="30"/>
    <x v="30"/>
    <x v="34"/>
    <x v="34"/>
    <x v="34"/>
    <x v="13"/>
    <x v="91"/>
    <x v="204"/>
    <x v="66"/>
    <x v="27"/>
    <x v="75"/>
    <x v="120"/>
    <x v="0"/>
  </r>
  <r>
    <x v="0"/>
    <x v="30"/>
    <x v="30"/>
    <x v="15"/>
    <x v="15"/>
    <x v="15"/>
    <x v="14"/>
    <x v="96"/>
    <x v="59"/>
    <x v="74"/>
    <x v="285"/>
    <x v="59"/>
    <x v="127"/>
    <x v="0"/>
  </r>
  <r>
    <x v="0"/>
    <x v="30"/>
    <x v="30"/>
    <x v="52"/>
    <x v="52"/>
    <x v="52"/>
    <x v="15"/>
    <x v="110"/>
    <x v="33"/>
    <x v="74"/>
    <x v="285"/>
    <x v="70"/>
    <x v="103"/>
    <x v="0"/>
  </r>
  <r>
    <x v="0"/>
    <x v="30"/>
    <x v="30"/>
    <x v="50"/>
    <x v="50"/>
    <x v="50"/>
    <x v="16"/>
    <x v="111"/>
    <x v="199"/>
    <x v="64"/>
    <x v="90"/>
    <x v="72"/>
    <x v="285"/>
    <x v="0"/>
  </r>
  <r>
    <x v="0"/>
    <x v="30"/>
    <x v="30"/>
    <x v="60"/>
    <x v="60"/>
    <x v="60"/>
    <x v="17"/>
    <x v="112"/>
    <x v="78"/>
    <x v="92"/>
    <x v="297"/>
    <x v="26"/>
    <x v="212"/>
    <x v="0"/>
  </r>
  <r>
    <x v="0"/>
    <x v="30"/>
    <x v="30"/>
    <x v="27"/>
    <x v="27"/>
    <x v="27"/>
    <x v="18"/>
    <x v="133"/>
    <x v="227"/>
    <x v="62"/>
    <x v="367"/>
    <x v="71"/>
    <x v="109"/>
    <x v="0"/>
  </r>
  <r>
    <x v="0"/>
    <x v="30"/>
    <x v="30"/>
    <x v="35"/>
    <x v="35"/>
    <x v="35"/>
    <x v="18"/>
    <x v="133"/>
    <x v="227"/>
    <x v="51"/>
    <x v="156"/>
    <x v="43"/>
    <x v="104"/>
    <x v="0"/>
  </r>
  <r>
    <x v="0"/>
    <x v="30"/>
    <x v="30"/>
    <x v="7"/>
    <x v="7"/>
    <x v="7"/>
    <x v="18"/>
    <x v="133"/>
    <x v="227"/>
    <x v="61"/>
    <x v="368"/>
    <x v="70"/>
    <x v="103"/>
    <x v="0"/>
  </r>
  <r>
    <x v="0"/>
    <x v="30"/>
    <x v="30"/>
    <x v="12"/>
    <x v="12"/>
    <x v="12"/>
    <x v="18"/>
    <x v="133"/>
    <x v="227"/>
    <x v="62"/>
    <x v="367"/>
    <x v="71"/>
    <x v="109"/>
    <x v="0"/>
  </r>
  <r>
    <x v="0"/>
    <x v="30"/>
    <x v="30"/>
    <x v="9"/>
    <x v="9"/>
    <x v="9"/>
    <x v="18"/>
    <x v="133"/>
    <x v="227"/>
    <x v="87"/>
    <x v="188"/>
    <x v="75"/>
    <x v="120"/>
    <x v="0"/>
  </r>
  <r>
    <x v="0"/>
    <x v="31"/>
    <x v="31"/>
    <x v="0"/>
    <x v="0"/>
    <x v="0"/>
    <x v="0"/>
    <x v="102"/>
    <x v="265"/>
    <x v="102"/>
    <x v="369"/>
    <x v="71"/>
    <x v="98"/>
    <x v="0"/>
  </r>
  <r>
    <x v="0"/>
    <x v="31"/>
    <x v="31"/>
    <x v="1"/>
    <x v="1"/>
    <x v="1"/>
    <x v="1"/>
    <x v="83"/>
    <x v="266"/>
    <x v="36"/>
    <x v="370"/>
    <x v="70"/>
    <x v="225"/>
    <x v="0"/>
  </r>
  <r>
    <x v="0"/>
    <x v="31"/>
    <x v="31"/>
    <x v="3"/>
    <x v="3"/>
    <x v="3"/>
    <x v="2"/>
    <x v="108"/>
    <x v="267"/>
    <x v="29"/>
    <x v="371"/>
    <x v="73"/>
    <x v="273"/>
    <x v="0"/>
  </r>
  <r>
    <x v="0"/>
    <x v="31"/>
    <x v="31"/>
    <x v="8"/>
    <x v="8"/>
    <x v="8"/>
    <x v="3"/>
    <x v="87"/>
    <x v="143"/>
    <x v="60"/>
    <x v="372"/>
    <x v="42"/>
    <x v="152"/>
    <x v="0"/>
  </r>
  <r>
    <x v="0"/>
    <x v="31"/>
    <x v="31"/>
    <x v="6"/>
    <x v="6"/>
    <x v="6"/>
    <x v="4"/>
    <x v="95"/>
    <x v="268"/>
    <x v="51"/>
    <x v="186"/>
    <x v="58"/>
    <x v="286"/>
    <x v="0"/>
  </r>
  <r>
    <x v="0"/>
    <x v="31"/>
    <x v="31"/>
    <x v="15"/>
    <x v="15"/>
    <x v="15"/>
    <x v="5"/>
    <x v="96"/>
    <x v="151"/>
    <x v="94"/>
    <x v="373"/>
    <x v="44"/>
    <x v="287"/>
    <x v="0"/>
  </r>
  <r>
    <x v="0"/>
    <x v="31"/>
    <x v="31"/>
    <x v="14"/>
    <x v="14"/>
    <x v="14"/>
    <x v="5"/>
    <x v="96"/>
    <x v="151"/>
    <x v="94"/>
    <x v="373"/>
    <x v="44"/>
    <x v="287"/>
    <x v="0"/>
  </r>
  <r>
    <x v="0"/>
    <x v="31"/>
    <x v="31"/>
    <x v="28"/>
    <x v="28"/>
    <x v="28"/>
    <x v="7"/>
    <x v="100"/>
    <x v="172"/>
    <x v="51"/>
    <x v="186"/>
    <x v="53"/>
    <x v="31"/>
    <x v="0"/>
  </r>
  <r>
    <x v="0"/>
    <x v="31"/>
    <x v="31"/>
    <x v="7"/>
    <x v="7"/>
    <x v="7"/>
    <x v="7"/>
    <x v="100"/>
    <x v="172"/>
    <x v="38"/>
    <x v="374"/>
    <x v="75"/>
    <x v="120"/>
    <x v="0"/>
  </r>
  <r>
    <x v="0"/>
    <x v="31"/>
    <x v="31"/>
    <x v="5"/>
    <x v="5"/>
    <x v="5"/>
    <x v="7"/>
    <x v="100"/>
    <x v="172"/>
    <x v="74"/>
    <x v="375"/>
    <x v="40"/>
    <x v="175"/>
    <x v="0"/>
  </r>
  <r>
    <x v="0"/>
    <x v="31"/>
    <x v="31"/>
    <x v="10"/>
    <x v="10"/>
    <x v="10"/>
    <x v="10"/>
    <x v="104"/>
    <x v="96"/>
    <x v="82"/>
    <x v="376"/>
    <x v="53"/>
    <x v="31"/>
    <x v="0"/>
  </r>
  <r>
    <x v="0"/>
    <x v="31"/>
    <x v="31"/>
    <x v="13"/>
    <x v="13"/>
    <x v="13"/>
    <x v="11"/>
    <x v="111"/>
    <x v="13"/>
    <x v="62"/>
    <x v="377"/>
    <x v="40"/>
    <x v="175"/>
    <x v="0"/>
  </r>
  <r>
    <x v="0"/>
    <x v="31"/>
    <x v="31"/>
    <x v="4"/>
    <x v="4"/>
    <x v="4"/>
    <x v="11"/>
    <x v="111"/>
    <x v="13"/>
    <x v="87"/>
    <x v="305"/>
    <x v="71"/>
    <x v="98"/>
    <x v="0"/>
  </r>
  <r>
    <x v="0"/>
    <x v="31"/>
    <x v="31"/>
    <x v="17"/>
    <x v="17"/>
    <x v="17"/>
    <x v="13"/>
    <x v="112"/>
    <x v="242"/>
    <x v="103"/>
    <x v="378"/>
    <x v="55"/>
    <x v="288"/>
    <x v="0"/>
  </r>
  <r>
    <x v="0"/>
    <x v="31"/>
    <x v="31"/>
    <x v="9"/>
    <x v="9"/>
    <x v="9"/>
    <x v="13"/>
    <x v="112"/>
    <x v="242"/>
    <x v="61"/>
    <x v="45"/>
    <x v="71"/>
    <x v="98"/>
    <x v="0"/>
  </r>
  <r>
    <x v="0"/>
    <x v="31"/>
    <x v="31"/>
    <x v="16"/>
    <x v="16"/>
    <x v="16"/>
    <x v="15"/>
    <x v="133"/>
    <x v="99"/>
    <x v="92"/>
    <x v="379"/>
    <x v="55"/>
    <x v="288"/>
    <x v="0"/>
  </r>
  <r>
    <x v="0"/>
    <x v="31"/>
    <x v="31"/>
    <x v="12"/>
    <x v="12"/>
    <x v="12"/>
    <x v="15"/>
    <x v="133"/>
    <x v="99"/>
    <x v="62"/>
    <x v="377"/>
    <x v="71"/>
    <x v="98"/>
    <x v="0"/>
  </r>
  <r>
    <x v="0"/>
    <x v="31"/>
    <x v="31"/>
    <x v="19"/>
    <x v="19"/>
    <x v="19"/>
    <x v="17"/>
    <x v="113"/>
    <x v="269"/>
    <x v="93"/>
    <x v="132"/>
    <x v="55"/>
    <x v="288"/>
    <x v="0"/>
  </r>
  <r>
    <x v="0"/>
    <x v="31"/>
    <x v="31"/>
    <x v="61"/>
    <x v="61"/>
    <x v="61"/>
    <x v="18"/>
    <x v="114"/>
    <x v="77"/>
    <x v="92"/>
    <x v="379"/>
    <x v="53"/>
    <x v="31"/>
    <x v="0"/>
  </r>
  <r>
    <x v="0"/>
    <x v="31"/>
    <x v="31"/>
    <x v="33"/>
    <x v="33"/>
    <x v="33"/>
    <x v="19"/>
    <x v="115"/>
    <x v="18"/>
    <x v="103"/>
    <x v="378"/>
    <x v="39"/>
    <x v="274"/>
    <x v="0"/>
  </r>
  <r>
    <x v="0"/>
    <x v="31"/>
    <x v="31"/>
    <x v="35"/>
    <x v="35"/>
    <x v="35"/>
    <x v="19"/>
    <x v="115"/>
    <x v="18"/>
    <x v="91"/>
    <x v="35"/>
    <x v="34"/>
    <x v="21"/>
    <x v="0"/>
  </r>
  <r>
    <x v="0"/>
    <x v="31"/>
    <x v="31"/>
    <x v="18"/>
    <x v="18"/>
    <x v="18"/>
    <x v="19"/>
    <x v="115"/>
    <x v="18"/>
    <x v="103"/>
    <x v="378"/>
    <x v="39"/>
    <x v="274"/>
    <x v="0"/>
  </r>
  <r>
    <x v="0"/>
    <x v="31"/>
    <x v="31"/>
    <x v="2"/>
    <x v="2"/>
    <x v="2"/>
    <x v="19"/>
    <x v="115"/>
    <x v="18"/>
    <x v="103"/>
    <x v="378"/>
    <x v="39"/>
    <x v="274"/>
    <x v="0"/>
  </r>
  <r>
    <x v="0"/>
    <x v="32"/>
    <x v="32"/>
    <x v="1"/>
    <x v="1"/>
    <x v="1"/>
    <x v="0"/>
    <x v="62"/>
    <x v="132"/>
    <x v="57"/>
    <x v="380"/>
    <x v="70"/>
    <x v="289"/>
    <x v="0"/>
  </r>
  <r>
    <x v="0"/>
    <x v="32"/>
    <x v="32"/>
    <x v="0"/>
    <x v="0"/>
    <x v="0"/>
    <x v="1"/>
    <x v="52"/>
    <x v="195"/>
    <x v="122"/>
    <x v="381"/>
    <x v="34"/>
    <x v="125"/>
    <x v="0"/>
  </r>
  <r>
    <x v="0"/>
    <x v="32"/>
    <x v="32"/>
    <x v="6"/>
    <x v="6"/>
    <x v="6"/>
    <x v="2"/>
    <x v="116"/>
    <x v="270"/>
    <x v="86"/>
    <x v="117"/>
    <x v="25"/>
    <x v="290"/>
    <x v="0"/>
  </r>
  <r>
    <x v="0"/>
    <x v="32"/>
    <x v="32"/>
    <x v="5"/>
    <x v="5"/>
    <x v="5"/>
    <x v="3"/>
    <x v="82"/>
    <x v="246"/>
    <x v="65"/>
    <x v="382"/>
    <x v="42"/>
    <x v="201"/>
    <x v="0"/>
  </r>
  <r>
    <x v="0"/>
    <x v="32"/>
    <x v="32"/>
    <x v="3"/>
    <x v="3"/>
    <x v="3"/>
    <x v="4"/>
    <x v="102"/>
    <x v="271"/>
    <x v="80"/>
    <x v="383"/>
    <x v="65"/>
    <x v="75"/>
    <x v="0"/>
  </r>
  <r>
    <x v="0"/>
    <x v="32"/>
    <x v="32"/>
    <x v="2"/>
    <x v="2"/>
    <x v="2"/>
    <x v="5"/>
    <x v="103"/>
    <x v="272"/>
    <x v="33"/>
    <x v="384"/>
    <x v="59"/>
    <x v="47"/>
    <x v="0"/>
  </r>
  <r>
    <x v="0"/>
    <x v="32"/>
    <x v="32"/>
    <x v="8"/>
    <x v="8"/>
    <x v="8"/>
    <x v="6"/>
    <x v="109"/>
    <x v="273"/>
    <x v="47"/>
    <x v="108"/>
    <x v="39"/>
    <x v="291"/>
    <x v="0"/>
  </r>
  <r>
    <x v="0"/>
    <x v="32"/>
    <x v="32"/>
    <x v="10"/>
    <x v="10"/>
    <x v="10"/>
    <x v="7"/>
    <x v="94"/>
    <x v="4"/>
    <x v="62"/>
    <x v="53"/>
    <x v="23"/>
    <x v="19"/>
    <x v="0"/>
  </r>
  <r>
    <x v="0"/>
    <x v="32"/>
    <x v="32"/>
    <x v="18"/>
    <x v="18"/>
    <x v="18"/>
    <x v="8"/>
    <x v="96"/>
    <x v="10"/>
    <x v="64"/>
    <x v="385"/>
    <x v="73"/>
    <x v="96"/>
    <x v="0"/>
  </r>
  <r>
    <x v="0"/>
    <x v="32"/>
    <x v="32"/>
    <x v="7"/>
    <x v="7"/>
    <x v="7"/>
    <x v="9"/>
    <x v="99"/>
    <x v="232"/>
    <x v="60"/>
    <x v="386"/>
    <x v="75"/>
    <x v="120"/>
    <x v="0"/>
  </r>
  <r>
    <x v="0"/>
    <x v="32"/>
    <x v="32"/>
    <x v="15"/>
    <x v="15"/>
    <x v="15"/>
    <x v="10"/>
    <x v="97"/>
    <x v="29"/>
    <x v="82"/>
    <x v="387"/>
    <x v="42"/>
    <x v="201"/>
    <x v="0"/>
  </r>
  <r>
    <x v="0"/>
    <x v="32"/>
    <x v="32"/>
    <x v="28"/>
    <x v="28"/>
    <x v="28"/>
    <x v="10"/>
    <x v="97"/>
    <x v="29"/>
    <x v="61"/>
    <x v="388"/>
    <x v="59"/>
    <x v="47"/>
    <x v="0"/>
  </r>
  <r>
    <x v="0"/>
    <x v="32"/>
    <x v="32"/>
    <x v="13"/>
    <x v="13"/>
    <x v="13"/>
    <x v="12"/>
    <x v="110"/>
    <x v="32"/>
    <x v="87"/>
    <x v="158"/>
    <x v="43"/>
    <x v="40"/>
    <x v="0"/>
  </r>
  <r>
    <x v="0"/>
    <x v="32"/>
    <x v="32"/>
    <x v="27"/>
    <x v="27"/>
    <x v="27"/>
    <x v="13"/>
    <x v="111"/>
    <x v="51"/>
    <x v="61"/>
    <x v="388"/>
    <x v="43"/>
    <x v="40"/>
    <x v="0"/>
  </r>
  <r>
    <x v="0"/>
    <x v="32"/>
    <x v="32"/>
    <x v="14"/>
    <x v="14"/>
    <x v="14"/>
    <x v="13"/>
    <x v="111"/>
    <x v="51"/>
    <x v="86"/>
    <x v="117"/>
    <x v="53"/>
    <x v="3"/>
    <x v="0"/>
  </r>
  <r>
    <x v="0"/>
    <x v="32"/>
    <x v="32"/>
    <x v="4"/>
    <x v="4"/>
    <x v="4"/>
    <x v="13"/>
    <x v="111"/>
    <x v="51"/>
    <x v="61"/>
    <x v="388"/>
    <x v="43"/>
    <x v="40"/>
    <x v="0"/>
  </r>
  <r>
    <x v="0"/>
    <x v="32"/>
    <x v="32"/>
    <x v="19"/>
    <x v="19"/>
    <x v="19"/>
    <x v="16"/>
    <x v="112"/>
    <x v="76"/>
    <x v="103"/>
    <x v="389"/>
    <x v="55"/>
    <x v="213"/>
    <x v="0"/>
  </r>
  <r>
    <x v="0"/>
    <x v="32"/>
    <x v="32"/>
    <x v="16"/>
    <x v="16"/>
    <x v="16"/>
    <x v="17"/>
    <x v="133"/>
    <x v="17"/>
    <x v="86"/>
    <x v="117"/>
    <x v="39"/>
    <x v="291"/>
    <x v="0"/>
  </r>
  <r>
    <x v="0"/>
    <x v="32"/>
    <x v="32"/>
    <x v="61"/>
    <x v="61"/>
    <x v="61"/>
    <x v="18"/>
    <x v="113"/>
    <x v="274"/>
    <x v="103"/>
    <x v="389"/>
    <x v="53"/>
    <x v="3"/>
    <x v="0"/>
  </r>
  <r>
    <x v="0"/>
    <x v="32"/>
    <x v="32"/>
    <x v="56"/>
    <x v="56"/>
    <x v="56"/>
    <x v="18"/>
    <x v="113"/>
    <x v="274"/>
    <x v="103"/>
    <x v="389"/>
    <x v="53"/>
    <x v="3"/>
    <x v="0"/>
  </r>
  <r>
    <x v="0"/>
    <x v="32"/>
    <x v="32"/>
    <x v="12"/>
    <x v="12"/>
    <x v="12"/>
    <x v="18"/>
    <x v="113"/>
    <x v="274"/>
    <x v="51"/>
    <x v="79"/>
    <x v="71"/>
    <x v="9"/>
    <x v="0"/>
  </r>
  <r>
    <x v="0"/>
    <x v="32"/>
    <x v="32"/>
    <x v="9"/>
    <x v="9"/>
    <x v="9"/>
    <x v="18"/>
    <x v="113"/>
    <x v="274"/>
    <x v="51"/>
    <x v="79"/>
    <x v="71"/>
    <x v="9"/>
    <x v="0"/>
  </r>
  <r>
    <x v="0"/>
    <x v="33"/>
    <x v="33"/>
    <x v="5"/>
    <x v="5"/>
    <x v="5"/>
    <x v="0"/>
    <x v="98"/>
    <x v="275"/>
    <x v="36"/>
    <x v="105"/>
    <x v="71"/>
    <x v="210"/>
    <x v="0"/>
  </r>
  <r>
    <x v="0"/>
    <x v="33"/>
    <x v="33"/>
    <x v="3"/>
    <x v="3"/>
    <x v="3"/>
    <x v="1"/>
    <x v="83"/>
    <x v="276"/>
    <x v="101"/>
    <x v="390"/>
    <x v="72"/>
    <x v="292"/>
    <x v="0"/>
  </r>
  <r>
    <x v="0"/>
    <x v="33"/>
    <x v="33"/>
    <x v="1"/>
    <x v="1"/>
    <x v="1"/>
    <x v="2"/>
    <x v="103"/>
    <x v="277"/>
    <x v="36"/>
    <x v="105"/>
    <x v="75"/>
    <x v="120"/>
    <x v="0"/>
  </r>
  <r>
    <x v="0"/>
    <x v="33"/>
    <x v="33"/>
    <x v="0"/>
    <x v="0"/>
    <x v="0"/>
    <x v="3"/>
    <x v="86"/>
    <x v="278"/>
    <x v="50"/>
    <x v="39"/>
    <x v="75"/>
    <x v="120"/>
    <x v="0"/>
  </r>
  <r>
    <x v="0"/>
    <x v="33"/>
    <x v="33"/>
    <x v="10"/>
    <x v="10"/>
    <x v="10"/>
    <x v="4"/>
    <x v="90"/>
    <x v="279"/>
    <x v="87"/>
    <x v="391"/>
    <x v="55"/>
    <x v="293"/>
    <x v="0"/>
  </r>
  <r>
    <x v="0"/>
    <x v="33"/>
    <x v="33"/>
    <x v="6"/>
    <x v="6"/>
    <x v="6"/>
    <x v="5"/>
    <x v="96"/>
    <x v="280"/>
    <x v="103"/>
    <x v="28"/>
    <x v="69"/>
    <x v="294"/>
    <x v="0"/>
  </r>
  <r>
    <x v="0"/>
    <x v="33"/>
    <x v="33"/>
    <x v="8"/>
    <x v="8"/>
    <x v="8"/>
    <x v="5"/>
    <x v="96"/>
    <x v="280"/>
    <x v="63"/>
    <x v="88"/>
    <x v="26"/>
    <x v="282"/>
    <x v="0"/>
  </r>
  <r>
    <x v="0"/>
    <x v="33"/>
    <x v="33"/>
    <x v="14"/>
    <x v="14"/>
    <x v="14"/>
    <x v="7"/>
    <x v="99"/>
    <x v="249"/>
    <x v="63"/>
    <x v="88"/>
    <x v="55"/>
    <x v="293"/>
    <x v="0"/>
  </r>
  <r>
    <x v="0"/>
    <x v="33"/>
    <x v="33"/>
    <x v="13"/>
    <x v="13"/>
    <x v="13"/>
    <x v="7"/>
    <x v="99"/>
    <x v="249"/>
    <x v="74"/>
    <x v="392"/>
    <x v="34"/>
    <x v="59"/>
    <x v="0"/>
  </r>
  <r>
    <x v="0"/>
    <x v="33"/>
    <x v="33"/>
    <x v="2"/>
    <x v="2"/>
    <x v="2"/>
    <x v="9"/>
    <x v="100"/>
    <x v="137"/>
    <x v="75"/>
    <x v="245"/>
    <x v="43"/>
    <x v="89"/>
    <x v="0"/>
  </r>
  <r>
    <x v="0"/>
    <x v="33"/>
    <x v="33"/>
    <x v="15"/>
    <x v="15"/>
    <x v="15"/>
    <x v="10"/>
    <x v="97"/>
    <x v="93"/>
    <x v="64"/>
    <x v="393"/>
    <x v="55"/>
    <x v="293"/>
    <x v="0"/>
  </r>
  <r>
    <x v="0"/>
    <x v="33"/>
    <x v="33"/>
    <x v="28"/>
    <x v="28"/>
    <x v="28"/>
    <x v="11"/>
    <x v="112"/>
    <x v="72"/>
    <x v="63"/>
    <x v="88"/>
    <x v="34"/>
    <x v="59"/>
    <x v="0"/>
  </r>
  <r>
    <x v="0"/>
    <x v="33"/>
    <x v="33"/>
    <x v="18"/>
    <x v="18"/>
    <x v="18"/>
    <x v="12"/>
    <x v="133"/>
    <x v="74"/>
    <x v="91"/>
    <x v="347"/>
    <x v="72"/>
    <x v="292"/>
    <x v="0"/>
  </r>
  <r>
    <x v="0"/>
    <x v="33"/>
    <x v="33"/>
    <x v="26"/>
    <x v="26"/>
    <x v="26"/>
    <x v="13"/>
    <x v="113"/>
    <x v="218"/>
    <x v="86"/>
    <x v="394"/>
    <x v="59"/>
    <x v="71"/>
    <x v="0"/>
  </r>
  <r>
    <x v="0"/>
    <x v="33"/>
    <x v="33"/>
    <x v="21"/>
    <x v="21"/>
    <x v="21"/>
    <x v="14"/>
    <x v="114"/>
    <x v="51"/>
    <x v="91"/>
    <x v="347"/>
    <x v="59"/>
    <x v="71"/>
    <x v="0"/>
  </r>
  <r>
    <x v="0"/>
    <x v="33"/>
    <x v="33"/>
    <x v="33"/>
    <x v="33"/>
    <x v="33"/>
    <x v="15"/>
    <x v="115"/>
    <x v="226"/>
    <x v="91"/>
    <x v="347"/>
    <x v="34"/>
    <x v="59"/>
    <x v="0"/>
  </r>
  <r>
    <x v="0"/>
    <x v="33"/>
    <x v="33"/>
    <x v="27"/>
    <x v="27"/>
    <x v="27"/>
    <x v="16"/>
    <x v="142"/>
    <x v="19"/>
    <x v="86"/>
    <x v="394"/>
    <x v="43"/>
    <x v="89"/>
    <x v="0"/>
  </r>
  <r>
    <x v="0"/>
    <x v="33"/>
    <x v="33"/>
    <x v="35"/>
    <x v="35"/>
    <x v="35"/>
    <x v="16"/>
    <x v="142"/>
    <x v="19"/>
    <x v="103"/>
    <x v="28"/>
    <x v="59"/>
    <x v="71"/>
    <x v="0"/>
  </r>
  <r>
    <x v="0"/>
    <x v="33"/>
    <x v="33"/>
    <x v="61"/>
    <x v="61"/>
    <x v="61"/>
    <x v="16"/>
    <x v="142"/>
    <x v="19"/>
    <x v="94"/>
    <x v="89"/>
    <x v="34"/>
    <x v="59"/>
    <x v="0"/>
  </r>
  <r>
    <x v="0"/>
    <x v="33"/>
    <x v="33"/>
    <x v="60"/>
    <x v="60"/>
    <x v="60"/>
    <x v="16"/>
    <x v="142"/>
    <x v="19"/>
    <x v="94"/>
    <x v="89"/>
    <x v="34"/>
    <x v="59"/>
    <x v="0"/>
  </r>
  <r>
    <x v="0"/>
    <x v="33"/>
    <x v="33"/>
    <x v="62"/>
    <x v="62"/>
    <x v="62"/>
    <x v="16"/>
    <x v="142"/>
    <x v="19"/>
    <x v="91"/>
    <x v="347"/>
    <x v="71"/>
    <x v="210"/>
    <x v="3"/>
  </r>
  <r>
    <x v="0"/>
    <x v="33"/>
    <x v="33"/>
    <x v="9"/>
    <x v="9"/>
    <x v="9"/>
    <x v="16"/>
    <x v="142"/>
    <x v="19"/>
    <x v="82"/>
    <x v="144"/>
    <x v="70"/>
    <x v="198"/>
    <x v="0"/>
  </r>
  <r>
    <x v="0"/>
    <x v="34"/>
    <x v="34"/>
    <x v="1"/>
    <x v="1"/>
    <x v="1"/>
    <x v="0"/>
    <x v="94"/>
    <x v="281"/>
    <x v="80"/>
    <x v="395"/>
    <x v="70"/>
    <x v="1"/>
    <x v="0"/>
  </r>
  <r>
    <x v="0"/>
    <x v="34"/>
    <x v="34"/>
    <x v="11"/>
    <x v="11"/>
    <x v="11"/>
    <x v="1"/>
    <x v="91"/>
    <x v="282"/>
    <x v="38"/>
    <x v="396"/>
    <x v="40"/>
    <x v="79"/>
    <x v="0"/>
  </r>
  <r>
    <x v="0"/>
    <x v="34"/>
    <x v="34"/>
    <x v="41"/>
    <x v="41"/>
    <x v="41"/>
    <x v="1"/>
    <x v="91"/>
    <x v="282"/>
    <x v="75"/>
    <x v="242"/>
    <x v="39"/>
    <x v="295"/>
    <x v="0"/>
  </r>
  <r>
    <x v="0"/>
    <x v="34"/>
    <x v="34"/>
    <x v="4"/>
    <x v="4"/>
    <x v="4"/>
    <x v="3"/>
    <x v="92"/>
    <x v="215"/>
    <x v="29"/>
    <x v="397"/>
    <x v="34"/>
    <x v="296"/>
    <x v="0"/>
  </r>
  <r>
    <x v="0"/>
    <x v="34"/>
    <x v="34"/>
    <x v="13"/>
    <x v="13"/>
    <x v="13"/>
    <x v="4"/>
    <x v="96"/>
    <x v="2"/>
    <x v="29"/>
    <x v="397"/>
    <x v="40"/>
    <x v="79"/>
    <x v="0"/>
  </r>
  <r>
    <x v="0"/>
    <x v="34"/>
    <x v="34"/>
    <x v="0"/>
    <x v="0"/>
    <x v="0"/>
    <x v="5"/>
    <x v="97"/>
    <x v="231"/>
    <x v="76"/>
    <x v="276"/>
    <x v="75"/>
    <x v="120"/>
    <x v="0"/>
  </r>
  <r>
    <x v="0"/>
    <x v="34"/>
    <x v="34"/>
    <x v="3"/>
    <x v="3"/>
    <x v="3"/>
    <x v="6"/>
    <x v="112"/>
    <x v="5"/>
    <x v="51"/>
    <x v="210"/>
    <x v="40"/>
    <x v="79"/>
    <x v="0"/>
  </r>
  <r>
    <x v="0"/>
    <x v="34"/>
    <x v="34"/>
    <x v="34"/>
    <x v="34"/>
    <x v="34"/>
    <x v="7"/>
    <x v="133"/>
    <x v="283"/>
    <x v="61"/>
    <x v="398"/>
    <x v="70"/>
    <x v="1"/>
    <x v="0"/>
  </r>
  <r>
    <x v="0"/>
    <x v="34"/>
    <x v="34"/>
    <x v="8"/>
    <x v="8"/>
    <x v="8"/>
    <x v="8"/>
    <x v="113"/>
    <x v="139"/>
    <x v="51"/>
    <x v="210"/>
    <x v="71"/>
    <x v="119"/>
    <x v="0"/>
  </r>
  <r>
    <x v="0"/>
    <x v="34"/>
    <x v="34"/>
    <x v="15"/>
    <x v="15"/>
    <x v="15"/>
    <x v="9"/>
    <x v="114"/>
    <x v="28"/>
    <x v="103"/>
    <x v="66"/>
    <x v="72"/>
    <x v="74"/>
    <x v="0"/>
  </r>
  <r>
    <x v="0"/>
    <x v="34"/>
    <x v="34"/>
    <x v="62"/>
    <x v="62"/>
    <x v="62"/>
    <x v="9"/>
    <x v="114"/>
    <x v="28"/>
    <x v="51"/>
    <x v="210"/>
    <x v="70"/>
    <x v="1"/>
    <x v="0"/>
  </r>
  <r>
    <x v="0"/>
    <x v="34"/>
    <x v="34"/>
    <x v="60"/>
    <x v="60"/>
    <x v="60"/>
    <x v="11"/>
    <x v="115"/>
    <x v="121"/>
    <x v="94"/>
    <x v="85"/>
    <x v="59"/>
    <x v="61"/>
    <x v="0"/>
  </r>
  <r>
    <x v="0"/>
    <x v="34"/>
    <x v="34"/>
    <x v="57"/>
    <x v="57"/>
    <x v="57"/>
    <x v="11"/>
    <x v="115"/>
    <x v="121"/>
    <x v="103"/>
    <x v="66"/>
    <x v="39"/>
    <x v="295"/>
    <x v="0"/>
  </r>
  <r>
    <x v="0"/>
    <x v="34"/>
    <x v="34"/>
    <x v="7"/>
    <x v="7"/>
    <x v="7"/>
    <x v="11"/>
    <x v="115"/>
    <x v="121"/>
    <x v="82"/>
    <x v="399"/>
    <x v="71"/>
    <x v="119"/>
    <x v="0"/>
  </r>
  <r>
    <x v="0"/>
    <x v="34"/>
    <x v="34"/>
    <x v="21"/>
    <x v="21"/>
    <x v="21"/>
    <x v="11"/>
    <x v="115"/>
    <x v="121"/>
    <x v="82"/>
    <x v="399"/>
    <x v="71"/>
    <x v="119"/>
    <x v="0"/>
  </r>
  <r>
    <x v="0"/>
    <x v="34"/>
    <x v="34"/>
    <x v="26"/>
    <x v="26"/>
    <x v="26"/>
    <x v="15"/>
    <x v="142"/>
    <x v="110"/>
    <x v="103"/>
    <x v="66"/>
    <x v="59"/>
    <x v="61"/>
    <x v="0"/>
  </r>
  <r>
    <x v="0"/>
    <x v="34"/>
    <x v="34"/>
    <x v="40"/>
    <x v="40"/>
    <x v="40"/>
    <x v="15"/>
    <x v="142"/>
    <x v="110"/>
    <x v="103"/>
    <x v="66"/>
    <x v="59"/>
    <x v="61"/>
    <x v="0"/>
  </r>
  <r>
    <x v="0"/>
    <x v="34"/>
    <x v="34"/>
    <x v="39"/>
    <x v="39"/>
    <x v="39"/>
    <x v="15"/>
    <x v="142"/>
    <x v="110"/>
    <x v="94"/>
    <x v="85"/>
    <x v="34"/>
    <x v="296"/>
    <x v="0"/>
  </r>
  <r>
    <x v="0"/>
    <x v="34"/>
    <x v="34"/>
    <x v="18"/>
    <x v="18"/>
    <x v="18"/>
    <x v="15"/>
    <x v="142"/>
    <x v="110"/>
    <x v="103"/>
    <x v="66"/>
    <x v="59"/>
    <x v="61"/>
    <x v="0"/>
  </r>
  <r>
    <x v="0"/>
    <x v="34"/>
    <x v="34"/>
    <x v="2"/>
    <x v="2"/>
    <x v="2"/>
    <x v="15"/>
    <x v="142"/>
    <x v="110"/>
    <x v="92"/>
    <x v="260"/>
    <x v="39"/>
    <x v="295"/>
    <x v="0"/>
  </r>
  <r>
    <x v="0"/>
    <x v="35"/>
    <x v="35"/>
    <x v="0"/>
    <x v="0"/>
    <x v="0"/>
    <x v="0"/>
    <x v="89"/>
    <x v="284"/>
    <x v="66"/>
    <x v="400"/>
    <x v="43"/>
    <x v="297"/>
    <x v="0"/>
  </r>
  <r>
    <x v="0"/>
    <x v="35"/>
    <x v="35"/>
    <x v="3"/>
    <x v="3"/>
    <x v="3"/>
    <x v="1"/>
    <x v="96"/>
    <x v="285"/>
    <x v="76"/>
    <x v="401"/>
    <x v="43"/>
    <x v="297"/>
    <x v="0"/>
  </r>
  <r>
    <x v="0"/>
    <x v="35"/>
    <x v="35"/>
    <x v="5"/>
    <x v="5"/>
    <x v="5"/>
    <x v="2"/>
    <x v="100"/>
    <x v="113"/>
    <x v="29"/>
    <x v="402"/>
    <x v="71"/>
    <x v="34"/>
    <x v="0"/>
  </r>
  <r>
    <x v="0"/>
    <x v="35"/>
    <x v="35"/>
    <x v="1"/>
    <x v="1"/>
    <x v="1"/>
    <x v="3"/>
    <x v="97"/>
    <x v="286"/>
    <x v="76"/>
    <x v="401"/>
    <x v="75"/>
    <x v="120"/>
    <x v="0"/>
  </r>
  <r>
    <x v="0"/>
    <x v="35"/>
    <x v="35"/>
    <x v="14"/>
    <x v="14"/>
    <x v="14"/>
    <x v="4"/>
    <x v="133"/>
    <x v="280"/>
    <x v="51"/>
    <x v="403"/>
    <x v="43"/>
    <x v="297"/>
    <x v="0"/>
  </r>
  <r>
    <x v="0"/>
    <x v="35"/>
    <x v="35"/>
    <x v="8"/>
    <x v="8"/>
    <x v="8"/>
    <x v="4"/>
    <x v="133"/>
    <x v="280"/>
    <x v="62"/>
    <x v="404"/>
    <x v="71"/>
    <x v="34"/>
    <x v="0"/>
  </r>
  <r>
    <x v="0"/>
    <x v="35"/>
    <x v="35"/>
    <x v="6"/>
    <x v="6"/>
    <x v="6"/>
    <x v="6"/>
    <x v="113"/>
    <x v="287"/>
    <x v="86"/>
    <x v="296"/>
    <x v="59"/>
    <x v="298"/>
    <x v="0"/>
  </r>
  <r>
    <x v="0"/>
    <x v="35"/>
    <x v="35"/>
    <x v="13"/>
    <x v="13"/>
    <x v="13"/>
    <x v="7"/>
    <x v="114"/>
    <x v="7"/>
    <x v="62"/>
    <x v="404"/>
    <x v="75"/>
    <x v="120"/>
    <x v="0"/>
  </r>
  <r>
    <x v="0"/>
    <x v="35"/>
    <x v="35"/>
    <x v="10"/>
    <x v="10"/>
    <x v="10"/>
    <x v="8"/>
    <x v="115"/>
    <x v="204"/>
    <x v="86"/>
    <x v="296"/>
    <x v="40"/>
    <x v="299"/>
    <x v="0"/>
  </r>
  <r>
    <x v="0"/>
    <x v="35"/>
    <x v="35"/>
    <x v="16"/>
    <x v="16"/>
    <x v="16"/>
    <x v="8"/>
    <x v="115"/>
    <x v="204"/>
    <x v="103"/>
    <x v="177"/>
    <x v="59"/>
    <x v="298"/>
    <x v="0"/>
  </r>
  <r>
    <x v="0"/>
    <x v="35"/>
    <x v="35"/>
    <x v="27"/>
    <x v="27"/>
    <x v="27"/>
    <x v="10"/>
    <x v="142"/>
    <x v="179"/>
    <x v="82"/>
    <x v="345"/>
    <x v="70"/>
    <x v="11"/>
    <x v="0"/>
  </r>
  <r>
    <x v="0"/>
    <x v="35"/>
    <x v="35"/>
    <x v="35"/>
    <x v="35"/>
    <x v="35"/>
    <x v="11"/>
    <x v="143"/>
    <x v="174"/>
    <x v="92"/>
    <x v="405"/>
    <x v="59"/>
    <x v="298"/>
    <x v="0"/>
  </r>
  <r>
    <x v="0"/>
    <x v="35"/>
    <x v="35"/>
    <x v="55"/>
    <x v="55"/>
    <x v="55"/>
    <x v="11"/>
    <x v="143"/>
    <x v="174"/>
    <x v="82"/>
    <x v="345"/>
    <x v="75"/>
    <x v="120"/>
    <x v="0"/>
  </r>
  <r>
    <x v="0"/>
    <x v="35"/>
    <x v="35"/>
    <x v="56"/>
    <x v="56"/>
    <x v="56"/>
    <x v="11"/>
    <x v="143"/>
    <x v="174"/>
    <x v="94"/>
    <x v="48"/>
    <x v="40"/>
    <x v="299"/>
    <x v="0"/>
  </r>
  <r>
    <x v="0"/>
    <x v="35"/>
    <x v="35"/>
    <x v="17"/>
    <x v="17"/>
    <x v="17"/>
    <x v="11"/>
    <x v="143"/>
    <x v="174"/>
    <x v="103"/>
    <x v="177"/>
    <x v="34"/>
    <x v="300"/>
    <x v="0"/>
  </r>
  <r>
    <x v="0"/>
    <x v="35"/>
    <x v="35"/>
    <x v="25"/>
    <x v="25"/>
    <x v="25"/>
    <x v="11"/>
    <x v="143"/>
    <x v="174"/>
    <x v="86"/>
    <x v="296"/>
    <x v="75"/>
    <x v="120"/>
    <x v="0"/>
  </r>
  <r>
    <x v="0"/>
    <x v="35"/>
    <x v="35"/>
    <x v="26"/>
    <x v="26"/>
    <x v="26"/>
    <x v="16"/>
    <x v="144"/>
    <x v="34"/>
    <x v="86"/>
    <x v="296"/>
    <x v="70"/>
    <x v="11"/>
    <x v="0"/>
  </r>
  <r>
    <x v="0"/>
    <x v="35"/>
    <x v="35"/>
    <x v="37"/>
    <x v="37"/>
    <x v="37"/>
    <x v="16"/>
    <x v="144"/>
    <x v="34"/>
    <x v="91"/>
    <x v="387"/>
    <x v="71"/>
    <x v="34"/>
    <x v="0"/>
  </r>
  <r>
    <x v="0"/>
    <x v="35"/>
    <x v="35"/>
    <x v="28"/>
    <x v="28"/>
    <x v="28"/>
    <x v="16"/>
    <x v="144"/>
    <x v="34"/>
    <x v="91"/>
    <x v="387"/>
    <x v="71"/>
    <x v="34"/>
    <x v="0"/>
  </r>
  <r>
    <x v="0"/>
    <x v="35"/>
    <x v="35"/>
    <x v="52"/>
    <x v="52"/>
    <x v="52"/>
    <x v="16"/>
    <x v="144"/>
    <x v="34"/>
    <x v="86"/>
    <x v="296"/>
    <x v="70"/>
    <x v="11"/>
    <x v="0"/>
  </r>
  <r>
    <x v="0"/>
    <x v="35"/>
    <x v="35"/>
    <x v="11"/>
    <x v="11"/>
    <x v="11"/>
    <x v="16"/>
    <x v="144"/>
    <x v="34"/>
    <x v="86"/>
    <x v="296"/>
    <x v="70"/>
    <x v="11"/>
    <x v="0"/>
  </r>
  <r>
    <x v="0"/>
    <x v="35"/>
    <x v="35"/>
    <x v="12"/>
    <x v="12"/>
    <x v="12"/>
    <x v="16"/>
    <x v="144"/>
    <x v="34"/>
    <x v="64"/>
    <x v="175"/>
    <x v="75"/>
    <x v="120"/>
    <x v="0"/>
  </r>
  <r>
    <x v="0"/>
    <x v="36"/>
    <x v="36"/>
    <x v="0"/>
    <x v="0"/>
    <x v="0"/>
    <x v="0"/>
    <x v="67"/>
    <x v="288"/>
    <x v="25"/>
    <x v="406"/>
    <x v="71"/>
    <x v="301"/>
    <x v="0"/>
  </r>
  <r>
    <x v="0"/>
    <x v="36"/>
    <x v="36"/>
    <x v="2"/>
    <x v="2"/>
    <x v="2"/>
    <x v="1"/>
    <x v="106"/>
    <x v="289"/>
    <x v="101"/>
    <x v="407"/>
    <x v="42"/>
    <x v="299"/>
    <x v="0"/>
  </r>
  <r>
    <x v="0"/>
    <x v="36"/>
    <x v="36"/>
    <x v="1"/>
    <x v="1"/>
    <x v="1"/>
    <x v="2"/>
    <x v="88"/>
    <x v="290"/>
    <x v="33"/>
    <x v="408"/>
    <x v="75"/>
    <x v="120"/>
    <x v="0"/>
  </r>
  <r>
    <x v="0"/>
    <x v="36"/>
    <x v="36"/>
    <x v="6"/>
    <x v="6"/>
    <x v="6"/>
    <x v="3"/>
    <x v="92"/>
    <x v="291"/>
    <x v="92"/>
    <x v="409"/>
    <x v="49"/>
    <x v="302"/>
    <x v="0"/>
  </r>
  <r>
    <x v="0"/>
    <x v="36"/>
    <x v="36"/>
    <x v="4"/>
    <x v="4"/>
    <x v="4"/>
    <x v="4"/>
    <x v="96"/>
    <x v="292"/>
    <x v="60"/>
    <x v="410"/>
    <x v="70"/>
    <x v="277"/>
    <x v="0"/>
  </r>
  <r>
    <x v="0"/>
    <x v="36"/>
    <x v="36"/>
    <x v="5"/>
    <x v="5"/>
    <x v="5"/>
    <x v="5"/>
    <x v="99"/>
    <x v="144"/>
    <x v="76"/>
    <x v="40"/>
    <x v="71"/>
    <x v="301"/>
    <x v="0"/>
  </r>
  <r>
    <x v="0"/>
    <x v="36"/>
    <x v="36"/>
    <x v="11"/>
    <x v="11"/>
    <x v="11"/>
    <x v="6"/>
    <x v="97"/>
    <x v="203"/>
    <x v="61"/>
    <x v="9"/>
    <x v="59"/>
    <x v="107"/>
    <x v="0"/>
  </r>
  <r>
    <x v="0"/>
    <x v="36"/>
    <x v="36"/>
    <x v="10"/>
    <x v="10"/>
    <x v="10"/>
    <x v="7"/>
    <x v="110"/>
    <x v="254"/>
    <x v="94"/>
    <x v="117"/>
    <x v="26"/>
    <x v="303"/>
    <x v="0"/>
  </r>
  <r>
    <x v="0"/>
    <x v="36"/>
    <x v="36"/>
    <x v="13"/>
    <x v="13"/>
    <x v="13"/>
    <x v="7"/>
    <x v="110"/>
    <x v="254"/>
    <x v="63"/>
    <x v="86"/>
    <x v="39"/>
    <x v="97"/>
    <x v="0"/>
  </r>
  <r>
    <x v="0"/>
    <x v="36"/>
    <x v="36"/>
    <x v="7"/>
    <x v="7"/>
    <x v="7"/>
    <x v="7"/>
    <x v="110"/>
    <x v="254"/>
    <x v="75"/>
    <x v="383"/>
    <x v="75"/>
    <x v="120"/>
    <x v="0"/>
  </r>
  <r>
    <x v="0"/>
    <x v="36"/>
    <x v="36"/>
    <x v="9"/>
    <x v="9"/>
    <x v="9"/>
    <x v="7"/>
    <x v="110"/>
    <x v="254"/>
    <x v="87"/>
    <x v="108"/>
    <x v="43"/>
    <x v="304"/>
    <x v="0"/>
  </r>
  <r>
    <x v="0"/>
    <x v="36"/>
    <x v="36"/>
    <x v="14"/>
    <x v="14"/>
    <x v="14"/>
    <x v="11"/>
    <x v="133"/>
    <x v="192"/>
    <x v="92"/>
    <x v="409"/>
    <x v="55"/>
    <x v="242"/>
    <x v="0"/>
  </r>
  <r>
    <x v="0"/>
    <x v="36"/>
    <x v="36"/>
    <x v="41"/>
    <x v="41"/>
    <x v="41"/>
    <x v="11"/>
    <x v="133"/>
    <x v="192"/>
    <x v="51"/>
    <x v="107"/>
    <x v="43"/>
    <x v="304"/>
    <x v="0"/>
  </r>
  <r>
    <x v="0"/>
    <x v="36"/>
    <x v="36"/>
    <x v="12"/>
    <x v="12"/>
    <x v="12"/>
    <x v="13"/>
    <x v="113"/>
    <x v="12"/>
    <x v="64"/>
    <x v="53"/>
    <x v="34"/>
    <x v="34"/>
    <x v="0"/>
  </r>
  <r>
    <x v="0"/>
    <x v="36"/>
    <x v="36"/>
    <x v="22"/>
    <x v="22"/>
    <x v="22"/>
    <x v="14"/>
    <x v="114"/>
    <x v="30"/>
    <x v="82"/>
    <x v="346"/>
    <x v="43"/>
    <x v="304"/>
    <x v="0"/>
  </r>
  <r>
    <x v="0"/>
    <x v="36"/>
    <x v="36"/>
    <x v="3"/>
    <x v="3"/>
    <x v="3"/>
    <x v="15"/>
    <x v="142"/>
    <x v="76"/>
    <x v="91"/>
    <x v="224"/>
    <x v="40"/>
    <x v="165"/>
    <x v="0"/>
  </r>
  <r>
    <x v="0"/>
    <x v="36"/>
    <x v="36"/>
    <x v="8"/>
    <x v="8"/>
    <x v="8"/>
    <x v="15"/>
    <x v="142"/>
    <x v="76"/>
    <x v="86"/>
    <x v="34"/>
    <x v="43"/>
    <x v="304"/>
    <x v="0"/>
  </r>
  <r>
    <x v="0"/>
    <x v="36"/>
    <x v="36"/>
    <x v="17"/>
    <x v="17"/>
    <x v="17"/>
    <x v="15"/>
    <x v="142"/>
    <x v="76"/>
    <x v="103"/>
    <x v="254"/>
    <x v="59"/>
    <x v="107"/>
    <x v="0"/>
  </r>
  <r>
    <x v="0"/>
    <x v="36"/>
    <x v="36"/>
    <x v="23"/>
    <x v="23"/>
    <x v="23"/>
    <x v="18"/>
    <x v="143"/>
    <x v="293"/>
    <x v="91"/>
    <x v="224"/>
    <x v="43"/>
    <x v="304"/>
    <x v="0"/>
  </r>
  <r>
    <x v="0"/>
    <x v="36"/>
    <x v="36"/>
    <x v="26"/>
    <x v="26"/>
    <x v="26"/>
    <x v="19"/>
    <x v="144"/>
    <x v="294"/>
    <x v="94"/>
    <x v="117"/>
    <x v="43"/>
    <x v="304"/>
    <x v="0"/>
  </r>
  <r>
    <x v="0"/>
    <x v="36"/>
    <x v="36"/>
    <x v="28"/>
    <x v="28"/>
    <x v="28"/>
    <x v="19"/>
    <x v="144"/>
    <x v="294"/>
    <x v="92"/>
    <x v="409"/>
    <x v="34"/>
    <x v="34"/>
    <x v="0"/>
  </r>
  <r>
    <x v="0"/>
    <x v="36"/>
    <x v="36"/>
    <x v="59"/>
    <x v="59"/>
    <x v="59"/>
    <x v="19"/>
    <x v="144"/>
    <x v="294"/>
    <x v="93"/>
    <x v="132"/>
    <x v="59"/>
    <x v="107"/>
    <x v="0"/>
  </r>
  <r>
    <x v="0"/>
    <x v="36"/>
    <x v="36"/>
    <x v="63"/>
    <x v="63"/>
    <x v="63"/>
    <x v="19"/>
    <x v="144"/>
    <x v="294"/>
    <x v="93"/>
    <x v="132"/>
    <x v="59"/>
    <x v="107"/>
    <x v="0"/>
  </r>
  <r>
    <x v="0"/>
    <x v="36"/>
    <x v="36"/>
    <x v="29"/>
    <x v="29"/>
    <x v="29"/>
    <x v="19"/>
    <x v="144"/>
    <x v="294"/>
    <x v="91"/>
    <x v="224"/>
    <x v="71"/>
    <x v="301"/>
    <x v="0"/>
  </r>
  <r>
    <x v="0"/>
    <x v="37"/>
    <x v="37"/>
    <x v="0"/>
    <x v="0"/>
    <x v="0"/>
    <x v="0"/>
    <x v="103"/>
    <x v="295"/>
    <x v="36"/>
    <x v="411"/>
    <x v="75"/>
    <x v="120"/>
    <x v="0"/>
  </r>
  <r>
    <x v="0"/>
    <x v="37"/>
    <x v="37"/>
    <x v="13"/>
    <x v="13"/>
    <x v="13"/>
    <x v="1"/>
    <x v="85"/>
    <x v="219"/>
    <x v="33"/>
    <x v="412"/>
    <x v="40"/>
    <x v="250"/>
    <x v="0"/>
  </r>
  <r>
    <x v="0"/>
    <x v="37"/>
    <x v="37"/>
    <x v="3"/>
    <x v="3"/>
    <x v="3"/>
    <x v="2"/>
    <x v="88"/>
    <x v="296"/>
    <x v="101"/>
    <x v="356"/>
    <x v="70"/>
    <x v="180"/>
    <x v="0"/>
  </r>
  <r>
    <x v="0"/>
    <x v="37"/>
    <x v="37"/>
    <x v="1"/>
    <x v="1"/>
    <x v="1"/>
    <x v="3"/>
    <x v="90"/>
    <x v="297"/>
    <x v="47"/>
    <x v="413"/>
    <x v="43"/>
    <x v="305"/>
    <x v="0"/>
  </r>
  <r>
    <x v="0"/>
    <x v="37"/>
    <x v="37"/>
    <x v="4"/>
    <x v="4"/>
    <x v="4"/>
    <x v="4"/>
    <x v="92"/>
    <x v="178"/>
    <x v="76"/>
    <x v="414"/>
    <x v="40"/>
    <x v="250"/>
    <x v="0"/>
  </r>
  <r>
    <x v="0"/>
    <x v="37"/>
    <x v="37"/>
    <x v="11"/>
    <x v="11"/>
    <x v="11"/>
    <x v="5"/>
    <x v="100"/>
    <x v="298"/>
    <x v="75"/>
    <x v="415"/>
    <x v="43"/>
    <x v="305"/>
    <x v="0"/>
  </r>
  <r>
    <x v="0"/>
    <x v="37"/>
    <x v="37"/>
    <x v="6"/>
    <x v="6"/>
    <x v="6"/>
    <x v="6"/>
    <x v="97"/>
    <x v="299"/>
    <x v="92"/>
    <x v="416"/>
    <x v="23"/>
    <x v="306"/>
    <x v="0"/>
  </r>
  <r>
    <x v="0"/>
    <x v="37"/>
    <x v="37"/>
    <x v="39"/>
    <x v="39"/>
    <x v="39"/>
    <x v="6"/>
    <x v="97"/>
    <x v="299"/>
    <x v="75"/>
    <x v="415"/>
    <x v="71"/>
    <x v="111"/>
    <x v="0"/>
  </r>
  <r>
    <x v="0"/>
    <x v="37"/>
    <x v="37"/>
    <x v="18"/>
    <x v="18"/>
    <x v="18"/>
    <x v="6"/>
    <x v="97"/>
    <x v="299"/>
    <x v="64"/>
    <x v="25"/>
    <x v="55"/>
    <x v="307"/>
    <x v="0"/>
  </r>
  <r>
    <x v="0"/>
    <x v="37"/>
    <x v="37"/>
    <x v="34"/>
    <x v="34"/>
    <x v="34"/>
    <x v="9"/>
    <x v="104"/>
    <x v="287"/>
    <x v="75"/>
    <x v="415"/>
    <x v="70"/>
    <x v="180"/>
    <x v="0"/>
  </r>
  <r>
    <x v="0"/>
    <x v="37"/>
    <x v="37"/>
    <x v="15"/>
    <x v="15"/>
    <x v="15"/>
    <x v="10"/>
    <x v="110"/>
    <x v="43"/>
    <x v="61"/>
    <x v="417"/>
    <x v="40"/>
    <x v="250"/>
    <x v="0"/>
  </r>
  <r>
    <x v="0"/>
    <x v="37"/>
    <x v="37"/>
    <x v="5"/>
    <x v="5"/>
    <x v="5"/>
    <x v="11"/>
    <x v="111"/>
    <x v="95"/>
    <x v="74"/>
    <x v="258"/>
    <x v="75"/>
    <x v="120"/>
    <x v="0"/>
  </r>
  <r>
    <x v="0"/>
    <x v="37"/>
    <x v="37"/>
    <x v="8"/>
    <x v="8"/>
    <x v="8"/>
    <x v="12"/>
    <x v="112"/>
    <x v="300"/>
    <x v="62"/>
    <x v="158"/>
    <x v="43"/>
    <x v="305"/>
    <x v="0"/>
  </r>
  <r>
    <x v="0"/>
    <x v="37"/>
    <x v="37"/>
    <x v="2"/>
    <x v="2"/>
    <x v="2"/>
    <x v="13"/>
    <x v="113"/>
    <x v="233"/>
    <x v="62"/>
    <x v="158"/>
    <x v="70"/>
    <x v="180"/>
    <x v="0"/>
  </r>
  <r>
    <x v="0"/>
    <x v="37"/>
    <x v="37"/>
    <x v="64"/>
    <x v="64"/>
    <x v="64"/>
    <x v="14"/>
    <x v="114"/>
    <x v="185"/>
    <x v="82"/>
    <x v="183"/>
    <x v="43"/>
    <x v="305"/>
    <x v="0"/>
  </r>
  <r>
    <x v="0"/>
    <x v="37"/>
    <x v="37"/>
    <x v="49"/>
    <x v="49"/>
    <x v="49"/>
    <x v="15"/>
    <x v="115"/>
    <x v="100"/>
    <x v="63"/>
    <x v="127"/>
    <x v="70"/>
    <x v="180"/>
    <x v="0"/>
  </r>
  <r>
    <x v="0"/>
    <x v="37"/>
    <x v="37"/>
    <x v="10"/>
    <x v="10"/>
    <x v="10"/>
    <x v="15"/>
    <x v="115"/>
    <x v="100"/>
    <x v="91"/>
    <x v="32"/>
    <x v="34"/>
    <x v="308"/>
    <x v="0"/>
  </r>
  <r>
    <x v="0"/>
    <x v="37"/>
    <x v="37"/>
    <x v="29"/>
    <x v="29"/>
    <x v="29"/>
    <x v="15"/>
    <x v="115"/>
    <x v="100"/>
    <x v="86"/>
    <x v="385"/>
    <x v="40"/>
    <x v="250"/>
    <x v="0"/>
  </r>
  <r>
    <x v="0"/>
    <x v="37"/>
    <x v="37"/>
    <x v="41"/>
    <x v="41"/>
    <x v="41"/>
    <x v="18"/>
    <x v="142"/>
    <x v="16"/>
    <x v="82"/>
    <x v="183"/>
    <x v="70"/>
    <x v="180"/>
    <x v="0"/>
  </r>
  <r>
    <x v="0"/>
    <x v="37"/>
    <x v="37"/>
    <x v="38"/>
    <x v="38"/>
    <x v="38"/>
    <x v="18"/>
    <x v="142"/>
    <x v="16"/>
    <x v="93"/>
    <x v="132"/>
    <x v="75"/>
    <x v="120"/>
    <x v="0"/>
  </r>
  <r>
    <x v="0"/>
    <x v="38"/>
    <x v="38"/>
    <x v="7"/>
    <x v="7"/>
    <x v="7"/>
    <x v="0"/>
    <x v="133"/>
    <x v="301"/>
    <x v="87"/>
    <x v="418"/>
    <x v="75"/>
    <x v="120"/>
    <x v="0"/>
  </r>
  <r>
    <x v="0"/>
    <x v="38"/>
    <x v="38"/>
    <x v="13"/>
    <x v="13"/>
    <x v="13"/>
    <x v="1"/>
    <x v="113"/>
    <x v="240"/>
    <x v="51"/>
    <x v="207"/>
    <x v="71"/>
    <x v="174"/>
    <x v="0"/>
  </r>
  <r>
    <x v="0"/>
    <x v="38"/>
    <x v="38"/>
    <x v="8"/>
    <x v="8"/>
    <x v="8"/>
    <x v="1"/>
    <x v="113"/>
    <x v="240"/>
    <x v="82"/>
    <x v="312"/>
    <x v="40"/>
    <x v="29"/>
    <x v="0"/>
  </r>
  <r>
    <x v="0"/>
    <x v="38"/>
    <x v="38"/>
    <x v="6"/>
    <x v="6"/>
    <x v="6"/>
    <x v="3"/>
    <x v="114"/>
    <x v="302"/>
    <x v="93"/>
    <x v="132"/>
    <x v="42"/>
    <x v="309"/>
    <x v="0"/>
  </r>
  <r>
    <x v="0"/>
    <x v="38"/>
    <x v="38"/>
    <x v="3"/>
    <x v="3"/>
    <x v="3"/>
    <x v="4"/>
    <x v="115"/>
    <x v="165"/>
    <x v="64"/>
    <x v="265"/>
    <x v="43"/>
    <x v="142"/>
    <x v="0"/>
  </r>
  <r>
    <x v="0"/>
    <x v="38"/>
    <x v="38"/>
    <x v="4"/>
    <x v="4"/>
    <x v="4"/>
    <x v="4"/>
    <x v="115"/>
    <x v="165"/>
    <x v="82"/>
    <x v="312"/>
    <x v="71"/>
    <x v="174"/>
    <x v="0"/>
  </r>
  <r>
    <x v="0"/>
    <x v="38"/>
    <x v="38"/>
    <x v="10"/>
    <x v="10"/>
    <x v="10"/>
    <x v="6"/>
    <x v="142"/>
    <x v="287"/>
    <x v="103"/>
    <x v="387"/>
    <x v="59"/>
    <x v="310"/>
    <x v="0"/>
  </r>
  <r>
    <x v="0"/>
    <x v="38"/>
    <x v="38"/>
    <x v="1"/>
    <x v="1"/>
    <x v="1"/>
    <x v="6"/>
    <x v="142"/>
    <x v="287"/>
    <x v="63"/>
    <x v="384"/>
    <x v="75"/>
    <x v="120"/>
    <x v="0"/>
  </r>
  <r>
    <x v="0"/>
    <x v="38"/>
    <x v="38"/>
    <x v="0"/>
    <x v="0"/>
    <x v="0"/>
    <x v="6"/>
    <x v="142"/>
    <x v="287"/>
    <x v="63"/>
    <x v="384"/>
    <x v="75"/>
    <x v="120"/>
    <x v="0"/>
  </r>
  <r>
    <x v="0"/>
    <x v="38"/>
    <x v="38"/>
    <x v="5"/>
    <x v="5"/>
    <x v="5"/>
    <x v="6"/>
    <x v="142"/>
    <x v="287"/>
    <x v="63"/>
    <x v="384"/>
    <x v="75"/>
    <x v="120"/>
    <x v="0"/>
  </r>
  <r>
    <x v="0"/>
    <x v="38"/>
    <x v="38"/>
    <x v="65"/>
    <x v="65"/>
    <x v="65"/>
    <x v="6"/>
    <x v="142"/>
    <x v="287"/>
    <x v="93"/>
    <x v="132"/>
    <x v="72"/>
    <x v="311"/>
    <x v="0"/>
  </r>
  <r>
    <x v="0"/>
    <x v="38"/>
    <x v="38"/>
    <x v="14"/>
    <x v="14"/>
    <x v="14"/>
    <x v="11"/>
    <x v="144"/>
    <x v="27"/>
    <x v="103"/>
    <x v="387"/>
    <x v="40"/>
    <x v="29"/>
    <x v="0"/>
  </r>
  <r>
    <x v="0"/>
    <x v="38"/>
    <x v="38"/>
    <x v="56"/>
    <x v="56"/>
    <x v="56"/>
    <x v="11"/>
    <x v="144"/>
    <x v="27"/>
    <x v="103"/>
    <x v="387"/>
    <x v="40"/>
    <x v="29"/>
    <x v="0"/>
  </r>
  <r>
    <x v="0"/>
    <x v="38"/>
    <x v="38"/>
    <x v="2"/>
    <x v="2"/>
    <x v="2"/>
    <x v="11"/>
    <x v="144"/>
    <x v="27"/>
    <x v="92"/>
    <x v="177"/>
    <x v="34"/>
    <x v="312"/>
    <x v="0"/>
  </r>
  <r>
    <x v="0"/>
    <x v="38"/>
    <x v="38"/>
    <x v="20"/>
    <x v="20"/>
    <x v="20"/>
    <x v="11"/>
    <x v="144"/>
    <x v="27"/>
    <x v="64"/>
    <x v="265"/>
    <x v="75"/>
    <x v="120"/>
    <x v="0"/>
  </r>
  <r>
    <x v="0"/>
    <x v="38"/>
    <x v="38"/>
    <x v="66"/>
    <x v="66"/>
    <x v="66"/>
    <x v="15"/>
    <x v="145"/>
    <x v="185"/>
    <x v="94"/>
    <x v="419"/>
    <x v="71"/>
    <x v="174"/>
    <x v="0"/>
  </r>
  <r>
    <x v="0"/>
    <x v="38"/>
    <x v="38"/>
    <x v="18"/>
    <x v="18"/>
    <x v="18"/>
    <x v="15"/>
    <x v="145"/>
    <x v="185"/>
    <x v="91"/>
    <x v="420"/>
    <x v="70"/>
    <x v="313"/>
    <x v="0"/>
  </r>
  <r>
    <x v="0"/>
    <x v="38"/>
    <x v="38"/>
    <x v="67"/>
    <x v="67"/>
    <x v="67"/>
    <x v="15"/>
    <x v="145"/>
    <x v="185"/>
    <x v="92"/>
    <x v="177"/>
    <x v="40"/>
    <x v="29"/>
    <x v="0"/>
  </r>
  <r>
    <x v="0"/>
    <x v="38"/>
    <x v="38"/>
    <x v="9"/>
    <x v="9"/>
    <x v="9"/>
    <x v="15"/>
    <x v="145"/>
    <x v="185"/>
    <x v="94"/>
    <x v="419"/>
    <x v="71"/>
    <x v="174"/>
    <x v="0"/>
  </r>
  <r>
    <x v="0"/>
    <x v="38"/>
    <x v="38"/>
    <x v="15"/>
    <x v="15"/>
    <x v="15"/>
    <x v="19"/>
    <x v="146"/>
    <x v="303"/>
    <x v="92"/>
    <x v="177"/>
    <x v="43"/>
    <x v="142"/>
    <x v="0"/>
  </r>
  <r>
    <x v="0"/>
    <x v="38"/>
    <x v="38"/>
    <x v="33"/>
    <x v="33"/>
    <x v="33"/>
    <x v="19"/>
    <x v="146"/>
    <x v="303"/>
    <x v="92"/>
    <x v="177"/>
    <x v="43"/>
    <x v="142"/>
    <x v="0"/>
  </r>
  <r>
    <x v="0"/>
    <x v="38"/>
    <x v="38"/>
    <x v="39"/>
    <x v="39"/>
    <x v="39"/>
    <x v="19"/>
    <x v="146"/>
    <x v="303"/>
    <x v="94"/>
    <x v="419"/>
    <x v="70"/>
    <x v="313"/>
    <x v="0"/>
  </r>
  <r>
    <x v="0"/>
    <x v="38"/>
    <x v="38"/>
    <x v="17"/>
    <x v="17"/>
    <x v="17"/>
    <x v="19"/>
    <x v="146"/>
    <x v="303"/>
    <x v="93"/>
    <x v="132"/>
    <x v="40"/>
    <x v="29"/>
    <x v="0"/>
  </r>
  <r>
    <x v="0"/>
    <x v="38"/>
    <x v="38"/>
    <x v="11"/>
    <x v="11"/>
    <x v="11"/>
    <x v="19"/>
    <x v="146"/>
    <x v="303"/>
    <x v="103"/>
    <x v="387"/>
    <x v="71"/>
    <x v="174"/>
    <x v="0"/>
  </r>
  <r>
    <x v="0"/>
    <x v="38"/>
    <x v="38"/>
    <x v="34"/>
    <x v="34"/>
    <x v="34"/>
    <x v="19"/>
    <x v="146"/>
    <x v="303"/>
    <x v="103"/>
    <x v="387"/>
    <x v="71"/>
    <x v="174"/>
    <x v="0"/>
  </r>
  <r>
    <x v="0"/>
    <x v="38"/>
    <x v="38"/>
    <x v="54"/>
    <x v="54"/>
    <x v="54"/>
    <x v="19"/>
    <x v="146"/>
    <x v="303"/>
    <x v="93"/>
    <x v="132"/>
    <x v="40"/>
    <x v="29"/>
    <x v="0"/>
  </r>
  <r>
    <x v="0"/>
    <x v="38"/>
    <x v="38"/>
    <x v="68"/>
    <x v="68"/>
    <x v="68"/>
    <x v="19"/>
    <x v="146"/>
    <x v="303"/>
    <x v="93"/>
    <x v="132"/>
    <x v="43"/>
    <x v="142"/>
    <x v="0"/>
  </r>
  <r>
    <x v="0"/>
    <x v="38"/>
    <x v="38"/>
    <x v="69"/>
    <x v="69"/>
    <x v="69"/>
    <x v="19"/>
    <x v="146"/>
    <x v="303"/>
    <x v="93"/>
    <x v="132"/>
    <x v="40"/>
    <x v="29"/>
    <x v="0"/>
  </r>
  <r>
    <x v="0"/>
    <x v="39"/>
    <x v="39"/>
    <x v="1"/>
    <x v="1"/>
    <x v="1"/>
    <x v="0"/>
    <x v="65"/>
    <x v="304"/>
    <x v="79"/>
    <x v="227"/>
    <x v="43"/>
    <x v="102"/>
    <x v="0"/>
  </r>
  <r>
    <x v="0"/>
    <x v="39"/>
    <x v="39"/>
    <x v="0"/>
    <x v="0"/>
    <x v="0"/>
    <x v="1"/>
    <x v="66"/>
    <x v="305"/>
    <x v="59"/>
    <x v="421"/>
    <x v="71"/>
    <x v="133"/>
    <x v="0"/>
  </r>
  <r>
    <x v="0"/>
    <x v="39"/>
    <x v="39"/>
    <x v="5"/>
    <x v="5"/>
    <x v="5"/>
    <x v="2"/>
    <x v="103"/>
    <x v="306"/>
    <x v="84"/>
    <x v="422"/>
    <x v="65"/>
    <x v="314"/>
    <x v="0"/>
  </r>
  <r>
    <x v="0"/>
    <x v="39"/>
    <x v="39"/>
    <x v="4"/>
    <x v="4"/>
    <x v="4"/>
    <x v="3"/>
    <x v="89"/>
    <x v="23"/>
    <x v="47"/>
    <x v="423"/>
    <x v="34"/>
    <x v="126"/>
    <x v="0"/>
  </r>
  <r>
    <x v="0"/>
    <x v="39"/>
    <x v="39"/>
    <x v="7"/>
    <x v="7"/>
    <x v="7"/>
    <x v="4"/>
    <x v="95"/>
    <x v="91"/>
    <x v="84"/>
    <x v="422"/>
    <x v="43"/>
    <x v="102"/>
    <x v="0"/>
  </r>
  <r>
    <x v="0"/>
    <x v="39"/>
    <x v="39"/>
    <x v="9"/>
    <x v="9"/>
    <x v="9"/>
    <x v="5"/>
    <x v="91"/>
    <x v="307"/>
    <x v="38"/>
    <x v="424"/>
    <x v="40"/>
    <x v="154"/>
    <x v="0"/>
  </r>
  <r>
    <x v="0"/>
    <x v="39"/>
    <x v="39"/>
    <x v="3"/>
    <x v="3"/>
    <x v="3"/>
    <x v="6"/>
    <x v="97"/>
    <x v="71"/>
    <x v="87"/>
    <x v="114"/>
    <x v="34"/>
    <x v="126"/>
    <x v="0"/>
  </r>
  <r>
    <x v="0"/>
    <x v="39"/>
    <x v="39"/>
    <x v="10"/>
    <x v="10"/>
    <x v="10"/>
    <x v="6"/>
    <x v="97"/>
    <x v="71"/>
    <x v="82"/>
    <x v="30"/>
    <x v="42"/>
    <x v="55"/>
    <x v="0"/>
  </r>
  <r>
    <x v="0"/>
    <x v="39"/>
    <x v="39"/>
    <x v="14"/>
    <x v="14"/>
    <x v="14"/>
    <x v="8"/>
    <x v="104"/>
    <x v="184"/>
    <x v="86"/>
    <x v="331"/>
    <x v="55"/>
    <x v="61"/>
    <x v="0"/>
  </r>
  <r>
    <x v="0"/>
    <x v="39"/>
    <x v="39"/>
    <x v="12"/>
    <x v="12"/>
    <x v="12"/>
    <x v="8"/>
    <x v="104"/>
    <x v="184"/>
    <x v="74"/>
    <x v="425"/>
    <x v="71"/>
    <x v="133"/>
    <x v="0"/>
  </r>
  <r>
    <x v="0"/>
    <x v="39"/>
    <x v="39"/>
    <x v="6"/>
    <x v="6"/>
    <x v="6"/>
    <x v="10"/>
    <x v="110"/>
    <x v="11"/>
    <x v="103"/>
    <x v="67"/>
    <x v="65"/>
    <x v="314"/>
    <x v="0"/>
  </r>
  <r>
    <x v="0"/>
    <x v="39"/>
    <x v="39"/>
    <x v="15"/>
    <x v="15"/>
    <x v="15"/>
    <x v="10"/>
    <x v="110"/>
    <x v="11"/>
    <x v="64"/>
    <x v="157"/>
    <x v="53"/>
    <x v="236"/>
    <x v="0"/>
  </r>
  <r>
    <x v="0"/>
    <x v="39"/>
    <x v="39"/>
    <x v="8"/>
    <x v="8"/>
    <x v="8"/>
    <x v="10"/>
    <x v="110"/>
    <x v="11"/>
    <x v="63"/>
    <x v="259"/>
    <x v="39"/>
    <x v="34"/>
    <x v="0"/>
  </r>
  <r>
    <x v="0"/>
    <x v="39"/>
    <x v="39"/>
    <x v="25"/>
    <x v="25"/>
    <x v="25"/>
    <x v="10"/>
    <x v="110"/>
    <x v="11"/>
    <x v="74"/>
    <x v="425"/>
    <x v="70"/>
    <x v="65"/>
    <x v="0"/>
  </r>
  <r>
    <x v="0"/>
    <x v="39"/>
    <x v="39"/>
    <x v="36"/>
    <x v="36"/>
    <x v="36"/>
    <x v="14"/>
    <x v="111"/>
    <x v="86"/>
    <x v="94"/>
    <x v="89"/>
    <x v="55"/>
    <x v="61"/>
    <x v="0"/>
  </r>
  <r>
    <x v="0"/>
    <x v="39"/>
    <x v="39"/>
    <x v="11"/>
    <x v="11"/>
    <x v="11"/>
    <x v="15"/>
    <x v="112"/>
    <x v="185"/>
    <x v="82"/>
    <x v="30"/>
    <x v="59"/>
    <x v="52"/>
    <x v="0"/>
  </r>
  <r>
    <x v="0"/>
    <x v="39"/>
    <x v="39"/>
    <x v="46"/>
    <x v="46"/>
    <x v="46"/>
    <x v="16"/>
    <x v="133"/>
    <x v="110"/>
    <x v="64"/>
    <x v="157"/>
    <x v="59"/>
    <x v="52"/>
    <x v="0"/>
  </r>
  <r>
    <x v="0"/>
    <x v="39"/>
    <x v="39"/>
    <x v="2"/>
    <x v="2"/>
    <x v="2"/>
    <x v="17"/>
    <x v="113"/>
    <x v="308"/>
    <x v="103"/>
    <x v="67"/>
    <x v="72"/>
    <x v="3"/>
    <x v="0"/>
  </r>
  <r>
    <x v="0"/>
    <x v="39"/>
    <x v="39"/>
    <x v="29"/>
    <x v="29"/>
    <x v="29"/>
    <x v="18"/>
    <x v="114"/>
    <x v="87"/>
    <x v="86"/>
    <x v="331"/>
    <x v="34"/>
    <x v="126"/>
    <x v="0"/>
  </r>
  <r>
    <x v="0"/>
    <x v="39"/>
    <x v="39"/>
    <x v="21"/>
    <x v="21"/>
    <x v="21"/>
    <x v="18"/>
    <x v="114"/>
    <x v="87"/>
    <x v="64"/>
    <x v="157"/>
    <x v="40"/>
    <x v="154"/>
    <x v="0"/>
  </r>
  <r>
    <x v="0"/>
    <x v="40"/>
    <x v="40"/>
    <x v="1"/>
    <x v="1"/>
    <x v="1"/>
    <x v="0"/>
    <x v="110"/>
    <x v="309"/>
    <x v="75"/>
    <x v="426"/>
    <x v="75"/>
    <x v="120"/>
    <x v="0"/>
  </r>
  <r>
    <x v="0"/>
    <x v="40"/>
    <x v="40"/>
    <x v="5"/>
    <x v="5"/>
    <x v="5"/>
    <x v="1"/>
    <x v="133"/>
    <x v="310"/>
    <x v="62"/>
    <x v="427"/>
    <x v="71"/>
    <x v="13"/>
    <x v="0"/>
  </r>
  <r>
    <x v="0"/>
    <x v="40"/>
    <x v="40"/>
    <x v="3"/>
    <x v="3"/>
    <x v="3"/>
    <x v="2"/>
    <x v="114"/>
    <x v="196"/>
    <x v="82"/>
    <x v="428"/>
    <x v="43"/>
    <x v="315"/>
    <x v="0"/>
  </r>
  <r>
    <x v="0"/>
    <x v="40"/>
    <x v="40"/>
    <x v="8"/>
    <x v="8"/>
    <x v="8"/>
    <x v="3"/>
    <x v="115"/>
    <x v="311"/>
    <x v="82"/>
    <x v="428"/>
    <x v="71"/>
    <x v="13"/>
    <x v="0"/>
  </r>
  <r>
    <x v="0"/>
    <x v="40"/>
    <x v="40"/>
    <x v="6"/>
    <x v="6"/>
    <x v="6"/>
    <x v="4"/>
    <x v="142"/>
    <x v="67"/>
    <x v="93"/>
    <x v="132"/>
    <x v="72"/>
    <x v="316"/>
    <x v="0"/>
  </r>
  <r>
    <x v="0"/>
    <x v="40"/>
    <x v="40"/>
    <x v="0"/>
    <x v="0"/>
    <x v="0"/>
    <x v="5"/>
    <x v="144"/>
    <x v="222"/>
    <x v="64"/>
    <x v="301"/>
    <x v="75"/>
    <x v="120"/>
    <x v="0"/>
  </r>
  <r>
    <x v="0"/>
    <x v="40"/>
    <x v="40"/>
    <x v="15"/>
    <x v="15"/>
    <x v="15"/>
    <x v="6"/>
    <x v="145"/>
    <x v="7"/>
    <x v="103"/>
    <x v="368"/>
    <x v="43"/>
    <x v="315"/>
    <x v="0"/>
  </r>
  <r>
    <x v="0"/>
    <x v="40"/>
    <x v="40"/>
    <x v="27"/>
    <x v="27"/>
    <x v="27"/>
    <x v="6"/>
    <x v="145"/>
    <x v="7"/>
    <x v="91"/>
    <x v="429"/>
    <x v="70"/>
    <x v="126"/>
    <x v="0"/>
  </r>
  <r>
    <x v="0"/>
    <x v="40"/>
    <x v="40"/>
    <x v="35"/>
    <x v="35"/>
    <x v="35"/>
    <x v="6"/>
    <x v="145"/>
    <x v="7"/>
    <x v="94"/>
    <x v="430"/>
    <x v="71"/>
    <x v="13"/>
    <x v="0"/>
  </r>
  <r>
    <x v="0"/>
    <x v="40"/>
    <x v="40"/>
    <x v="10"/>
    <x v="10"/>
    <x v="10"/>
    <x v="6"/>
    <x v="145"/>
    <x v="7"/>
    <x v="94"/>
    <x v="430"/>
    <x v="71"/>
    <x v="13"/>
    <x v="0"/>
  </r>
  <r>
    <x v="0"/>
    <x v="40"/>
    <x v="40"/>
    <x v="14"/>
    <x v="14"/>
    <x v="14"/>
    <x v="6"/>
    <x v="145"/>
    <x v="7"/>
    <x v="91"/>
    <x v="429"/>
    <x v="70"/>
    <x v="126"/>
    <x v="0"/>
  </r>
  <r>
    <x v="0"/>
    <x v="40"/>
    <x v="40"/>
    <x v="18"/>
    <x v="18"/>
    <x v="18"/>
    <x v="6"/>
    <x v="145"/>
    <x v="7"/>
    <x v="93"/>
    <x v="132"/>
    <x v="34"/>
    <x v="317"/>
    <x v="0"/>
  </r>
  <r>
    <x v="0"/>
    <x v="40"/>
    <x v="40"/>
    <x v="23"/>
    <x v="23"/>
    <x v="23"/>
    <x v="12"/>
    <x v="146"/>
    <x v="179"/>
    <x v="94"/>
    <x v="430"/>
    <x v="70"/>
    <x v="126"/>
    <x v="0"/>
  </r>
  <r>
    <x v="0"/>
    <x v="40"/>
    <x v="40"/>
    <x v="56"/>
    <x v="56"/>
    <x v="56"/>
    <x v="13"/>
    <x v="147"/>
    <x v="34"/>
    <x v="103"/>
    <x v="368"/>
    <x v="70"/>
    <x v="126"/>
    <x v="0"/>
  </r>
  <r>
    <x v="0"/>
    <x v="40"/>
    <x v="40"/>
    <x v="70"/>
    <x v="70"/>
    <x v="70"/>
    <x v="13"/>
    <x v="147"/>
    <x v="34"/>
    <x v="94"/>
    <x v="430"/>
    <x v="75"/>
    <x v="120"/>
    <x v="0"/>
  </r>
  <r>
    <x v="0"/>
    <x v="40"/>
    <x v="40"/>
    <x v="71"/>
    <x v="71"/>
    <x v="71"/>
    <x v="13"/>
    <x v="147"/>
    <x v="34"/>
    <x v="92"/>
    <x v="431"/>
    <x v="71"/>
    <x v="13"/>
    <x v="0"/>
  </r>
  <r>
    <x v="0"/>
    <x v="40"/>
    <x v="40"/>
    <x v="62"/>
    <x v="62"/>
    <x v="62"/>
    <x v="13"/>
    <x v="147"/>
    <x v="34"/>
    <x v="94"/>
    <x v="430"/>
    <x v="75"/>
    <x v="120"/>
    <x v="0"/>
  </r>
  <r>
    <x v="0"/>
    <x v="40"/>
    <x v="40"/>
    <x v="13"/>
    <x v="13"/>
    <x v="13"/>
    <x v="13"/>
    <x v="147"/>
    <x v="34"/>
    <x v="94"/>
    <x v="430"/>
    <x v="75"/>
    <x v="120"/>
    <x v="0"/>
  </r>
  <r>
    <x v="0"/>
    <x v="40"/>
    <x v="40"/>
    <x v="50"/>
    <x v="50"/>
    <x v="50"/>
    <x v="13"/>
    <x v="147"/>
    <x v="34"/>
    <x v="94"/>
    <x v="430"/>
    <x v="75"/>
    <x v="120"/>
    <x v="0"/>
  </r>
  <r>
    <x v="0"/>
    <x v="40"/>
    <x v="40"/>
    <x v="19"/>
    <x v="19"/>
    <x v="19"/>
    <x v="13"/>
    <x v="147"/>
    <x v="34"/>
    <x v="93"/>
    <x v="132"/>
    <x v="43"/>
    <x v="315"/>
    <x v="0"/>
  </r>
  <r>
    <x v="0"/>
    <x v="40"/>
    <x v="40"/>
    <x v="16"/>
    <x v="16"/>
    <x v="16"/>
    <x v="13"/>
    <x v="147"/>
    <x v="34"/>
    <x v="103"/>
    <x v="368"/>
    <x v="75"/>
    <x v="120"/>
    <x v="0"/>
  </r>
  <r>
    <x v="0"/>
    <x v="40"/>
    <x v="40"/>
    <x v="34"/>
    <x v="34"/>
    <x v="34"/>
    <x v="13"/>
    <x v="147"/>
    <x v="34"/>
    <x v="103"/>
    <x v="368"/>
    <x v="70"/>
    <x v="126"/>
    <x v="0"/>
  </r>
  <r>
    <x v="0"/>
    <x v="40"/>
    <x v="40"/>
    <x v="9"/>
    <x v="9"/>
    <x v="9"/>
    <x v="13"/>
    <x v="147"/>
    <x v="34"/>
    <x v="103"/>
    <x v="368"/>
    <x v="70"/>
    <x v="126"/>
    <x v="0"/>
  </r>
  <r>
    <x v="0"/>
    <x v="41"/>
    <x v="41"/>
    <x v="3"/>
    <x v="3"/>
    <x v="3"/>
    <x v="0"/>
    <x v="98"/>
    <x v="65"/>
    <x v="65"/>
    <x v="432"/>
    <x v="39"/>
    <x v="318"/>
    <x v="0"/>
  </r>
  <r>
    <x v="0"/>
    <x v="41"/>
    <x v="41"/>
    <x v="1"/>
    <x v="1"/>
    <x v="1"/>
    <x v="1"/>
    <x v="94"/>
    <x v="312"/>
    <x v="96"/>
    <x v="433"/>
    <x v="75"/>
    <x v="120"/>
    <x v="0"/>
  </r>
  <r>
    <x v="0"/>
    <x v="41"/>
    <x v="41"/>
    <x v="5"/>
    <x v="5"/>
    <x v="5"/>
    <x v="2"/>
    <x v="89"/>
    <x v="306"/>
    <x v="66"/>
    <x v="434"/>
    <x v="43"/>
    <x v="155"/>
    <x v="0"/>
  </r>
  <r>
    <x v="0"/>
    <x v="41"/>
    <x v="41"/>
    <x v="28"/>
    <x v="28"/>
    <x v="28"/>
    <x v="3"/>
    <x v="90"/>
    <x v="301"/>
    <x v="32"/>
    <x v="435"/>
    <x v="42"/>
    <x v="319"/>
    <x v="0"/>
  </r>
  <r>
    <x v="0"/>
    <x v="41"/>
    <x v="41"/>
    <x v="10"/>
    <x v="10"/>
    <x v="10"/>
    <x v="4"/>
    <x v="92"/>
    <x v="313"/>
    <x v="63"/>
    <x v="189"/>
    <x v="65"/>
    <x v="320"/>
    <x v="0"/>
  </r>
  <r>
    <x v="0"/>
    <x v="41"/>
    <x v="41"/>
    <x v="18"/>
    <x v="18"/>
    <x v="18"/>
    <x v="4"/>
    <x v="92"/>
    <x v="313"/>
    <x v="87"/>
    <x v="436"/>
    <x v="53"/>
    <x v="321"/>
    <x v="0"/>
  </r>
  <r>
    <x v="0"/>
    <x v="41"/>
    <x v="41"/>
    <x v="35"/>
    <x v="35"/>
    <x v="35"/>
    <x v="6"/>
    <x v="96"/>
    <x v="134"/>
    <x v="103"/>
    <x v="437"/>
    <x v="69"/>
    <x v="322"/>
    <x v="0"/>
  </r>
  <r>
    <x v="0"/>
    <x v="41"/>
    <x v="41"/>
    <x v="0"/>
    <x v="0"/>
    <x v="0"/>
    <x v="6"/>
    <x v="96"/>
    <x v="134"/>
    <x v="60"/>
    <x v="422"/>
    <x v="70"/>
    <x v="323"/>
    <x v="0"/>
  </r>
  <r>
    <x v="0"/>
    <x v="41"/>
    <x v="41"/>
    <x v="27"/>
    <x v="27"/>
    <x v="27"/>
    <x v="8"/>
    <x v="99"/>
    <x v="106"/>
    <x v="74"/>
    <x v="438"/>
    <x v="34"/>
    <x v="8"/>
    <x v="0"/>
  </r>
  <r>
    <x v="0"/>
    <x v="41"/>
    <x v="41"/>
    <x v="15"/>
    <x v="15"/>
    <x v="15"/>
    <x v="9"/>
    <x v="112"/>
    <x v="57"/>
    <x v="82"/>
    <x v="175"/>
    <x v="59"/>
    <x v="324"/>
    <x v="0"/>
  </r>
  <r>
    <x v="0"/>
    <x v="41"/>
    <x v="41"/>
    <x v="50"/>
    <x v="50"/>
    <x v="50"/>
    <x v="9"/>
    <x v="112"/>
    <x v="57"/>
    <x v="82"/>
    <x v="175"/>
    <x v="59"/>
    <x v="324"/>
    <x v="0"/>
  </r>
  <r>
    <x v="0"/>
    <x v="41"/>
    <x v="41"/>
    <x v="8"/>
    <x v="8"/>
    <x v="8"/>
    <x v="11"/>
    <x v="113"/>
    <x v="11"/>
    <x v="86"/>
    <x v="282"/>
    <x v="59"/>
    <x v="324"/>
    <x v="0"/>
  </r>
  <r>
    <x v="0"/>
    <x v="41"/>
    <x v="41"/>
    <x v="6"/>
    <x v="6"/>
    <x v="6"/>
    <x v="12"/>
    <x v="115"/>
    <x v="99"/>
    <x v="94"/>
    <x v="73"/>
    <x v="59"/>
    <x v="324"/>
    <x v="0"/>
  </r>
  <r>
    <x v="0"/>
    <x v="41"/>
    <x v="41"/>
    <x v="14"/>
    <x v="14"/>
    <x v="14"/>
    <x v="12"/>
    <x v="115"/>
    <x v="99"/>
    <x v="64"/>
    <x v="200"/>
    <x v="43"/>
    <x v="155"/>
    <x v="0"/>
  </r>
  <r>
    <x v="0"/>
    <x v="41"/>
    <x v="41"/>
    <x v="39"/>
    <x v="39"/>
    <x v="39"/>
    <x v="12"/>
    <x v="115"/>
    <x v="99"/>
    <x v="82"/>
    <x v="175"/>
    <x v="71"/>
    <x v="150"/>
    <x v="0"/>
  </r>
  <r>
    <x v="0"/>
    <x v="41"/>
    <x v="41"/>
    <x v="49"/>
    <x v="49"/>
    <x v="49"/>
    <x v="15"/>
    <x v="142"/>
    <x v="111"/>
    <x v="64"/>
    <x v="200"/>
    <x v="71"/>
    <x v="150"/>
    <x v="0"/>
  </r>
  <r>
    <x v="0"/>
    <x v="41"/>
    <x v="41"/>
    <x v="33"/>
    <x v="33"/>
    <x v="33"/>
    <x v="16"/>
    <x v="143"/>
    <x v="88"/>
    <x v="94"/>
    <x v="73"/>
    <x v="40"/>
    <x v="27"/>
    <x v="0"/>
  </r>
  <r>
    <x v="0"/>
    <x v="41"/>
    <x v="41"/>
    <x v="48"/>
    <x v="48"/>
    <x v="48"/>
    <x v="16"/>
    <x v="143"/>
    <x v="88"/>
    <x v="91"/>
    <x v="439"/>
    <x v="43"/>
    <x v="155"/>
    <x v="0"/>
  </r>
  <r>
    <x v="0"/>
    <x v="41"/>
    <x v="41"/>
    <x v="72"/>
    <x v="72"/>
    <x v="72"/>
    <x v="16"/>
    <x v="143"/>
    <x v="88"/>
    <x v="82"/>
    <x v="175"/>
    <x v="75"/>
    <x v="120"/>
    <x v="0"/>
  </r>
  <r>
    <x v="0"/>
    <x v="41"/>
    <x v="41"/>
    <x v="16"/>
    <x v="16"/>
    <x v="16"/>
    <x v="16"/>
    <x v="143"/>
    <x v="88"/>
    <x v="86"/>
    <x v="282"/>
    <x v="71"/>
    <x v="150"/>
    <x v="0"/>
  </r>
  <r>
    <x v="0"/>
    <x v="41"/>
    <x v="41"/>
    <x v="7"/>
    <x v="7"/>
    <x v="7"/>
    <x v="16"/>
    <x v="143"/>
    <x v="88"/>
    <x v="82"/>
    <x v="175"/>
    <x v="75"/>
    <x v="120"/>
    <x v="0"/>
  </r>
  <r>
    <x v="0"/>
    <x v="41"/>
    <x v="41"/>
    <x v="9"/>
    <x v="9"/>
    <x v="9"/>
    <x v="16"/>
    <x v="143"/>
    <x v="88"/>
    <x v="82"/>
    <x v="175"/>
    <x v="75"/>
    <x v="120"/>
    <x v="0"/>
  </r>
  <r>
    <x v="0"/>
    <x v="42"/>
    <x v="42"/>
    <x v="3"/>
    <x v="3"/>
    <x v="3"/>
    <x v="0"/>
    <x v="92"/>
    <x v="314"/>
    <x v="32"/>
    <x v="440"/>
    <x v="72"/>
    <x v="325"/>
    <x v="0"/>
  </r>
  <r>
    <x v="0"/>
    <x v="42"/>
    <x v="42"/>
    <x v="28"/>
    <x v="28"/>
    <x v="28"/>
    <x v="1"/>
    <x v="112"/>
    <x v="315"/>
    <x v="103"/>
    <x v="104"/>
    <x v="55"/>
    <x v="326"/>
    <x v="0"/>
  </r>
  <r>
    <x v="0"/>
    <x v="42"/>
    <x v="42"/>
    <x v="6"/>
    <x v="6"/>
    <x v="6"/>
    <x v="2"/>
    <x v="115"/>
    <x v="316"/>
    <x v="92"/>
    <x v="85"/>
    <x v="72"/>
    <x v="325"/>
    <x v="0"/>
  </r>
  <r>
    <x v="0"/>
    <x v="42"/>
    <x v="42"/>
    <x v="1"/>
    <x v="1"/>
    <x v="1"/>
    <x v="2"/>
    <x v="115"/>
    <x v="316"/>
    <x v="51"/>
    <x v="441"/>
    <x v="75"/>
    <x v="120"/>
    <x v="0"/>
  </r>
  <r>
    <x v="0"/>
    <x v="42"/>
    <x v="42"/>
    <x v="10"/>
    <x v="10"/>
    <x v="10"/>
    <x v="4"/>
    <x v="142"/>
    <x v="317"/>
    <x v="91"/>
    <x v="442"/>
    <x v="40"/>
    <x v="327"/>
    <x v="0"/>
  </r>
  <r>
    <x v="0"/>
    <x v="42"/>
    <x v="42"/>
    <x v="14"/>
    <x v="14"/>
    <x v="14"/>
    <x v="4"/>
    <x v="142"/>
    <x v="317"/>
    <x v="91"/>
    <x v="442"/>
    <x v="40"/>
    <x v="327"/>
    <x v="0"/>
  </r>
  <r>
    <x v="0"/>
    <x v="42"/>
    <x v="42"/>
    <x v="0"/>
    <x v="0"/>
    <x v="0"/>
    <x v="6"/>
    <x v="144"/>
    <x v="190"/>
    <x v="64"/>
    <x v="396"/>
    <x v="75"/>
    <x v="120"/>
    <x v="0"/>
  </r>
  <r>
    <x v="0"/>
    <x v="42"/>
    <x v="42"/>
    <x v="5"/>
    <x v="5"/>
    <x v="5"/>
    <x v="6"/>
    <x v="144"/>
    <x v="190"/>
    <x v="91"/>
    <x v="442"/>
    <x v="71"/>
    <x v="118"/>
    <x v="0"/>
  </r>
  <r>
    <x v="0"/>
    <x v="42"/>
    <x v="42"/>
    <x v="55"/>
    <x v="55"/>
    <x v="55"/>
    <x v="8"/>
    <x v="145"/>
    <x v="70"/>
    <x v="103"/>
    <x v="104"/>
    <x v="43"/>
    <x v="152"/>
    <x v="0"/>
  </r>
  <r>
    <x v="0"/>
    <x v="42"/>
    <x v="42"/>
    <x v="32"/>
    <x v="32"/>
    <x v="32"/>
    <x v="8"/>
    <x v="145"/>
    <x v="70"/>
    <x v="94"/>
    <x v="210"/>
    <x v="71"/>
    <x v="118"/>
    <x v="0"/>
  </r>
  <r>
    <x v="0"/>
    <x v="42"/>
    <x v="42"/>
    <x v="13"/>
    <x v="13"/>
    <x v="13"/>
    <x v="8"/>
    <x v="145"/>
    <x v="70"/>
    <x v="94"/>
    <x v="210"/>
    <x v="71"/>
    <x v="118"/>
    <x v="0"/>
  </r>
  <r>
    <x v="0"/>
    <x v="42"/>
    <x v="42"/>
    <x v="8"/>
    <x v="8"/>
    <x v="8"/>
    <x v="8"/>
    <x v="145"/>
    <x v="70"/>
    <x v="91"/>
    <x v="442"/>
    <x v="70"/>
    <x v="232"/>
    <x v="0"/>
  </r>
  <r>
    <x v="0"/>
    <x v="42"/>
    <x v="42"/>
    <x v="16"/>
    <x v="16"/>
    <x v="16"/>
    <x v="8"/>
    <x v="145"/>
    <x v="70"/>
    <x v="103"/>
    <x v="104"/>
    <x v="43"/>
    <x v="152"/>
    <x v="0"/>
  </r>
  <r>
    <x v="0"/>
    <x v="42"/>
    <x v="42"/>
    <x v="12"/>
    <x v="12"/>
    <x v="12"/>
    <x v="8"/>
    <x v="145"/>
    <x v="70"/>
    <x v="91"/>
    <x v="442"/>
    <x v="70"/>
    <x v="232"/>
    <x v="0"/>
  </r>
  <r>
    <x v="0"/>
    <x v="42"/>
    <x v="42"/>
    <x v="15"/>
    <x v="15"/>
    <x v="15"/>
    <x v="14"/>
    <x v="146"/>
    <x v="47"/>
    <x v="103"/>
    <x v="104"/>
    <x v="71"/>
    <x v="118"/>
    <x v="0"/>
  </r>
  <r>
    <x v="0"/>
    <x v="42"/>
    <x v="42"/>
    <x v="49"/>
    <x v="49"/>
    <x v="49"/>
    <x v="14"/>
    <x v="146"/>
    <x v="47"/>
    <x v="94"/>
    <x v="210"/>
    <x v="70"/>
    <x v="232"/>
    <x v="0"/>
  </r>
  <r>
    <x v="0"/>
    <x v="42"/>
    <x v="42"/>
    <x v="58"/>
    <x v="58"/>
    <x v="58"/>
    <x v="14"/>
    <x v="146"/>
    <x v="47"/>
    <x v="93"/>
    <x v="132"/>
    <x v="40"/>
    <x v="327"/>
    <x v="0"/>
  </r>
  <r>
    <x v="0"/>
    <x v="42"/>
    <x v="42"/>
    <x v="4"/>
    <x v="4"/>
    <x v="4"/>
    <x v="14"/>
    <x v="146"/>
    <x v="47"/>
    <x v="91"/>
    <x v="442"/>
    <x v="75"/>
    <x v="120"/>
    <x v="0"/>
  </r>
  <r>
    <x v="0"/>
    <x v="42"/>
    <x v="42"/>
    <x v="30"/>
    <x v="30"/>
    <x v="30"/>
    <x v="14"/>
    <x v="146"/>
    <x v="47"/>
    <x v="94"/>
    <x v="210"/>
    <x v="70"/>
    <x v="232"/>
    <x v="0"/>
  </r>
  <r>
    <x v="0"/>
    <x v="42"/>
    <x v="42"/>
    <x v="7"/>
    <x v="7"/>
    <x v="7"/>
    <x v="14"/>
    <x v="146"/>
    <x v="47"/>
    <x v="91"/>
    <x v="442"/>
    <x v="75"/>
    <x v="120"/>
    <x v="0"/>
  </r>
  <r>
    <x v="0"/>
    <x v="42"/>
    <x v="42"/>
    <x v="9"/>
    <x v="9"/>
    <x v="9"/>
    <x v="14"/>
    <x v="146"/>
    <x v="47"/>
    <x v="94"/>
    <x v="210"/>
    <x v="70"/>
    <x v="232"/>
    <x v="0"/>
  </r>
  <r>
    <x v="0"/>
    <x v="43"/>
    <x v="43"/>
    <x v="3"/>
    <x v="3"/>
    <x v="3"/>
    <x v="0"/>
    <x v="66"/>
    <x v="0"/>
    <x v="71"/>
    <x v="263"/>
    <x v="26"/>
    <x v="328"/>
    <x v="0"/>
  </r>
  <r>
    <x v="0"/>
    <x v="43"/>
    <x v="43"/>
    <x v="2"/>
    <x v="2"/>
    <x v="2"/>
    <x v="1"/>
    <x v="103"/>
    <x v="318"/>
    <x v="65"/>
    <x v="443"/>
    <x v="34"/>
    <x v="17"/>
    <x v="0"/>
  </r>
  <r>
    <x v="0"/>
    <x v="43"/>
    <x v="43"/>
    <x v="0"/>
    <x v="0"/>
    <x v="0"/>
    <x v="2"/>
    <x v="85"/>
    <x v="168"/>
    <x v="90"/>
    <x v="444"/>
    <x v="71"/>
    <x v="217"/>
    <x v="0"/>
  </r>
  <r>
    <x v="0"/>
    <x v="43"/>
    <x v="43"/>
    <x v="1"/>
    <x v="1"/>
    <x v="1"/>
    <x v="3"/>
    <x v="86"/>
    <x v="239"/>
    <x v="33"/>
    <x v="445"/>
    <x v="43"/>
    <x v="62"/>
    <x v="0"/>
  </r>
  <r>
    <x v="0"/>
    <x v="43"/>
    <x v="43"/>
    <x v="8"/>
    <x v="8"/>
    <x v="8"/>
    <x v="4"/>
    <x v="88"/>
    <x v="319"/>
    <x v="74"/>
    <x v="268"/>
    <x v="73"/>
    <x v="329"/>
    <x v="0"/>
  </r>
  <r>
    <x v="0"/>
    <x v="43"/>
    <x v="43"/>
    <x v="5"/>
    <x v="5"/>
    <x v="5"/>
    <x v="5"/>
    <x v="94"/>
    <x v="320"/>
    <x v="38"/>
    <x v="398"/>
    <x v="72"/>
    <x v="253"/>
    <x v="0"/>
  </r>
  <r>
    <x v="0"/>
    <x v="43"/>
    <x v="43"/>
    <x v="10"/>
    <x v="10"/>
    <x v="10"/>
    <x v="6"/>
    <x v="90"/>
    <x v="117"/>
    <x v="87"/>
    <x v="128"/>
    <x v="55"/>
    <x v="235"/>
    <x v="0"/>
  </r>
  <r>
    <x v="0"/>
    <x v="43"/>
    <x v="43"/>
    <x v="4"/>
    <x v="4"/>
    <x v="4"/>
    <x v="7"/>
    <x v="100"/>
    <x v="70"/>
    <x v="29"/>
    <x v="258"/>
    <x v="71"/>
    <x v="217"/>
    <x v="0"/>
  </r>
  <r>
    <x v="0"/>
    <x v="43"/>
    <x v="43"/>
    <x v="7"/>
    <x v="7"/>
    <x v="7"/>
    <x v="8"/>
    <x v="97"/>
    <x v="130"/>
    <x v="29"/>
    <x v="258"/>
    <x v="70"/>
    <x v="218"/>
    <x v="0"/>
  </r>
  <r>
    <x v="0"/>
    <x v="43"/>
    <x v="43"/>
    <x v="13"/>
    <x v="13"/>
    <x v="13"/>
    <x v="9"/>
    <x v="110"/>
    <x v="13"/>
    <x v="87"/>
    <x v="128"/>
    <x v="43"/>
    <x v="62"/>
    <x v="0"/>
  </r>
  <r>
    <x v="0"/>
    <x v="43"/>
    <x v="43"/>
    <x v="11"/>
    <x v="11"/>
    <x v="11"/>
    <x v="9"/>
    <x v="110"/>
    <x v="13"/>
    <x v="61"/>
    <x v="267"/>
    <x v="40"/>
    <x v="330"/>
    <x v="0"/>
  </r>
  <r>
    <x v="0"/>
    <x v="43"/>
    <x v="43"/>
    <x v="9"/>
    <x v="9"/>
    <x v="9"/>
    <x v="11"/>
    <x v="111"/>
    <x v="75"/>
    <x v="32"/>
    <x v="270"/>
    <x v="70"/>
    <x v="218"/>
    <x v="0"/>
  </r>
  <r>
    <x v="0"/>
    <x v="43"/>
    <x v="43"/>
    <x v="15"/>
    <x v="15"/>
    <x v="15"/>
    <x v="12"/>
    <x v="112"/>
    <x v="31"/>
    <x v="82"/>
    <x v="10"/>
    <x v="59"/>
    <x v="331"/>
    <x v="0"/>
  </r>
  <r>
    <x v="0"/>
    <x v="43"/>
    <x v="43"/>
    <x v="26"/>
    <x v="26"/>
    <x v="26"/>
    <x v="13"/>
    <x v="113"/>
    <x v="76"/>
    <x v="94"/>
    <x v="271"/>
    <x v="72"/>
    <x v="253"/>
    <x v="0"/>
  </r>
  <r>
    <x v="0"/>
    <x v="43"/>
    <x v="43"/>
    <x v="36"/>
    <x v="36"/>
    <x v="36"/>
    <x v="13"/>
    <x v="113"/>
    <x v="76"/>
    <x v="63"/>
    <x v="183"/>
    <x v="43"/>
    <x v="62"/>
    <x v="0"/>
  </r>
  <r>
    <x v="0"/>
    <x v="43"/>
    <x v="43"/>
    <x v="35"/>
    <x v="35"/>
    <x v="35"/>
    <x v="15"/>
    <x v="114"/>
    <x v="243"/>
    <x v="64"/>
    <x v="36"/>
    <x v="40"/>
    <x v="330"/>
    <x v="0"/>
  </r>
  <r>
    <x v="0"/>
    <x v="43"/>
    <x v="43"/>
    <x v="28"/>
    <x v="28"/>
    <x v="28"/>
    <x v="15"/>
    <x v="114"/>
    <x v="243"/>
    <x v="64"/>
    <x v="36"/>
    <x v="40"/>
    <x v="330"/>
    <x v="0"/>
  </r>
  <r>
    <x v="0"/>
    <x v="43"/>
    <x v="43"/>
    <x v="14"/>
    <x v="14"/>
    <x v="14"/>
    <x v="15"/>
    <x v="114"/>
    <x v="243"/>
    <x v="103"/>
    <x v="264"/>
    <x v="72"/>
    <x v="253"/>
    <x v="0"/>
  </r>
  <r>
    <x v="0"/>
    <x v="43"/>
    <x v="43"/>
    <x v="56"/>
    <x v="56"/>
    <x v="56"/>
    <x v="15"/>
    <x v="114"/>
    <x v="243"/>
    <x v="63"/>
    <x v="183"/>
    <x v="71"/>
    <x v="217"/>
    <x v="0"/>
  </r>
  <r>
    <x v="0"/>
    <x v="43"/>
    <x v="43"/>
    <x v="39"/>
    <x v="39"/>
    <x v="39"/>
    <x v="15"/>
    <x v="114"/>
    <x v="243"/>
    <x v="63"/>
    <x v="183"/>
    <x v="71"/>
    <x v="217"/>
    <x v="0"/>
  </r>
  <r>
    <x v="0"/>
    <x v="43"/>
    <x v="43"/>
    <x v="18"/>
    <x v="18"/>
    <x v="18"/>
    <x v="15"/>
    <x v="114"/>
    <x v="243"/>
    <x v="94"/>
    <x v="271"/>
    <x v="39"/>
    <x v="8"/>
    <x v="0"/>
  </r>
  <r>
    <x v="0"/>
    <x v="43"/>
    <x v="43"/>
    <x v="21"/>
    <x v="21"/>
    <x v="21"/>
    <x v="15"/>
    <x v="114"/>
    <x v="243"/>
    <x v="64"/>
    <x v="36"/>
    <x v="40"/>
    <x v="330"/>
    <x v="0"/>
  </r>
  <r>
    <x v="0"/>
    <x v="44"/>
    <x v="44"/>
    <x v="0"/>
    <x v="0"/>
    <x v="0"/>
    <x v="0"/>
    <x v="100"/>
    <x v="37"/>
    <x v="38"/>
    <x v="446"/>
    <x v="75"/>
    <x v="120"/>
    <x v="0"/>
  </r>
  <r>
    <x v="0"/>
    <x v="44"/>
    <x v="44"/>
    <x v="10"/>
    <x v="10"/>
    <x v="10"/>
    <x v="1"/>
    <x v="115"/>
    <x v="321"/>
    <x v="103"/>
    <x v="367"/>
    <x v="39"/>
    <x v="332"/>
    <x v="0"/>
  </r>
  <r>
    <x v="0"/>
    <x v="44"/>
    <x v="44"/>
    <x v="8"/>
    <x v="8"/>
    <x v="8"/>
    <x v="1"/>
    <x v="115"/>
    <x v="321"/>
    <x v="64"/>
    <x v="232"/>
    <x v="43"/>
    <x v="215"/>
    <x v="0"/>
  </r>
  <r>
    <x v="0"/>
    <x v="44"/>
    <x v="44"/>
    <x v="1"/>
    <x v="1"/>
    <x v="1"/>
    <x v="3"/>
    <x v="142"/>
    <x v="320"/>
    <x v="63"/>
    <x v="447"/>
    <x v="75"/>
    <x v="120"/>
    <x v="0"/>
  </r>
  <r>
    <x v="0"/>
    <x v="44"/>
    <x v="44"/>
    <x v="5"/>
    <x v="5"/>
    <x v="5"/>
    <x v="3"/>
    <x v="142"/>
    <x v="320"/>
    <x v="86"/>
    <x v="358"/>
    <x v="43"/>
    <x v="215"/>
    <x v="0"/>
  </r>
  <r>
    <x v="0"/>
    <x v="44"/>
    <x v="44"/>
    <x v="6"/>
    <x v="6"/>
    <x v="6"/>
    <x v="5"/>
    <x v="143"/>
    <x v="322"/>
    <x v="93"/>
    <x v="132"/>
    <x v="39"/>
    <x v="332"/>
    <x v="0"/>
  </r>
  <r>
    <x v="0"/>
    <x v="44"/>
    <x v="44"/>
    <x v="3"/>
    <x v="3"/>
    <x v="3"/>
    <x v="5"/>
    <x v="143"/>
    <x v="322"/>
    <x v="86"/>
    <x v="358"/>
    <x v="71"/>
    <x v="48"/>
    <x v="0"/>
  </r>
  <r>
    <x v="0"/>
    <x v="44"/>
    <x v="44"/>
    <x v="4"/>
    <x v="4"/>
    <x v="4"/>
    <x v="7"/>
    <x v="144"/>
    <x v="264"/>
    <x v="86"/>
    <x v="358"/>
    <x v="70"/>
    <x v="143"/>
    <x v="0"/>
  </r>
  <r>
    <x v="0"/>
    <x v="44"/>
    <x v="44"/>
    <x v="33"/>
    <x v="33"/>
    <x v="33"/>
    <x v="8"/>
    <x v="145"/>
    <x v="162"/>
    <x v="92"/>
    <x v="448"/>
    <x v="40"/>
    <x v="333"/>
    <x v="0"/>
  </r>
  <r>
    <x v="0"/>
    <x v="44"/>
    <x v="44"/>
    <x v="63"/>
    <x v="63"/>
    <x v="63"/>
    <x v="8"/>
    <x v="145"/>
    <x v="162"/>
    <x v="93"/>
    <x v="132"/>
    <x v="34"/>
    <x v="334"/>
    <x v="0"/>
  </r>
  <r>
    <x v="0"/>
    <x v="44"/>
    <x v="44"/>
    <x v="29"/>
    <x v="29"/>
    <x v="29"/>
    <x v="8"/>
    <x v="145"/>
    <x v="162"/>
    <x v="91"/>
    <x v="449"/>
    <x v="70"/>
    <x v="143"/>
    <x v="0"/>
  </r>
  <r>
    <x v="0"/>
    <x v="44"/>
    <x v="44"/>
    <x v="23"/>
    <x v="23"/>
    <x v="23"/>
    <x v="8"/>
    <x v="145"/>
    <x v="162"/>
    <x v="94"/>
    <x v="346"/>
    <x v="71"/>
    <x v="48"/>
    <x v="0"/>
  </r>
  <r>
    <x v="0"/>
    <x v="44"/>
    <x v="44"/>
    <x v="11"/>
    <x v="11"/>
    <x v="11"/>
    <x v="8"/>
    <x v="145"/>
    <x v="162"/>
    <x v="92"/>
    <x v="448"/>
    <x v="40"/>
    <x v="333"/>
    <x v="0"/>
  </r>
  <r>
    <x v="0"/>
    <x v="44"/>
    <x v="44"/>
    <x v="16"/>
    <x v="16"/>
    <x v="16"/>
    <x v="8"/>
    <x v="145"/>
    <x v="162"/>
    <x v="94"/>
    <x v="346"/>
    <x v="71"/>
    <x v="48"/>
    <x v="0"/>
  </r>
  <r>
    <x v="0"/>
    <x v="44"/>
    <x v="44"/>
    <x v="21"/>
    <x v="21"/>
    <x v="21"/>
    <x v="8"/>
    <x v="145"/>
    <x v="162"/>
    <x v="91"/>
    <x v="449"/>
    <x v="70"/>
    <x v="143"/>
    <x v="0"/>
  </r>
  <r>
    <x v="0"/>
    <x v="44"/>
    <x v="44"/>
    <x v="12"/>
    <x v="12"/>
    <x v="12"/>
    <x v="8"/>
    <x v="145"/>
    <x v="162"/>
    <x v="86"/>
    <x v="358"/>
    <x v="75"/>
    <x v="120"/>
    <x v="0"/>
  </r>
  <r>
    <x v="0"/>
    <x v="44"/>
    <x v="44"/>
    <x v="35"/>
    <x v="35"/>
    <x v="35"/>
    <x v="16"/>
    <x v="146"/>
    <x v="31"/>
    <x v="92"/>
    <x v="448"/>
    <x v="43"/>
    <x v="215"/>
    <x v="0"/>
  </r>
  <r>
    <x v="0"/>
    <x v="44"/>
    <x v="44"/>
    <x v="37"/>
    <x v="37"/>
    <x v="37"/>
    <x v="16"/>
    <x v="146"/>
    <x v="31"/>
    <x v="94"/>
    <x v="346"/>
    <x v="70"/>
    <x v="143"/>
    <x v="0"/>
  </r>
  <r>
    <x v="0"/>
    <x v="44"/>
    <x v="44"/>
    <x v="13"/>
    <x v="13"/>
    <x v="13"/>
    <x v="16"/>
    <x v="146"/>
    <x v="31"/>
    <x v="91"/>
    <x v="449"/>
    <x v="75"/>
    <x v="120"/>
    <x v="0"/>
  </r>
  <r>
    <x v="0"/>
    <x v="44"/>
    <x v="44"/>
    <x v="73"/>
    <x v="73"/>
    <x v="73"/>
    <x v="16"/>
    <x v="146"/>
    <x v="31"/>
    <x v="103"/>
    <x v="367"/>
    <x v="71"/>
    <x v="48"/>
    <x v="0"/>
  </r>
  <r>
    <x v="0"/>
    <x v="44"/>
    <x v="44"/>
    <x v="52"/>
    <x v="52"/>
    <x v="52"/>
    <x v="16"/>
    <x v="146"/>
    <x v="31"/>
    <x v="103"/>
    <x v="367"/>
    <x v="71"/>
    <x v="48"/>
    <x v="0"/>
  </r>
  <r>
    <x v="0"/>
    <x v="44"/>
    <x v="44"/>
    <x v="18"/>
    <x v="18"/>
    <x v="18"/>
    <x v="16"/>
    <x v="146"/>
    <x v="31"/>
    <x v="92"/>
    <x v="448"/>
    <x v="43"/>
    <x v="215"/>
    <x v="0"/>
  </r>
  <r>
    <x v="0"/>
    <x v="44"/>
    <x v="44"/>
    <x v="9"/>
    <x v="9"/>
    <x v="9"/>
    <x v="16"/>
    <x v="146"/>
    <x v="31"/>
    <x v="91"/>
    <x v="449"/>
    <x v="75"/>
    <x v="12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A597B0-CE3C-4AB9-A030-D5CF5BD08807}" name="pvt_L" cacheId="2149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21" firstHeaderRow="0" firstDataRow="1" firstDataCol="1"/>
  <pivotFields count="11"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79">
      <pivotArea field="2" type="button" dataOnly="0" labelOnly="1" outline="0" axis="axisRow" fieldPosition="0"/>
    </format>
    <format dxfId="678">
      <pivotArea outline="0" fieldPosition="0">
        <references count="1">
          <reference field="4294967294" count="1">
            <x v="0"/>
          </reference>
        </references>
      </pivotArea>
    </format>
    <format dxfId="677">
      <pivotArea outline="0" fieldPosition="0">
        <references count="1">
          <reference field="4294967294" count="1">
            <x v="1"/>
          </reference>
        </references>
      </pivotArea>
    </format>
    <format dxfId="676">
      <pivotArea outline="0" fieldPosition="0">
        <references count="1">
          <reference field="4294967294" count="1">
            <x v="2"/>
          </reference>
        </references>
      </pivotArea>
    </format>
    <format dxfId="675">
      <pivotArea outline="0" fieldPosition="0">
        <references count="1">
          <reference field="4294967294" count="1">
            <x v="3"/>
          </reference>
        </references>
      </pivotArea>
    </format>
    <format dxfId="674">
      <pivotArea outline="0" fieldPosition="0">
        <references count="1">
          <reference field="4294967294" count="1">
            <x v="4"/>
          </reference>
        </references>
      </pivotArea>
    </format>
    <format dxfId="673">
      <pivotArea outline="0" fieldPosition="0">
        <references count="1">
          <reference field="4294967294" count="1">
            <x v="5"/>
          </reference>
        </references>
      </pivotArea>
    </format>
    <format dxfId="672">
      <pivotArea outline="0" fieldPosition="0">
        <references count="1">
          <reference field="4294967294" count="1">
            <x v="6"/>
          </reference>
        </references>
      </pivotArea>
    </format>
    <format dxfId="671">
      <pivotArea field="2" type="button" dataOnly="0" labelOnly="1" outline="0" axis="axisRow" fieldPosition="0"/>
    </format>
    <format dxfId="6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9">
      <pivotArea field="2" type="button" dataOnly="0" labelOnly="1" outline="0" axis="axisRow" fieldPosition="0"/>
    </format>
    <format dxfId="6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7">
      <pivotArea field="2" type="button" dataOnly="0" labelOnly="1" outline="0" axis="axisRow" fieldPosition="0"/>
    </format>
    <format dxfId="6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DE6FB8-0233-42CF-A79E-6A3E4DC2089F}" name="pvt_M" cacheId="2150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3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5">
        <item x="26"/>
        <item x="31"/>
        <item x="16"/>
        <item x="17"/>
        <item x="39"/>
        <item x="40"/>
        <item x="38"/>
        <item x="25"/>
        <item x="0"/>
        <item x="43"/>
        <item x="42"/>
        <item x="8"/>
        <item x="13"/>
        <item x="37"/>
        <item x="15"/>
        <item x="41"/>
        <item x="6"/>
        <item x="4"/>
        <item x="29"/>
        <item x="11"/>
        <item x="24"/>
        <item x="27"/>
        <item x="18"/>
        <item x="14"/>
        <item x="20"/>
        <item x="32"/>
        <item x="9"/>
        <item x="10"/>
        <item x="21"/>
        <item x="28"/>
        <item x="1"/>
        <item x="5"/>
        <item x="23"/>
        <item x="19"/>
        <item x="3"/>
        <item x="33"/>
        <item x="35"/>
        <item x="34"/>
        <item x="36"/>
        <item x="22"/>
        <item x="2"/>
        <item x="30"/>
        <item x="12"/>
        <item x="44"/>
        <item x="7"/>
      </items>
    </pivotField>
    <pivotField axis="axisRow" showAll="0" insertBlankRow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48">
        <item x="2"/>
        <item x="4"/>
        <item x="7"/>
        <item x="29"/>
        <item x="42"/>
        <item x="26"/>
        <item x="31"/>
        <item x="41"/>
        <item x="44"/>
        <item x="24"/>
        <item x="45"/>
        <item x="28"/>
        <item x="17"/>
        <item x="46"/>
        <item x="23"/>
        <item x="22"/>
        <item x="36"/>
        <item x="34"/>
        <item x="40"/>
        <item x="39"/>
        <item x="43"/>
        <item x="25"/>
        <item x="15"/>
        <item x="16"/>
        <item x="20"/>
        <item x="14"/>
        <item x="6"/>
        <item x="8"/>
        <item x="3"/>
        <item x="33"/>
        <item x="35"/>
        <item x="19"/>
        <item x="5"/>
        <item x="13"/>
        <item x="12"/>
        <item x="30"/>
        <item x="1"/>
        <item x="37"/>
        <item x="0"/>
        <item x="18"/>
        <item x="32"/>
        <item x="9"/>
        <item x="10"/>
        <item x="27"/>
        <item x="11"/>
        <item x="38"/>
        <item x="21"/>
        <item x="47"/>
      </items>
    </pivotField>
    <pivotField showAll="0" defaultSubtotal="0">
      <items count="48">
        <item x="47"/>
        <item x="20"/>
        <item x="9"/>
        <item x="21"/>
        <item x="3"/>
        <item x="18"/>
        <item x="36"/>
        <item x="45"/>
        <item x="46"/>
        <item x="24"/>
        <item x="10"/>
        <item x="44"/>
        <item x="1"/>
        <item x="25"/>
        <item x="6"/>
        <item x="42"/>
        <item x="43"/>
        <item x="41"/>
        <item x="16"/>
        <item x="8"/>
        <item x="38"/>
        <item x="12"/>
        <item x="17"/>
        <item x="15"/>
        <item x="32"/>
        <item x="37"/>
        <item x="11"/>
        <item x="27"/>
        <item x="30"/>
        <item x="34"/>
        <item x="14"/>
        <item x="4"/>
        <item x="29"/>
        <item x="23"/>
        <item x="7"/>
        <item x="13"/>
        <item x="0"/>
        <item x="26"/>
        <item x="39"/>
        <item x="2"/>
        <item x="22"/>
        <item x="40"/>
        <item x="19"/>
        <item x="5"/>
        <item x="35"/>
        <item x="33"/>
        <item x="31"/>
        <item x="28"/>
      </items>
    </pivotField>
    <pivotField axis="axisRow" showAll="0" defaultSubtotal="0">
      <items count="48">
        <item x="2"/>
        <item x="4"/>
        <item x="7"/>
        <item x="29"/>
        <item x="42"/>
        <item x="26"/>
        <item x="31"/>
        <item x="41"/>
        <item x="44"/>
        <item x="24"/>
        <item x="45"/>
        <item x="28"/>
        <item x="17"/>
        <item x="46"/>
        <item x="23"/>
        <item x="22"/>
        <item x="36"/>
        <item x="34"/>
        <item x="40"/>
        <item x="39"/>
        <item x="43"/>
        <item x="25"/>
        <item x="15"/>
        <item x="16"/>
        <item x="20"/>
        <item x="14"/>
        <item x="6"/>
        <item x="8"/>
        <item x="3"/>
        <item x="33"/>
        <item x="35"/>
        <item x="19"/>
        <item x="5"/>
        <item x="13"/>
        <item x="12"/>
        <item x="30"/>
        <item x="1"/>
        <item x="37"/>
        <item x="0"/>
        <item x="18"/>
        <item x="32"/>
        <item x="9"/>
        <item x="10"/>
        <item x="27"/>
        <item x="11"/>
        <item x="38"/>
        <item x="21"/>
        <item x="4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23">
        <item x="222"/>
        <item x="221"/>
        <item x="219"/>
        <item x="218"/>
        <item x="217"/>
        <item x="154"/>
        <item x="153"/>
        <item x="208"/>
        <item x="188"/>
        <item x="192"/>
        <item x="152"/>
        <item x="157"/>
        <item x="148"/>
        <item x="136"/>
        <item x="147"/>
        <item x="129"/>
        <item x="122"/>
        <item x="135"/>
        <item x="121"/>
        <item x="106"/>
        <item x="105"/>
        <item x="143"/>
        <item x="104"/>
        <item x="103"/>
        <item x="120"/>
        <item x="146"/>
        <item x="119"/>
        <item x="128"/>
        <item x="118"/>
        <item x="117"/>
        <item x="116"/>
        <item x="115"/>
        <item x="114"/>
        <item x="113"/>
        <item x="134"/>
        <item x="91"/>
        <item x="133"/>
        <item x="191"/>
        <item x="102"/>
        <item x="151"/>
        <item x="127"/>
        <item x="142"/>
        <item x="101"/>
        <item x="170"/>
        <item x="59"/>
        <item x="74"/>
        <item x="58"/>
        <item x="57"/>
        <item x="73"/>
        <item x="56"/>
        <item x="169"/>
        <item x="90"/>
        <item x="55"/>
        <item x="100"/>
        <item x="89"/>
        <item x="54"/>
        <item x="156"/>
        <item x="126"/>
        <item x="88"/>
        <item x="53"/>
        <item x="112"/>
        <item x="87"/>
        <item x="141"/>
        <item x="99"/>
        <item x="165"/>
        <item x="125"/>
        <item x="98"/>
        <item x="72"/>
        <item x="124"/>
        <item x="215"/>
        <item x="150"/>
        <item x="155"/>
        <item x="71"/>
        <item x="140"/>
        <item x="86"/>
        <item x="206"/>
        <item x="52"/>
        <item x="70"/>
        <item x="69"/>
        <item x="51"/>
        <item x="132"/>
        <item x="168"/>
        <item x="145"/>
        <item x="111"/>
        <item x="186"/>
        <item x="97"/>
        <item x="195"/>
        <item x="39"/>
        <item x="96"/>
        <item x="185"/>
        <item x="123"/>
        <item x="207"/>
        <item x="194"/>
        <item x="131"/>
        <item x="38"/>
        <item x="37"/>
        <item x="179"/>
        <item x="205"/>
        <item x="187"/>
        <item x="110"/>
        <item x="220"/>
        <item x="149"/>
        <item x="36"/>
        <item x="85"/>
        <item x="84"/>
        <item x="68"/>
        <item x="216"/>
        <item x="109"/>
        <item x="164"/>
        <item x="178"/>
        <item x="202"/>
        <item x="139"/>
        <item x="190"/>
        <item x="50"/>
        <item x="83"/>
        <item x="108"/>
        <item x="130"/>
        <item x="201"/>
        <item x="67"/>
        <item x="167"/>
        <item x="200"/>
        <item x="49"/>
        <item x="193"/>
        <item x="138"/>
        <item x="144"/>
        <item x="95"/>
        <item x="214"/>
        <item x="184"/>
        <item x="35"/>
        <item x="48"/>
        <item x="66"/>
        <item x="34"/>
        <item x="162"/>
        <item x="177"/>
        <item x="107"/>
        <item x="161"/>
        <item x="94"/>
        <item x="93"/>
        <item x="82"/>
        <item x="47"/>
        <item x="33"/>
        <item x="204"/>
        <item x="189"/>
        <item x="183"/>
        <item x="65"/>
        <item x="160"/>
        <item x="81"/>
        <item x="46"/>
        <item x="166"/>
        <item x="137"/>
        <item x="159"/>
        <item x="45"/>
        <item x="213"/>
        <item x="203"/>
        <item x="44"/>
        <item x="212"/>
        <item x="43"/>
        <item x="199"/>
        <item x="64"/>
        <item x="32"/>
        <item x="163"/>
        <item x="63"/>
        <item x="158"/>
        <item x="31"/>
        <item x="211"/>
        <item x="92"/>
        <item x="176"/>
        <item x="182"/>
        <item x="30"/>
        <item x="29"/>
        <item x="198"/>
        <item x="210"/>
        <item x="197"/>
        <item x="28"/>
        <item x="80"/>
        <item x="79"/>
        <item x="27"/>
        <item x="175"/>
        <item x="209"/>
        <item x="42"/>
        <item x="78"/>
        <item x="77"/>
        <item x="26"/>
        <item x="174"/>
        <item x="62"/>
        <item x="25"/>
        <item x="196"/>
        <item x="173"/>
        <item x="61"/>
        <item x="60"/>
        <item x="172"/>
        <item x="181"/>
        <item x="76"/>
        <item x="24"/>
        <item x="180"/>
        <item x="23"/>
        <item x="75"/>
        <item x="41"/>
        <item x="171"/>
        <item x="40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98">
        <item x="448"/>
        <item x="211"/>
        <item x="431"/>
        <item x="447"/>
        <item x="439"/>
        <item x="210"/>
        <item x="92"/>
        <item x="368"/>
        <item x="391"/>
        <item x="352"/>
        <item x="282"/>
        <item x="260"/>
        <item x="424"/>
        <item x="304"/>
        <item x="292"/>
        <item x="234"/>
        <item x="209"/>
        <item x="259"/>
        <item x="107"/>
        <item x="19"/>
        <item x="151"/>
        <item x="138"/>
        <item x="233"/>
        <item x="18"/>
        <item x="106"/>
        <item x="271"/>
        <item x="17"/>
        <item x="197"/>
        <item x="91"/>
        <item x="59"/>
        <item x="453"/>
        <item x="123"/>
        <item x="175"/>
        <item x="16"/>
        <item x="221"/>
        <item x="58"/>
        <item x="232"/>
        <item x="39"/>
        <item x="57"/>
        <item x="162"/>
        <item x="401"/>
        <item x="15"/>
        <item x="324"/>
        <item x="56"/>
        <item x="77"/>
        <item x="122"/>
        <item x="316"/>
        <item x="76"/>
        <item x="38"/>
        <item x="423"/>
        <item x="37"/>
        <item x="55"/>
        <item x="367"/>
        <item x="334"/>
        <item x="258"/>
        <item x="90"/>
        <item x="137"/>
        <item x="75"/>
        <item x="54"/>
        <item x="36"/>
        <item x="281"/>
        <item x="220"/>
        <item x="390"/>
        <item x="270"/>
        <item x="351"/>
        <item x="89"/>
        <item x="248"/>
        <item x="219"/>
        <item x="473"/>
        <item x="74"/>
        <item x="53"/>
        <item x="389"/>
        <item x="88"/>
        <item x="150"/>
        <item x="186"/>
        <item x="136"/>
        <item x="231"/>
        <item x="196"/>
        <item x="161"/>
        <item x="333"/>
        <item x="303"/>
        <item x="135"/>
        <item x="247"/>
        <item x="174"/>
        <item x="280"/>
        <item x="121"/>
        <item x="489"/>
        <item x="87"/>
        <item x="149"/>
        <item x="446"/>
        <item x="269"/>
        <item x="366"/>
        <item x="379"/>
        <item x="388"/>
        <item x="14"/>
        <item x="120"/>
        <item x="302"/>
        <item x="35"/>
        <item x="134"/>
        <item x="257"/>
        <item x="315"/>
        <item x="34"/>
        <item x="387"/>
        <item x="13"/>
        <item x="480"/>
        <item x="12"/>
        <item x="73"/>
        <item x="119"/>
        <item x="52"/>
        <item x="378"/>
        <item x="160"/>
        <item x="185"/>
        <item x="208"/>
        <item x="105"/>
        <item x="118"/>
        <item x="51"/>
        <item x="438"/>
        <item x="33"/>
        <item x="497"/>
        <item x="207"/>
        <item x="72"/>
        <item x="195"/>
        <item x="173"/>
        <item x="246"/>
        <item x="206"/>
        <item x="245"/>
        <item x="117"/>
        <item x="268"/>
        <item x="11"/>
        <item x="365"/>
        <item x="104"/>
        <item x="71"/>
        <item x="133"/>
        <item x="410"/>
        <item x="70"/>
        <item x="172"/>
        <item x="116"/>
        <item x="479"/>
        <item x="452"/>
        <item x="437"/>
        <item x="332"/>
        <item x="267"/>
        <item x="184"/>
        <item x="291"/>
        <item x="244"/>
        <item x="364"/>
        <item x="159"/>
        <item x="148"/>
        <item x="445"/>
        <item x="331"/>
        <item x="323"/>
        <item x="301"/>
        <item x="400"/>
        <item x="171"/>
        <item x="430"/>
        <item x="69"/>
        <item x="103"/>
        <item x="300"/>
        <item x="147"/>
        <item x="322"/>
        <item x="399"/>
        <item x="488"/>
        <item x="32"/>
        <item x="460"/>
        <item x="132"/>
        <item x="86"/>
        <item x="290"/>
        <item x="343"/>
        <item x="146"/>
        <item x="444"/>
        <item x="358"/>
        <item x="487"/>
        <item x="102"/>
        <item x="183"/>
        <item x="10"/>
        <item x="31"/>
        <item x="9"/>
        <item x="330"/>
        <item x="230"/>
        <item x="243"/>
        <item x="182"/>
        <item x="436"/>
        <item x="30"/>
        <item x="205"/>
        <item x="50"/>
        <item x="218"/>
        <item x="342"/>
        <item x="289"/>
        <item x="145"/>
        <item x="242"/>
        <item x="170"/>
        <item x="416"/>
        <item x="256"/>
        <item x="8"/>
        <item x="29"/>
        <item x="496"/>
        <item x="314"/>
        <item x="204"/>
        <item x="409"/>
        <item x="341"/>
        <item x="386"/>
        <item x="49"/>
        <item x="194"/>
        <item x="28"/>
        <item x="340"/>
        <item x="101"/>
        <item x="68"/>
        <item x="229"/>
        <item x="27"/>
        <item x="466"/>
        <item x="299"/>
        <item x="255"/>
        <item x="193"/>
        <item x="100"/>
        <item x="48"/>
        <item x="329"/>
        <item x="478"/>
        <item x="67"/>
        <item x="451"/>
        <item x="408"/>
        <item x="228"/>
        <item x="169"/>
        <item x="26"/>
        <item x="115"/>
        <item x="407"/>
        <item x="313"/>
        <item x="158"/>
        <item x="241"/>
        <item x="131"/>
        <item x="398"/>
        <item x="144"/>
        <item x="385"/>
        <item x="85"/>
        <item x="279"/>
        <item x="363"/>
        <item x="312"/>
        <item x="47"/>
        <item x="459"/>
        <item x="429"/>
        <item x="350"/>
        <item x="377"/>
        <item x="311"/>
        <item x="422"/>
        <item x="7"/>
        <item x="25"/>
        <item x="66"/>
        <item x="321"/>
        <item x="349"/>
        <item x="376"/>
        <item x="227"/>
        <item x="458"/>
        <item x="84"/>
        <item x="114"/>
        <item x="328"/>
        <item x="46"/>
        <item x="457"/>
        <item x="254"/>
        <item x="288"/>
        <item x="6"/>
        <item x="357"/>
        <item x="428"/>
        <item x="278"/>
        <item x="157"/>
        <item x="486"/>
        <item x="130"/>
        <item x="203"/>
        <item x="384"/>
        <item x="375"/>
        <item x="217"/>
        <item x="310"/>
        <item x="450"/>
        <item x="485"/>
        <item x="143"/>
        <item x="472"/>
        <item x="45"/>
        <item x="99"/>
        <item x="397"/>
        <item x="192"/>
        <item x="129"/>
        <item x="362"/>
        <item x="113"/>
        <item x="65"/>
        <item x="156"/>
        <item x="240"/>
        <item x="253"/>
        <item x="266"/>
        <item x="348"/>
        <item x="98"/>
        <item x="287"/>
        <item x="406"/>
        <item x="44"/>
        <item x="216"/>
        <item x="191"/>
        <item x="339"/>
        <item x="252"/>
        <item x="396"/>
        <item x="43"/>
        <item x="471"/>
        <item x="421"/>
        <item x="181"/>
        <item x="338"/>
        <item x="405"/>
        <item x="320"/>
        <item x="415"/>
        <item x="465"/>
        <item x="395"/>
        <item x="277"/>
        <item x="24"/>
        <item x="5"/>
        <item x="239"/>
        <item x="180"/>
        <item x="276"/>
        <item x="265"/>
        <item x="202"/>
        <item x="356"/>
        <item x="226"/>
        <item x="435"/>
        <item x="179"/>
        <item x="374"/>
        <item x="4"/>
        <item x="64"/>
        <item x="190"/>
        <item x="495"/>
        <item x="23"/>
        <item x="298"/>
        <item x="112"/>
        <item x="168"/>
        <item x="63"/>
        <item x="238"/>
        <item x="215"/>
        <item x="286"/>
        <item x="347"/>
        <item x="456"/>
        <item x="167"/>
        <item x="142"/>
        <item x="128"/>
        <item x="214"/>
        <item x="494"/>
        <item x="251"/>
        <item x="464"/>
        <item x="97"/>
        <item x="127"/>
        <item x="213"/>
        <item x="83"/>
        <item x="309"/>
        <item x="82"/>
        <item x="3"/>
        <item x="264"/>
        <item x="383"/>
        <item x="477"/>
        <item x="394"/>
        <item x="414"/>
        <item x="493"/>
        <item x="225"/>
        <item x="201"/>
        <item x="297"/>
        <item x="319"/>
        <item x="42"/>
        <item x="285"/>
        <item x="81"/>
        <item x="404"/>
        <item x="166"/>
        <item x="434"/>
        <item x="263"/>
        <item x="189"/>
        <item x="80"/>
        <item x="237"/>
        <item x="155"/>
        <item x="355"/>
        <item x="476"/>
        <item x="200"/>
        <item x="126"/>
        <item x="296"/>
        <item x="96"/>
        <item x="484"/>
        <item x="295"/>
        <item x="111"/>
        <item x="308"/>
        <item x="373"/>
        <item x="224"/>
        <item x="188"/>
        <item x="141"/>
        <item x="470"/>
        <item x="2"/>
        <item x="483"/>
        <item x="372"/>
        <item x="361"/>
        <item x="165"/>
        <item x="154"/>
        <item x="337"/>
        <item x="463"/>
        <item x="236"/>
        <item x="110"/>
        <item x="492"/>
        <item x="307"/>
        <item x="95"/>
        <item x="371"/>
        <item x="482"/>
        <item x="153"/>
        <item x="275"/>
        <item x="469"/>
        <item x="94"/>
        <item x="318"/>
        <item x="360"/>
        <item x="274"/>
        <item x="443"/>
        <item x="199"/>
        <item x="317"/>
        <item x="427"/>
        <item x="140"/>
        <item x="109"/>
        <item x="306"/>
        <item x="62"/>
        <item x="1"/>
        <item x="491"/>
        <item x="178"/>
        <item x="223"/>
        <item x="442"/>
        <item x="359"/>
        <item x="433"/>
        <item x="413"/>
        <item x="164"/>
        <item x="327"/>
        <item x="354"/>
        <item x="370"/>
        <item x="284"/>
        <item x="481"/>
        <item x="22"/>
        <item x="139"/>
        <item x="455"/>
        <item x="420"/>
        <item x="326"/>
        <item x="79"/>
        <item x="462"/>
        <item x="61"/>
        <item x="198"/>
        <item x="336"/>
        <item x="346"/>
        <item x="419"/>
        <item x="345"/>
        <item x="60"/>
        <item x="382"/>
        <item x="418"/>
        <item x="108"/>
        <item x="235"/>
        <item x="335"/>
        <item x="21"/>
        <item x="262"/>
        <item x="294"/>
        <item x="426"/>
        <item x="125"/>
        <item x="177"/>
        <item x="20"/>
        <item x="441"/>
        <item x="393"/>
        <item x="152"/>
        <item x="261"/>
        <item x="293"/>
        <item x="392"/>
        <item x="403"/>
        <item x="425"/>
        <item x="412"/>
        <item x="0"/>
        <item x="325"/>
        <item x="187"/>
        <item x="344"/>
        <item x="449"/>
        <item x="381"/>
        <item x="212"/>
        <item x="78"/>
        <item x="124"/>
        <item x="468"/>
        <item x="305"/>
        <item x="411"/>
        <item x="93"/>
        <item x="250"/>
        <item x="273"/>
        <item x="41"/>
        <item x="490"/>
        <item x="222"/>
        <item x="402"/>
        <item x="163"/>
        <item x="283"/>
        <item x="440"/>
        <item x="380"/>
        <item x="432"/>
        <item x="454"/>
        <item x="369"/>
        <item x="417"/>
        <item x="461"/>
        <item x="249"/>
        <item x="475"/>
        <item x="272"/>
        <item x="40"/>
        <item x="467"/>
        <item x="176"/>
        <item x="474"/>
        <item x="353"/>
      </items>
    </pivotField>
    <pivotField dataField="1" showAll="0" defaultSubtotal="0">
      <items count="167">
        <item x="91"/>
        <item x="50"/>
        <item x="98"/>
        <item x="68"/>
        <item x="113"/>
        <item x="67"/>
        <item x="34"/>
        <item x="116"/>
        <item x="37"/>
        <item x="92"/>
        <item x="53"/>
        <item x="35"/>
        <item x="81"/>
        <item x="36"/>
        <item x="122"/>
        <item x="106"/>
        <item x="90"/>
        <item x="105"/>
        <item x="52"/>
        <item x="104"/>
        <item x="96"/>
        <item x="69"/>
        <item x="78"/>
        <item x="54"/>
        <item x="97"/>
        <item x="101"/>
        <item x="111"/>
        <item x="148"/>
        <item x="62"/>
        <item x="45"/>
        <item x="84"/>
        <item x="49"/>
        <item x="86"/>
        <item x="112"/>
        <item x="55"/>
        <item x="89"/>
        <item x="128"/>
        <item x="87"/>
        <item x="119"/>
        <item x="131"/>
        <item x="80"/>
        <item x="48"/>
        <item x="152"/>
        <item x="79"/>
        <item x="29"/>
        <item x="32"/>
        <item x="121"/>
        <item x="60"/>
        <item x="51"/>
        <item x="135"/>
        <item x="88"/>
        <item x="64"/>
        <item x="75"/>
        <item x="110"/>
        <item x="65"/>
        <item x="102"/>
        <item x="151"/>
        <item x="120"/>
        <item x="66"/>
        <item x="163"/>
        <item x="94"/>
        <item x="44"/>
        <item x="63"/>
        <item x="30"/>
        <item x="109"/>
        <item x="103"/>
        <item x="144"/>
        <item x="132"/>
        <item x="118"/>
        <item x="85"/>
        <item x="42"/>
        <item x="61"/>
        <item x="77"/>
        <item x="137"/>
        <item x="46"/>
        <item x="24"/>
        <item x="159"/>
        <item x="115"/>
        <item x="161"/>
        <item x="147"/>
        <item x="127"/>
        <item x="160"/>
        <item x="16"/>
        <item x="150"/>
        <item x="59"/>
        <item x="154"/>
        <item x="125"/>
        <item x="145"/>
        <item x="126"/>
        <item x="156"/>
        <item x="95"/>
        <item x="139"/>
        <item x="73"/>
        <item x="134"/>
        <item x="117"/>
        <item x="25"/>
        <item x="33"/>
        <item x="108"/>
        <item x="41"/>
        <item x="19"/>
        <item x="140"/>
        <item x="76"/>
        <item x="141"/>
        <item x="47"/>
        <item x="158"/>
        <item x="166"/>
        <item x="153"/>
        <item x="31"/>
        <item x="114"/>
        <item x="146"/>
        <item x="149"/>
        <item x="74"/>
        <item x="93"/>
        <item x="83"/>
        <item x="100"/>
        <item x="58"/>
        <item x="43"/>
        <item x="40"/>
        <item x="99"/>
        <item x="162"/>
        <item x="124"/>
        <item x="133"/>
        <item x="27"/>
        <item x="130"/>
        <item x="26"/>
        <item x="107"/>
        <item x="72"/>
        <item x="129"/>
        <item x="23"/>
        <item x="15"/>
        <item x="82"/>
        <item x="123"/>
        <item x="157"/>
        <item x="165"/>
        <item x="28"/>
        <item x="164"/>
        <item x="138"/>
        <item x="56"/>
        <item x="57"/>
        <item x="155"/>
        <item x="143"/>
        <item x="71"/>
        <item x="22"/>
        <item x="17"/>
        <item x="142"/>
        <item x="18"/>
        <item x="136"/>
        <item x="70"/>
        <item x="39"/>
        <item x="38"/>
        <item x="12"/>
        <item x="20"/>
        <item x="21"/>
        <item x="14"/>
        <item x="7"/>
        <item x="13"/>
        <item x="11"/>
        <item x="8"/>
        <item x="9"/>
        <item x="10"/>
        <item x="2"/>
        <item x="5"/>
        <item x="4"/>
        <item x="6"/>
        <item x="3"/>
        <item x="1"/>
        <item x="0"/>
      </items>
    </pivotField>
    <pivotField dataField="1" showAll="0" defaultSubtotal="0">
      <items count="550">
        <item x="109"/>
        <item x="50"/>
        <item x="265"/>
        <item x="242"/>
        <item x="413"/>
        <item x="344"/>
        <item x="292"/>
        <item x="391"/>
        <item x="34"/>
        <item x="73"/>
        <item x="378"/>
        <item x="200"/>
        <item x="16"/>
        <item x="37"/>
        <item x="125"/>
        <item x="139"/>
        <item x="19"/>
        <item x="93"/>
        <item x="288"/>
        <item x="72"/>
        <item x="240"/>
        <item x="35"/>
        <item x="463"/>
        <item x="71"/>
        <item x="300"/>
        <item x="95"/>
        <item x="36"/>
        <item x="377"/>
        <item x="198"/>
        <item x="227"/>
        <item x="332"/>
        <item x="171"/>
        <item x="54"/>
        <item x="15"/>
        <item x="360"/>
        <item x="224"/>
        <item x="392"/>
        <item x="449"/>
        <item x="462"/>
        <item x="529"/>
        <item x="543"/>
        <item x="184"/>
        <item x="94"/>
        <item x="280"/>
        <item x="333"/>
        <item x="53"/>
        <item x="74"/>
        <item x="504"/>
        <item x="226"/>
        <item x="279"/>
        <item x="362"/>
        <item x="421"/>
        <item x="169"/>
        <item x="389"/>
        <item x="549"/>
        <item x="156"/>
        <item x="359"/>
        <item x="111"/>
        <item x="266"/>
        <item x="303"/>
        <item x="519"/>
        <item x="453"/>
        <item x="316"/>
        <item x="135"/>
        <item x="110"/>
        <item x="199"/>
        <item x="52"/>
        <item x="17"/>
        <item x="431"/>
        <item x="331"/>
        <item x="422"/>
        <item x="479"/>
        <item x="302"/>
        <item x="18"/>
        <item x="238"/>
        <item x="440"/>
        <item x="411"/>
        <item x="225"/>
        <item x="183"/>
        <item x="277"/>
        <item x="91"/>
        <item x="267"/>
        <item x="330"/>
        <item x="87"/>
        <item x="55"/>
        <item x="409"/>
        <item x="315"/>
        <item x="172"/>
        <item x="154"/>
        <item x="121"/>
        <item x="419"/>
        <item x="493"/>
        <item x="137"/>
        <item x="390"/>
        <item x="471"/>
        <item x="374"/>
        <item x="170"/>
        <item x="464"/>
        <item x="312"/>
        <item x="241"/>
        <item x="157"/>
        <item x="343"/>
        <item x="75"/>
        <item x="138"/>
        <item x="211"/>
        <item x="29"/>
        <item x="291"/>
        <item x="45"/>
        <item x="264"/>
        <item x="32"/>
        <item x="548"/>
        <item x="152"/>
        <item x="379"/>
        <item x="402"/>
        <item x="361"/>
        <item x="49"/>
        <item x="12"/>
        <item x="237"/>
        <item x="329"/>
        <item x="289"/>
        <item x="90"/>
        <item x="518"/>
        <item x="480"/>
        <item x="182"/>
        <item x="341"/>
        <item x="253"/>
        <item x="56"/>
        <item x="528"/>
        <item x="88"/>
        <item x="417"/>
        <item x="472"/>
        <item x="14"/>
        <item x="345"/>
        <item x="373"/>
        <item x="63"/>
        <item x="278"/>
        <item x="328"/>
        <item x="69"/>
        <item x="450"/>
        <item x="375"/>
        <item x="412"/>
        <item x="179"/>
        <item x="342"/>
        <item x="506"/>
        <item x="193"/>
        <item x="314"/>
        <item x="420"/>
        <item x="30"/>
        <item x="439"/>
        <item x="92"/>
        <item x="290"/>
        <item x="461"/>
        <item x="354"/>
        <item x="263"/>
        <item x="346"/>
        <item x="166"/>
        <item x="376"/>
        <item x="301"/>
        <item x="410"/>
        <item x="89"/>
        <item x="196"/>
        <item x="286"/>
        <item x="155"/>
        <item x="380"/>
        <item x="181"/>
        <item x="206"/>
        <item x="470"/>
        <item x="408"/>
        <item x="259"/>
        <item x="230"/>
        <item x="246"/>
        <item x="51"/>
        <item x="356"/>
        <item x="24"/>
        <item x="118"/>
        <item x="7"/>
        <item x="210"/>
        <item x="500"/>
        <item x="151"/>
        <item x="276"/>
        <item x="340"/>
        <item x="239"/>
        <item x="430"/>
        <item x="13"/>
        <item x="209"/>
        <item x="197"/>
        <item x="82"/>
        <item x="123"/>
        <item x="287"/>
        <item x="446"/>
        <item x="257"/>
        <item x="540"/>
        <item x="136"/>
        <item x="108"/>
        <item x="460"/>
        <item x="221"/>
        <item x="147"/>
        <item x="418"/>
        <item x="388"/>
        <item x="101"/>
        <item x="535"/>
        <item x="124"/>
        <item x="149"/>
        <item x="313"/>
        <item x="44"/>
        <item x="274"/>
        <item x="223"/>
        <item x="61"/>
        <item x="469"/>
        <item x="167"/>
        <item x="103"/>
        <item x="491"/>
        <item x="150"/>
        <item x="357"/>
        <item x="307"/>
        <item x="25"/>
        <item x="252"/>
        <item x="222"/>
        <item x="33"/>
        <item x="84"/>
        <item x="481"/>
        <item x="505"/>
        <item x="487"/>
        <item x="194"/>
        <item x="207"/>
        <item x="67"/>
        <item x="236"/>
        <item x="542"/>
        <item x="107"/>
        <item x="527"/>
        <item x="368"/>
        <item x="153"/>
        <item x="42"/>
        <item x="337"/>
        <item x="129"/>
        <item x="310"/>
        <item x="68"/>
        <item x="298"/>
        <item x="104"/>
        <item x="142"/>
        <item x="270"/>
        <item x="499"/>
        <item x="325"/>
        <item x="47"/>
        <item x="11"/>
        <item x="85"/>
        <item x="31"/>
        <item x="122"/>
        <item x="327"/>
        <item x="70"/>
        <item x="163"/>
        <item x="452"/>
        <item x="220"/>
        <item x="477"/>
        <item x="8"/>
        <item x="131"/>
        <item x="168"/>
        <item x="326"/>
        <item x="9"/>
        <item x="195"/>
        <item x="524"/>
        <item x="248"/>
        <item x="65"/>
        <item x="370"/>
        <item x="400"/>
        <item x="272"/>
        <item x="541"/>
        <item x="119"/>
        <item x="251"/>
        <item x="192"/>
        <item x="180"/>
        <item x="105"/>
        <item x="372"/>
        <item x="486"/>
        <item x="261"/>
        <item x="311"/>
        <item x="299"/>
        <item x="231"/>
        <item x="437"/>
        <item x="255"/>
        <item x="323"/>
        <item x="188"/>
        <item x="250"/>
        <item x="358"/>
        <item x="178"/>
        <item x="396"/>
        <item x="208"/>
        <item x="66"/>
        <item x="371"/>
        <item x="62"/>
        <item x="387"/>
        <item x="27"/>
        <item x="351"/>
        <item x="438"/>
        <item x="339"/>
        <item x="106"/>
        <item x="478"/>
        <item x="324"/>
        <item x="165"/>
        <item x="46"/>
        <item x="511"/>
        <item x="79"/>
        <item x="445"/>
        <item x="355"/>
        <item x="369"/>
        <item x="399"/>
        <item x="338"/>
        <item x="492"/>
        <item x="86"/>
        <item x="459"/>
        <item x="41"/>
        <item x="26"/>
        <item x="10"/>
        <item x="232"/>
        <item x="134"/>
        <item x="451"/>
        <item x="148"/>
        <item x="352"/>
        <item x="436"/>
        <item x="205"/>
        <item x="485"/>
        <item x="48"/>
        <item x="297"/>
        <item x="2"/>
        <item x="117"/>
        <item x="509"/>
        <item x="83"/>
        <item x="458"/>
        <item x="120"/>
        <item x="189"/>
        <item x="5"/>
        <item x="23"/>
        <item x="275"/>
        <item x="517"/>
        <item x="386"/>
        <item x="457"/>
        <item x="60"/>
        <item x="258"/>
        <item x="133"/>
        <item x="539"/>
        <item x="353"/>
        <item x="202"/>
        <item x="4"/>
        <item x="284"/>
        <item x="348"/>
        <item x="335"/>
        <item x="115"/>
        <item x="295"/>
        <item x="97"/>
        <item x="401"/>
        <item x="336"/>
        <item x="429"/>
        <item x="219"/>
        <item x="128"/>
        <item x="283"/>
        <item x="160"/>
        <item x="191"/>
        <item x="81"/>
        <item x="249"/>
        <item x="526"/>
        <item x="271"/>
        <item x="484"/>
        <item x="164"/>
        <item x="234"/>
        <item x="245"/>
        <item x="515"/>
        <item x="260"/>
        <item x="398"/>
        <item x="308"/>
        <item x="28"/>
        <item x="6"/>
        <item x="448"/>
        <item x="3"/>
        <item x="319"/>
        <item x="177"/>
        <item x="215"/>
        <item x="366"/>
        <item x="43"/>
        <item x="102"/>
        <item x="116"/>
        <item x="144"/>
        <item x="64"/>
        <item x="40"/>
        <item x="218"/>
        <item x="80"/>
        <item x="190"/>
        <item x="385"/>
        <item x="350"/>
        <item x="322"/>
        <item x="100"/>
        <item x="447"/>
        <item x="159"/>
        <item x="435"/>
        <item x="216"/>
        <item x="146"/>
        <item x="512"/>
        <item x="176"/>
        <item x="407"/>
        <item x="502"/>
        <item x="273"/>
        <item x="247"/>
        <item x="525"/>
        <item x="467"/>
        <item x="213"/>
        <item x="233"/>
        <item x="296"/>
        <item x="382"/>
        <item x="162"/>
        <item x="145"/>
        <item x="130"/>
        <item x="262"/>
        <item x="532"/>
        <item x="455"/>
        <item x="217"/>
        <item x="285"/>
        <item x="483"/>
        <item x="523"/>
        <item x="516"/>
        <item x="545"/>
        <item x="113"/>
        <item x="204"/>
        <item x="537"/>
        <item x="395"/>
        <item x="442"/>
        <item x="428"/>
        <item x="510"/>
        <item x="318"/>
        <item x="78"/>
        <item x="235"/>
        <item x="187"/>
        <item x="99"/>
        <item x="132"/>
        <item x="427"/>
        <item x="59"/>
        <item x="468"/>
        <item x="498"/>
        <item x="397"/>
        <item x="456"/>
        <item x="363"/>
        <item x="466"/>
        <item x="443"/>
        <item x="384"/>
        <item x="490"/>
        <item x="383"/>
        <item x="425"/>
        <item x="404"/>
        <item x="309"/>
        <item x="406"/>
        <item x="547"/>
        <item x="321"/>
        <item x="514"/>
        <item x="495"/>
        <item x="141"/>
        <item x="426"/>
        <item x="22"/>
        <item x="203"/>
        <item x="364"/>
        <item x="143"/>
        <item x="175"/>
        <item x="320"/>
        <item x="367"/>
        <item x="531"/>
        <item x="214"/>
        <item x="433"/>
        <item x="474"/>
        <item x="306"/>
        <item x="538"/>
        <item x="497"/>
        <item x="434"/>
        <item x="423"/>
        <item x="174"/>
        <item x="533"/>
        <item x="546"/>
        <item x="503"/>
        <item x="521"/>
        <item x="161"/>
        <item x="349"/>
        <item x="98"/>
        <item x="444"/>
        <item x="416"/>
        <item x="114"/>
        <item x="424"/>
        <item x="522"/>
        <item x="482"/>
        <item x="536"/>
        <item x="334"/>
        <item x="520"/>
        <item x="405"/>
        <item x="256"/>
        <item x="244"/>
        <item x="496"/>
        <item x="212"/>
        <item x="475"/>
        <item x="1"/>
        <item x="305"/>
        <item x="494"/>
        <item x="365"/>
        <item x="186"/>
        <item x="403"/>
        <item x="77"/>
        <item x="393"/>
        <item x="489"/>
        <item x="534"/>
        <item x="294"/>
        <item x="140"/>
        <item x="476"/>
        <item x="317"/>
        <item x="381"/>
        <item x="530"/>
        <item x="508"/>
        <item x="513"/>
        <item x="473"/>
        <item x="394"/>
        <item x="112"/>
        <item x="201"/>
        <item x="415"/>
        <item x="57"/>
        <item x="347"/>
        <item x="229"/>
        <item x="173"/>
        <item x="432"/>
        <item x="96"/>
        <item x="58"/>
        <item x="269"/>
        <item x="20"/>
        <item x="0"/>
        <item x="127"/>
        <item x="465"/>
        <item x="76"/>
        <item x="282"/>
        <item x="39"/>
        <item x="158"/>
        <item x="21"/>
        <item x="228"/>
        <item x="126"/>
        <item x="281"/>
        <item x="414"/>
        <item x="293"/>
        <item x="304"/>
        <item x="243"/>
        <item x="501"/>
        <item x="268"/>
        <item x="441"/>
        <item x="454"/>
        <item x="254"/>
        <item x="185"/>
        <item x="544"/>
        <item x="38"/>
        <item x="488"/>
        <item x="507"/>
      </items>
    </pivotField>
    <pivotField dataField="1" showAll="0" defaultSubtotal="0">
      <items count="141">
        <item x="106"/>
        <item x="87"/>
        <item x="107"/>
        <item x="108"/>
        <item x="94"/>
        <item x="93"/>
        <item x="97"/>
        <item x="88"/>
        <item x="76"/>
        <item x="54"/>
        <item x="50"/>
        <item x="86"/>
        <item x="57"/>
        <item x="79"/>
        <item x="89"/>
        <item x="98"/>
        <item x="82"/>
        <item x="90"/>
        <item x="95"/>
        <item x="85"/>
        <item x="63"/>
        <item x="67"/>
        <item x="65"/>
        <item x="104"/>
        <item x="56"/>
        <item x="29"/>
        <item x="83"/>
        <item x="111"/>
        <item x="78"/>
        <item x="81"/>
        <item x="80"/>
        <item x="105"/>
        <item x="100"/>
        <item x="116"/>
        <item x="110"/>
        <item x="77"/>
        <item x="48"/>
        <item x="71"/>
        <item x="55"/>
        <item x="34"/>
        <item x="51"/>
        <item x="45"/>
        <item x="96"/>
        <item x="41"/>
        <item x="92"/>
        <item x="84"/>
        <item x="52"/>
        <item x="70"/>
        <item x="66"/>
        <item x="69"/>
        <item x="40"/>
        <item x="103"/>
        <item x="131"/>
        <item x="49"/>
        <item x="72"/>
        <item x="127"/>
        <item x="64"/>
        <item x="27"/>
        <item x="91"/>
        <item x="53"/>
        <item x="58"/>
        <item x="109"/>
        <item x="114"/>
        <item x="139"/>
        <item x="132"/>
        <item x="137"/>
        <item x="115"/>
        <item x="68"/>
        <item x="101"/>
        <item x="124"/>
        <item x="113"/>
        <item x="99"/>
        <item x="102"/>
        <item x="130"/>
        <item x="125"/>
        <item x="119"/>
        <item x="32"/>
        <item x="39"/>
        <item x="134"/>
        <item x="117"/>
        <item x="37"/>
        <item x="135"/>
        <item x="129"/>
        <item x="43"/>
        <item x="38"/>
        <item x="28"/>
        <item x="126"/>
        <item x="112"/>
        <item x="36"/>
        <item x="73"/>
        <item x="21"/>
        <item x="136"/>
        <item x="46"/>
        <item x="26"/>
        <item x="33"/>
        <item x="122"/>
        <item x="62"/>
        <item x="75"/>
        <item x="60"/>
        <item x="42"/>
        <item x="44"/>
        <item x="138"/>
        <item x="47"/>
        <item x="140"/>
        <item x="35"/>
        <item x="123"/>
        <item x="133"/>
        <item x="31"/>
        <item x="20"/>
        <item x="61"/>
        <item x="59"/>
        <item x="121"/>
        <item x="128"/>
        <item x="74"/>
        <item x="30"/>
        <item x="25"/>
        <item x="10"/>
        <item x="120"/>
        <item x="23"/>
        <item x="118"/>
        <item x="11"/>
        <item x="24"/>
        <item x="22"/>
        <item x="18"/>
        <item x="13"/>
        <item x="9"/>
        <item x="17"/>
        <item x="19"/>
        <item x="14"/>
        <item x="6"/>
        <item x="15"/>
        <item x="16"/>
        <item x="1"/>
        <item x="12"/>
        <item x="8"/>
        <item x="0"/>
        <item x="5"/>
        <item x="4"/>
        <item x="7"/>
        <item x="3"/>
        <item x="2"/>
      </items>
    </pivotField>
    <pivotField dataField="1" showAll="0" defaultSubtotal="0">
      <items count="469">
        <item x="155"/>
        <item x="100"/>
        <item x="329"/>
        <item x="146"/>
        <item x="347"/>
        <item x="158"/>
        <item x="188"/>
        <item x="328"/>
        <item x="296"/>
        <item x="399"/>
        <item x="372"/>
        <item x="316"/>
        <item x="255"/>
        <item x="450"/>
        <item x="275"/>
        <item x="393"/>
        <item x="409"/>
        <item x="263"/>
        <item x="306"/>
        <item x="82"/>
        <item x="318"/>
        <item x="343"/>
        <item x="167"/>
        <item x="357"/>
        <item x="53"/>
        <item x="293"/>
        <item x="365"/>
        <item x="215"/>
        <item x="397"/>
        <item x="122"/>
        <item x="49"/>
        <item x="434"/>
        <item x="236"/>
        <item x="419"/>
        <item x="373"/>
        <item x="199"/>
        <item x="10"/>
        <item x="29"/>
        <item x="333"/>
        <item x="249"/>
        <item x="358"/>
        <item x="56"/>
        <item x="315"/>
        <item x="86"/>
        <item x="253"/>
        <item x="187"/>
        <item x="267"/>
        <item x="131"/>
        <item x="406"/>
        <item x="292"/>
        <item x="103"/>
        <item x="281"/>
        <item x="179"/>
        <item x="200"/>
        <item x="91"/>
        <item x="210"/>
        <item x="11"/>
        <item x="418"/>
        <item x="134"/>
        <item x="366"/>
        <item x="238"/>
        <item x="391"/>
        <item x="121"/>
        <item x="34"/>
        <item x="364"/>
        <item x="305"/>
        <item x="101"/>
        <item x="63"/>
        <item x="84"/>
        <item x="143"/>
        <item x="449"/>
        <item x="68"/>
        <item x="256"/>
        <item x="327"/>
        <item x="430"/>
        <item x="66"/>
        <item x="355"/>
        <item x="81"/>
        <item x="420"/>
        <item x="370"/>
        <item x="202"/>
        <item x="304"/>
        <item x="241"/>
        <item x="116"/>
        <item x="178"/>
        <item x="18"/>
        <item x="99"/>
        <item x="159"/>
        <item x="462"/>
        <item x="286"/>
        <item x="252"/>
        <item x="88"/>
        <item x="266"/>
        <item x="13"/>
        <item x="363"/>
        <item x="147"/>
        <item x="119"/>
        <item x="216"/>
        <item x="107"/>
        <item x="169"/>
        <item x="307"/>
        <item x="9"/>
        <item x="27"/>
        <item x="257"/>
        <item x="186"/>
        <item x="17"/>
        <item x="85"/>
        <item x="337"/>
        <item x="323"/>
        <item x="106"/>
        <item x="123"/>
        <item x="90"/>
        <item x="463"/>
        <item x="204"/>
        <item x="295"/>
        <item x="317"/>
        <item x="89"/>
        <item x="425"/>
        <item x="208"/>
        <item x="339"/>
        <item x="105"/>
        <item x="163"/>
        <item x="299"/>
        <item x="223"/>
        <item x="308"/>
        <item x="171"/>
        <item x="240"/>
        <item x="203"/>
        <item x="336"/>
        <item x="431"/>
        <item x="217"/>
        <item x="264"/>
        <item x="157"/>
        <item x="379"/>
        <item x="135"/>
        <item x="247"/>
        <item x="368"/>
        <item x="201"/>
        <item x="213"/>
        <item x="289"/>
        <item x="234"/>
        <item x="83"/>
        <item x="160"/>
        <item x="388"/>
        <item x="320"/>
        <item x="228"/>
        <item x="254"/>
        <item x="197"/>
        <item x="108"/>
        <item x="73"/>
        <item x="19"/>
        <item x="141"/>
        <item x="326"/>
        <item x="262"/>
        <item x="14"/>
        <item x="32"/>
        <item x="47"/>
        <item x="205"/>
        <item x="65"/>
        <item x="192"/>
        <item x="235"/>
        <item x="38"/>
        <item x="349"/>
        <item x="177"/>
        <item x="70"/>
        <item x="150"/>
        <item x="87"/>
        <item x="427"/>
        <item x="54"/>
        <item x="6"/>
        <item x="15"/>
        <item x="227"/>
        <item x="198"/>
        <item x="319"/>
        <item x="398"/>
        <item x="55"/>
        <item x="97"/>
        <item x="118"/>
        <item x="271"/>
        <item x="37"/>
        <item x="50"/>
        <item x="382"/>
        <item x="28"/>
        <item x="16"/>
        <item x="136"/>
        <item x="44"/>
        <item x="356"/>
        <item x="312"/>
        <item x="1"/>
        <item x="110"/>
        <item x="297"/>
        <item x="36"/>
        <item x="12"/>
        <item x="126"/>
        <item x="40"/>
        <item x="145"/>
        <item x="189"/>
        <item x="303"/>
        <item x="72"/>
        <item x="21"/>
        <item x="124"/>
        <item x="176"/>
        <item x="8"/>
        <item x="67"/>
        <item x="190"/>
        <item x="222"/>
        <item x="102"/>
        <item x="71"/>
        <item x="251"/>
        <item x="51"/>
        <item x="26"/>
        <item x="283"/>
        <item x="294"/>
        <item x="33"/>
        <item x="417"/>
        <item x="0"/>
        <item x="237"/>
        <item x="153"/>
        <item x="181"/>
        <item x="314"/>
        <item x="230"/>
        <item x="436"/>
        <item x="452"/>
        <item x="144"/>
        <item x="334"/>
        <item x="348"/>
        <item x="209"/>
        <item x="133"/>
        <item x="166"/>
        <item x="39"/>
        <item x="435"/>
        <item x="74"/>
        <item x="298"/>
        <item x="285"/>
        <item x="139"/>
        <item x="104"/>
        <item x="170"/>
        <item x="468"/>
        <item x="64"/>
        <item x="413"/>
        <item x="273"/>
        <item x="75"/>
        <item x="48"/>
        <item x="344"/>
        <item x="92"/>
        <item x="120"/>
        <item x="218"/>
        <item x="405"/>
        <item x="265"/>
        <item x="248"/>
        <item x="457"/>
        <item x="445"/>
        <item x="239"/>
        <item x="125"/>
        <item x="57"/>
        <item x="311"/>
        <item x="35"/>
        <item x="161"/>
        <item x="375"/>
        <item x="387"/>
        <item x="242"/>
        <item x="115"/>
        <item x="268"/>
        <item x="52"/>
        <item x="156"/>
        <item x="455"/>
        <item x="408"/>
        <item x="31"/>
        <item x="219"/>
        <item x="69"/>
        <item x="374"/>
        <item x="117"/>
        <item x="335"/>
        <item x="154"/>
        <item x="243"/>
        <item x="20"/>
        <item x="183"/>
        <item x="232"/>
        <item x="301"/>
        <item x="426"/>
        <item x="195"/>
        <item x="214"/>
        <item x="174"/>
        <item x="380"/>
        <item x="354"/>
        <item x="407"/>
        <item x="211"/>
        <item x="345"/>
        <item x="226"/>
        <item x="168"/>
        <item x="284"/>
        <item x="113"/>
        <item x="381"/>
        <item x="194"/>
        <item x="454"/>
        <item x="278"/>
        <item x="346"/>
        <item x="184"/>
        <item x="362"/>
        <item x="98"/>
        <item x="224"/>
        <item x="402"/>
        <item x="282"/>
        <item x="30"/>
        <item x="196"/>
        <item x="277"/>
        <item x="442"/>
        <item x="411"/>
        <item x="276"/>
        <item x="290"/>
        <item x="233"/>
        <item x="433"/>
        <item x="129"/>
        <item x="212"/>
        <item x="25"/>
        <item x="61"/>
        <item x="460"/>
        <item x="386"/>
        <item x="369"/>
        <item x="453"/>
        <item x="225"/>
        <item x="359"/>
        <item x="142"/>
        <item x="164"/>
        <item x="461"/>
        <item x="112"/>
        <item x="42"/>
        <item x="440"/>
        <item x="341"/>
        <item x="250"/>
        <item x="429"/>
        <item x="466"/>
        <item x="76"/>
        <item x="261"/>
        <item x="94"/>
        <item x="325"/>
        <item x="444"/>
        <item x="130"/>
        <item x="95"/>
        <item x="165"/>
        <item x="5"/>
        <item x="175"/>
        <item x="291"/>
        <item x="332"/>
        <item x="338"/>
        <item x="378"/>
        <item x="384"/>
        <item x="4"/>
        <item x="132"/>
        <item x="152"/>
        <item x="392"/>
        <item x="7"/>
        <item x="45"/>
        <item x="62"/>
        <item x="140"/>
        <item x="246"/>
        <item x="80"/>
        <item x="78"/>
        <item x="23"/>
        <item x="415"/>
        <item x="59"/>
        <item x="272"/>
        <item x="151"/>
        <item x="353"/>
        <item x="459"/>
        <item x="324"/>
        <item x="390"/>
        <item x="245"/>
        <item x="114"/>
        <item x="441"/>
        <item x="3"/>
        <item x="302"/>
        <item x="331"/>
        <item x="137"/>
        <item x="270"/>
        <item x="446"/>
        <item x="310"/>
        <item x="182"/>
        <item x="421"/>
        <item x="79"/>
        <item x="41"/>
        <item x="221"/>
        <item x="416"/>
        <item x="438"/>
        <item x="404"/>
        <item x="313"/>
        <item x="371"/>
        <item x="385"/>
        <item x="43"/>
        <item x="173"/>
        <item x="439"/>
        <item x="207"/>
        <item x="46"/>
        <item x="432"/>
        <item x="185"/>
        <item x="400"/>
        <item x="424"/>
        <item x="259"/>
        <item x="96"/>
        <item x="274"/>
        <item x="458"/>
        <item x="377"/>
        <item x="465"/>
        <item x="437"/>
        <item x="396"/>
        <item x="193"/>
        <item x="127"/>
        <item x="231"/>
        <item x="342"/>
        <item x="24"/>
        <item x="60"/>
        <item x="58"/>
        <item x="456"/>
        <item x="22"/>
        <item x="401"/>
        <item x="279"/>
        <item x="288"/>
        <item x="111"/>
        <item x="148"/>
        <item x="395"/>
        <item x="322"/>
        <item x="351"/>
        <item x="109"/>
        <item x="260"/>
        <item x="352"/>
        <item x="77"/>
        <item x="220"/>
        <item x="128"/>
        <item x="149"/>
        <item x="191"/>
        <item x="403"/>
        <item x="412"/>
        <item x="280"/>
        <item x="229"/>
        <item x="172"/>
        <item x="2"/>
        <item x="414"/>
        <item x="258"/>
        <item x="467"/>
        <item x="361"/>
        <item x="180"/>
        <item x="448"/>
        <item x="93"/>
        <item x="300"/>
        <item x="206"/>
        <item x="244"/>
        <item x="410"/>
        <item x="309"/>
        <item x="428"/>
        <item x="138"/>
        <item x="423"/>
        <item x="162"/>
        <item x="383"/>
        <item x="376"/>
        <item x="330"/>
        <item x="269"/>
        <item x="394"/>
        <item x="464"/>
        <item x="321"/>
        <item x="389"/>
        <item x="422"/>
        <item x="360"/>
        <item x="287"/>
        <item x="340"/>
        <item x="451"/>
        <item x="447"/>
        <item x="367"/>
        <item x="350"/>
        <item x="443"/>
      </items>
    </pivotField>
    <pivotField dataField="1" showAll="0" defaultSubtotal="0">
      <items count="6">
        <item x="0"/>
        <item x="2"/>
        <item x="5"/>
        <item x="1"/>
        <item x="4"/>
        <item x="3"/>
      </items>
    </pivotField>
  </pivotFields>
  <rowFields count="3">
    <field x="2"/>
    <field x="6"/>
    <field x="5"/>
  </rowFields>
  <rowItems count="1033">
    <i>
      <x/>
    </i>
    <i r="1">
      <x/>
      <x v="38"/>
    </i>
    <i r="1">
      <x v="1"/>
      <x v="36"/>
    </i>
    <i r="1">
      <x v="2"/>
      <x/>
    </i>
    <i r="1">
      <x v="3"/>
      <x v="28"/>
    </i>
    <i r="1">
      <x v="4"/>
      <x v="1"/>
    </i>
    <i r="1">
      <x v="5"/>
      <x v="32"/>
    </i>
    <i r="1">
      <x v="6"/>
      <x v="26"/>
    </i>
    <i r="1">
      <x v="7"/>
      <x v="2"/>
    </i>
    <i r="1">
      <x v="8"/>
      <x v="27"/>
    </i>
    <i r="1">
      <x v="9"/>
      <x v="41"/>
    </i>
    <i r="1">
      <x v="10"/>
      <x v="42"/>
    </i>
    <i r="1">
      <x v="11"/>
      <x v="44"/>
    </i>
    <i r="1">
      <x v="12"/>
      <x v="34"/>
    </i>
    <i r="1">
      <x v="13"/>
      <x v="33"/>
    </i>
    <i r="1">
      <x v="14"/>
      <x v="25"/>
    </i>
    <i r="1">
      <x v="15"/>
      <x v="22"/>
    </i>
    <i r="1">
      <x v="16"/>
      <x v="23"/>
    </i>
    <i r="1">
      <x v="17"/>
      <x v="12"/>
    </i>
    <i r="1">
      <x v="18"/>
      <x v="39"/>
    </i>
    <i r="1">
      <x v="19"/>
      <x v="31"/>
    </i>
    <i t="blank">
      <x/>
    </i>
    <i>
      <x v="1"/>
    </i>
    <i r="1">
      <x/>
      <x v="38"/>
    </i>
    <i r="1">
      <x v="1"/>
      <x v="36"/>
    </i>
    <i r="1">
      <x v="2"/>
      <x v="32"/>
    </i>
    <i r="1">
      <x v="3"/>
      <x v="28"/>
    </i>
    <i r="1">
      <x v="4"/>
      <x/>
    </i>
    <i r="1">
      <x v="5"/>
      <x v="1"/>
    </i>
    <i r="1">
      <x v="6"/>
      <x v="26"/>
    </i>
    <i r="1">
      <x v="7"/>
      <x v="41"/>
    </i>
    <i r="1">
      <x v="8"/>
      <x v="33"/>
    </i>
    <i r="1">
      <x v="9"/>
      <x v="42"/>
    </i>
    <i r="1">
      <x v="10"/>
      <x v="2"/>
    </i>
    <i r="1">
      <x v="11"/>
      <x v="34"/>
    </i>
    <i r="1">
      <x v="12"/>
      <x v="27"/>
    </i>
    <i r="1">
      <x v="13"/>
      <x v="25"/>
    </i>
    <i r="1">
      <x v="14"/>
      <x v="44"/>
    </i>
    <i r="1">
      <x v="15"/>
      <x v="23"/>
    </i>
    <i r="1">
      <x v="16"/>
      <x v="31"/>
    </i>
    <i r="1">
      <x v="17"/>
      <x v="24"/>
    </i>
    <i r="1">
      <x v="18"/>
      <x v="22"/>
    </i>
    <i r="1">
      <x v="19"/>
      <x v="46"/>
    </i>
    <i t="blank">
      <x v="1"/>
    </i>
    <i>
      <x v="2"/>
    </i>
    <i r="1">
      <x/>
      <x v="38"/>
    </i>
    <i r="1">
      <x v="1"/>
      <x v="36"/>
    </i>
    <i r="1">
      <x v="2"/>
      <x v="28"/>
    </i>
    <i r="1">
      <x v="3"/>
      <x v="32"/>
    </i>
    <i r="1">
      <x v="4"/>
      <x/>
    </i>
    <i r="1">
      <x v="5"/>
      <x v="26"/>
    </i>
    <i r="1">
      <x v="6"/>
      <x v="1"/>
    </i>
    <i r="1">
      <x v="7"/>
      <x v="2"/>
    </i>
    <i r="1">
      <x v="8"/>
      <x v="41"/>
    </i>
    <i r="1">
      <x v="9"/>
      <x v="27"/>
    </i>
    <i r="1">
      <x v="10"/>
      <x v="42"/>
    </i>
    <i r="1">
      <x v="11"/>
      <x v="25"/>
    </i>
    <i r="1">
      <x v="12"/>
      <x v="34"/>
    </i>
    <i r="1">
      <x v="13"/>
      <x v="23"/>
    </i>
    <i r="1">
      <x v="14"/>
      <x v="33"/>
    </i>
    <i r="1">
      <x v="15"/>
      <x v="12"/>
    </i>
    <i r="1">
      <x v="16"/>
      <x v="22"/>
    </i>
    <i r="1">
      <x v="17"/>
      <x v="15"/>
    </i>
    <i r="1">
      <x v="18"/>
      <x v="39"/>
    </i>
    <i r="1">
      <x v="19"/>
      <x v="44"/>
    </i>
    <i t="blank">
      <x v="2"/>
    </i>
    <i>
      <x v="3"/>
    </i>
    <i r="1">
      <x/>
      <x v="38"/>
    </i>
    <i r="1">
      <x v="1"/>
      <x v="36"/>
    </i>
    <i r="1">
      <x v="2"/>
      <x v="32"/>
    </i>
    <i r="1">
      <x v="3"/>
      <x v="28"/>
    </i>
    <i r="1">
      <x v="4"/>
      <x/>
    </i>
    <i r="1">
      <x v="5"/>
      <x v="1"/>
    </i>
    <i r="1">
      <x v="6"/>
      <x v="2"/>
    </i>
    <i r="1">
      <x v="7"/>
      <x v="42"/>
    </i>
    <i r="1">
      <x v="8"/>
      <x v="27"/>
    </i>
    <i r="1">
      <x v="9"/>
      <x v="26"/>
    </i>
    <i r="1">
      <x v="10"/>
      <x v="33"/>
    </i>
    <i r="1">
      <x v="11"/>
      <x v="41"/>
    </i>
    <i r="1">
      <x v="12"/>
      <x v="34"/>
    </i>
    <i r="2">
      <x v="44"/>
    </i>
    <i r="1">
      <x v="14"/>
      <x v="23"/>
    </i>
    <i r="1">
      <x v="15"/>
      <x v="25"/>
    </i>
    <i r="1">
      <x v="16"/>
      <x v="31"/>
    </i>
    <i r="1">
      <x v="17"/>
      <x v="22"/>
    </i>
    <i r="1">
      <x v="18"/>
      <x v="24"/>
    </i>
    <i r="1">
      <x v="19"/>
      <x v="39"/>
    </i>
    <i t="blank">
      <x v="3"/>
    </i>
    <i>
      <x v="4"/>
    </i>
    <i r="1">
      <x/>
      <x v="38"/>
    </i>
    <i r="1">
      <x v="1"/>
      <x v="36"/>
    </i>
    <i r="1">
      <x v="2"/>
      <x v="32"/>
    </i>
    <i r="1">
      <x v="3"/>
      <x/>
    </i>
    <i r="1">
      <x v="4"/>
      <x v="28"/>
    </i>
    <i r="1">
      <x v="5"/>
      <x v="1"/>
    </i>
    <i r="1">
      <x v="6"/>
      <x v="2"/>
    </i>
    <i r="1">
      <x v="7"/>
      <x v="26"/>
    </i>
    <i r="1">
      <x v="8"/>
      <x v="27"/>
    </i>
    <i r="1">
      <x v="9"/>
      <x v="41"/>
    </i>
    <i r="1">
      <x v="10"/>
      <x v="42"/>
    </i>
    <i r="1">
      <x v="11"/>
      <x v="12"/>
    </i>
    <i r="1">
      <x v="12"/>
      <x v="25"/>
    </i>
    <i r="1">
      <x v="13"/>
      <x v="33"/>
    </i>
    <i r="1">
      <x v="14"/>
      <x v="34"/>
    </i>
    <i r="1">
      <x v="15"/>
      <x v="14"/>
    </i>
    <i r="1">
      <x v="16"/>
      <x v="44"/>
    </i>
    <i r="1">
      <x v="17"/>
      <x v="22"/>
    </i>
    <i r="1">
      <x v="18"/>
      <x v="9"/>
    </i>
    <i r="2">
      <x v="21"/>
    </i>
    <i r="2">
      <x v="23"/>
    </i>
    <i r="2">
      <x v="39"/>
    </i>
    <i t="blank">
      <x v="4"/>
    </i>
    <i>
      <x v="5"/>
    </i>
    <i r="1">
      <x/>
      <x v="38"/>
    </i>
    <i r="1">
      <x v="1"/>
      <x/>
    </i>
    <i r="1">
      <x v="2"/>
      <x v="36"/>
    </i>
    <i r="1">
      <x v="3"/>
      <x v="1"/>
    </i>
    <i r="1">
      <x v="4"/>
      <x v="28"/>
    </i>
    <i r="1">
      <x v="5"/>
      <x v="32"/>
    </i>
    <i r="1">
      <x v="6"/>
      <x v="26"/>
    </i>
    <i r="1">
      <x v="7"/>
      <x v="2"/>
    </i>
    <i r="1">
      <x v="8"/>
      <x v="27"/>
    </i>
    <i r="1">
      <x v="9"/>
      <x v="44"/>
    </i>
    <i r="1">
      <x v="10"/>
      <x v="42"/>
    </i>
    <i r="1">
      <x v="11"/>
      <x v="41"/>
    </i>
    <i r="1">
      <x v="12"/>
      <x v="33"/>
    </i>
    <i r="2">
      <x v="34"/>
    </i>
    <i r="1">
      <x v="14"/>
      <x v="5"/>
    </i>
    <i r="2">
      <x v="25"/>
    </i>
    <i r="2">
      <x v="31"/>
    </i>
    <i r="1">
      <x v="17"/>
      <x v="39"/>
    </i>
    <i r="1">
      <x v="18"/>
      <x v="43"/>
    </i>
    <i r="1">
      <x v="19"/>
      <x v="11"/>
    </i>
    <i r="2">
      <x v="12"/>
    </i>
    <i t="blank">
      <x v="5"/>
    </i>
    <i>
      <x v="6"/>
    </i>
    <i r="1">
      <x/>
      <x v="38"/>
    </i>
    <i r="1">
      <x v="1"/>
      <x/>
    </i>
    <i r="1">
      <x v="2"/>
      <x v="36"/>
    </i>
    <i r="1">
      <x v="3"/>
      <x v="28"/>
    </i>
    <i r="1">
      <x v="4"/>
      <x v="1"/>
    </i>
    <i r="1">
      <x v="5"/>
      <x v="32"/>
    </i>
    <i r="1">
      <x v="6"/>
      <x v="2"/>
    </i>
    <i r="1">
      <x v="7"/>
      <x v="27"/>
    </i>
    <i r="1">
      <x v="8"/>
      <x v="26"/>
    </i>
    <i r="1">
      <x v="9"/>
      <x v="12"/>
    </i>
    <i r="1">
      <x v="10"/>
      <x v="25"/>
    </i>
    <i r="1">
      <x v="11"/>
      <x v="42"/>
    </i>
    <i r="1">
      <x v="12"/>
      <x v="41"/>
    </i>
    <i r="1">
      <x v="13"/>
      <x v="34"/>
    </i>
    <i r="1">
      <x v="14"/>
      <x v="33"/>
    </i>
    <i r="1">
      <x v="15"/>
      <x v="5"/>
    </i>
    <i r="1">
      <x v="16"/>
      <x v="44"/>
    </i>
    <i r="1">
      <x v="17"/>
      <x v="21"/>
    </i>
    <i r="2">
      <x v="22"/>
    </i>
    <i r="1">
      <x v="19"/>
      <x v="14"/>
    </i>
    <i t="blank">
      <x v="6"/>
    </i>
    <i>
      <x v="7"/>
    </i>
    <i r="1">
      <x/>
      <x v="38"/>
    </i>
    <i r="1">
      <x v="1"/>
      <x v="36"/>
    </i>
    <i r="1">
      <x v="2"/>
      <x v="28"/>
    </i>
    <i r="1">
      <x v="3"/>
      <x/>
    </i>
    <i r="1">
      <x v="4"/>
      <x v="32"/>
    </i>
    <i r="1">
      <x v="5"/>
      <x v="1"/>
    </i>
    <i r="1">
      <x v="6"/>
      <x v="42"/>
    </i>
    <i r="1">
      <x v="7"/>
      <x v="41"/>
    </i>
    <i r="1">
      <x v="8"/>
      <x v="26"/>
    </i>
    <i r="1">
      <x v="9"/>
      <x v="2"/>
    </i>
    <i r="1">
      <x v="10"/>
      <x v="33"/>
    </i>
    <i r="1">
      <x v="11"/>
      <x v="27"/>
    </i>
    <i r="1">
      <x v="12"/>
      <x v="44"/>
    </i>
    <i r="1">
      <x v="13"/>
      <x v="34"/>
    </i>
    <i r="1">
      <x v="14"/>
      <x v="25"/>
    </i>
    <i r="1">
      <x v="15"/>
      <x v="39"/>
    </i>
    <i r="1">
      <x v="16"/>
      <x v="22"/>
    </i>
    <i r="1">
      <x v="17"/>
      <x v="31"/>
    </i>
    <i r="2">
      <x v="46"/>
    </i>
    <i r="1">
      <x v="19"/>
      <x v="24"/>
    </i>
    <i t="blank">
      <x v="7"/>
    </i>
    <i>
      <x v="8"/>
    </i>
    <i r="1">
      <x/>
      <x v="38"/>
    </i>
    <i r="1">
      <x v="1"/>
      <x v="1"/>
    </i>
    <i r="1">
      <x v="2"/>
      <x/>
    </i>
    <i r="1">
      <x v="3"/>
      <x v="36"/>
    </i>
    <i r="1">
      <x v="4"/>
      <x v="28"/>
    </i>
    <i r="1">
      <x v="5"/>
      <x v="32"/>
    </i>
    <i r="1">
      <x v="6"/>
      <x v="26"/>
    </i>
    <i r="1">
      <x v="7"/>
      <x v="2"/>
    </i>
    <i r="1">
      <x v="8"/>
      <x v="44"/>
    </i>
    <i r="1">
      <x v="9"/>
      <x v="25"/>
    </i>
    <i r="1">
      <x v="10"/>
      <x v="41"/>
    </i>
    <i r="1">
      <x v="11"/>
      <x v="27"/>
    </i>
    <i r="1">
      <x v="12"/>
      <x v="12"/>
    </i>
    <i r="1">
      <x v="13"/>
      <x v="42"/>
    </i>
    <i r="1">
      <x v="14"/>
      <x v="22"/>
    </i>
    <i r="2">
      <x v="33"/>
    </i>
    <i r="1">
      <x v="16"/>
      <x v="21"/>
    </i>
    <i r="1">
      <x v="17"/>
      <x v="34"/>
    </i>
    <i r="1">
      <x v="18"/>
      <x v="23"/>
    </i>
    <i r="2">
      <x v="39"/>
    </i>
    <i t="blank">
      <x v="8"/>
    </i>
    <i>
      <x v="9"/>
    </i>
    <i r="1">
      <x/>
      <x v="38"/>
    </i>
    <i r="1">
      <x v="1"/>
      <x v="1"/>
    </i>
    <i r="1">
      <x v="2"/>
      <x/>
    </i>
    <i r="1">
      <x v="3"/>
      <x v="36"/>
    </i>
    <i r="1">
      <x v="4"/>
      <x v="28"/>
    </i>
    <i r="1">
      <x v="5"/>
      <x v="2"/>
    </i>
    <i r="1">
      <x v="6"/>
      <x v="26"/>
    </i>
    <i r="1">
      <x v="7"/>
      <x v="27"/>
    </i>
    <i r="1">
      <x v="8"/>
      <x v="32"/>
    </i>
    <i r="1">
      <x v="9"/>
      <x v="42"/>
    </i>
    <i r="1">
      <x v="10"/>
      <x v="12"/>
    </i>
    <i r="1">
      <x v="11"/>
      <x v="44"/>
    </i>
    <i r="1">
      <x v="12"/>
      <x v="34"/>
    </i>
    <i r="2">
      <x v="41"/>
    </i>
    <i r="1">
      <x v="14"/>
      <x v="22"/>
    </i>
    <i r="1">
      <x v="15"/>
      <x v="23"/>
    </i>
    <i r="1">
      <x v="16"/>
      <x v="14"/>
    </i>
    <i r="1">
      <x v="17"/>
      <x v="25"/>
    </i>
    <i r="1">
      <x v="18"/>
      <x v="9"/>
    </i>
    <i r="1">
      <x v="19"/>
      <x v="3"/>
    </i>
    <i r="2">
      <x v="21"/>
    </i>
    <i r="2">
      <x v="33"/>
    </i>
    <i t="blank">
      <x v="9"/>
    </i>
    <i>
      <x v="10"/>
    </i>
    <i r="1">
      <x/>
      <x v="38"/>
    </i>
    <i r="1">
      <x v="1"/>
      <x/>
    </i>
    <i r="1">
      <x v="2"/>
      <x v="36"/>
    </i>
    <i r="1">
      <x v="3"/>
      <x v="26"/>
    </i>
    <i r="1">
      <x v="4"/>
      <x v="1"/>
    </i>
    <i r="1">
      <x v="5"/>
      <x v="28"/>
    </i>
    <i r="1">
      <x v="6"/>
      <x v="2"/>
    </i>
    <i r="2">
      <x v="27"/>
    </i>
    <i r="1">
      <x v="8"/>
      <x v="41"/>
    </i>
    <i r="1">
      <x v="9"/>
      <x v="44"/>
    </i>
    <i r="1">
      <x v="10"/>
      <x v="32"/>
    </i>
    <i r="1">
      <x v="11"/>
      <x v="34"/>
    </i>
    <i r="1">
      <x v="12"/>
      <x v="42"/>
    </i>
    <i r="1">
      <x v="13"/>
      <x v="12"/>
    </i>
    <i r="1">
      <x v="14"/>
      <x v="43"/>
    </i>
    <i r="1">
      <x v="15"/>
      <x v="3"/>
    </i>
    <i r="2">
      <x v="25"/>
    </i>
    <i r="1">
      <x v="17"/>
      <x v="35"/>
    </i>
    <i r="2">
      <x v="39"/>
    </i>
    <i r="1">
      <x v="19"/>
      <x v="6"/>
    </i>
    <i t="blank">
      <x v="10"/>
    </i>
    <i>
      <x v="11"/>
    </i>
    <i r="1">
      <x/>
      <x v="38"/>
    </i>
    <i r="1">
      <x v="1"/>
      <x v="36"/>
    </i>
    <i r="1">
      <x v="2"/>
      <x v="28"/>
    </i>
    <i r="1">
      <x v="3"/>
      <x/>
    </i>
    <i r="2">
      <x v="32"/>
    </i>
    <i r="1">
      <x v="5"/>
      <x v="26"/>
    </i>
    <i r="1">
      <x v="6"/>
      <x v="41"/>
    </i>
    <i r="1">
      <x v="7"/>
      <x v="1"/>
    </i>
    <i r="1">
      <x v="8"/>
      <x v="2"/>
    </i>
    <i r="1">
      <x v="9"/>
      <x v="27"/>
    </i>
    <i r="1">
      <x v="10"/>
      <x v="42"/>
    </i>
    <i r="1">
      <x v="11"/>
      <x v="25"/>
    </i>
    <i r="1">
      <x v="12"/>
      <x v="34"/>
    </i>
    <i r="1">
      <x v="13"/>
      <x v="39"/>
    </i>
    <i r="1">
      <x v="14"/>
      <x v="33"/>
    </i>
    <i r="2">
      <x v="43"/>
    </i>
    <i r="1">
      <x v="16"/>
      <x v="22"/>
    </i>
    <i r="2">
      <x v="44"/>
    </i>
    <i r="1">
      <x v="18"/>
      <x v="35"/>
    </i>
    <i r="2">
      <x v="40"/>
    </i>
    <i t="blank">
      <x v="11"/>
    </i>
    <i>
      <x v="12"/>
    </i>
    <i r="1">
      <x/>
      <x v="38"/>
    </i>
    <i r="1">
      <x v="1"/>
      <x/>
    </i>
    <i r="1">
      <x v="2"/>
      <x v="36"/>
    </i>
    <i r="1">
      <x v="3"/>
      <x v="28"/>
    </i>
    <i r="1">
      <x v="4"/>
      <x v="26"/>
    </i>
    <i r="1">
      <x v="5"/>
      <x v="32"/>
    </i>
    <i r="1">
      <x v="6"/>
      <x v="1"/>
    </i>
    <i r="1">
      <x v="7"/>
      <x v="2"/>
    </i>
    <i r="1">
      <x v="8"/>
      <x v="41"/>
    </i>
    <i r="1">
      <x v="9"/>
      <x v="42"/>
    </i>
    <i r="1">
      <x v="10"/>
      <x v="27"/>
    </i>
    <i r="1">
      <x v="11"/>
      <x v="3"/>
    </i>
    <i r="1">
      <x v="12"/>
      <x v="25"/>
    </i>
    <i r="1">
      <x v="13"/>
      <x v="33"/>
    </i>
    <i r="2">
      <x v="44"/>
    </i>
    <i r="1">
      <x v="15"/>
      <x v="34"/>
    </i>
    <i r="2">
      <x v="39"/>
    </i>
    <i r="1">
      <x v="17"/>
      <x v="22"/>
    </i>
    <i r="1">
      <x v="18"/>
      <x v="35"/>
    </i>
    <i r="1">
      <x v="19"/>
      <x v="14"/>
    </i>
    <i t="blank">
      <x v="12"/>
    </i>
    <i>
      <x v="13"/>
    </i>
    <i r="1">
      <x/>
      <x v="38"/>
    </i>
    <i r="1">
      <x v="1"/>
      <x v="28"/>
    </i>
    <i r="1">
      <x v="2"/>
      <x v="36"/>
    </i>
    <i r="1">
      <x v="3"/>
      <x/>
    </i>
    <i r="1">
      <x v="4"/>
      <x v="1"/>
    </i>
    <i r="1">
      <x v="5"/>
      <x v="11"/>
    </i>
    <i r="1">
      <x v="6"/>
      <x v="32"/>
    </i>
    <i r="1">
      <x v="7"/>
      <x v="26"/>
    </i>
    <i r="1">
      <x v="8"/>
      <x v="2"/>
    </i>
    <i r="1">
      <x v="9"/>
      <x v="41"/>
    </i>
    <i r="1">
      <x v="10"/>
      <x v="27"/>
    </i>
    <i r="1">
      <x v="11"/>
      <x v="42"/>
    </i>
    <i r="1">
      <x v="12"/>
      <x v="25"/>
    </i>
    <i r="2">
      <x v="44"/>
    </i>
    <i r="1">
      <x v="14"/>
      <x v="34"/>
    </i>
    <i r="1">
      <x v="15"/>
      <x v="33"/>
    </i>
    <i r="1">
      <x v="16"/>
      <x v="22"/>
    </i>
    <i r="1">
      <x v="17"/>
      <x v="39"/>
    </i>
    <i r="1">
      <x v="18"/>
      <x v="12"/>
    </i>
    <i r="1">
      <x v="19"/>
      <x v="21"/>
    </i>
    <i r="2">
      <x v="24"/>
    </i>
    <i t="blank">
      <x v="13"/>
    </i>
    <i>
      <x v="14"/>
    </i>
    <i r="1">
      <x/>
      <x v="38"/>
    </i>
    <i r="1">
      <x v="1"/>
      <x v="36"/>
    </i>
    <i r="1">
      <x v="2"/>
      <x/>
    </i>
    <i r="1">
      <x v="3"/>
      <x v="32"/>
    </i>
    <i r="1">
      <x v="4"/>
      <x v="28"/>
    </i>
    <i r="1">
      <x v="5"/>
      <x v="41"/>
    </i>
    <i r="1">
      <x v="6"/>
      <x v="26"/>
    </i>
    <i r="2">
      <x v="42"/>
    </i>
    <i r="1">
      <x v="8"/>
      <x v="1"/>
    </i>
    <i r="1">
      <x v="9"/>
      <x v="34"/>
    </i>
    <i r="1">
      <x v="10"/>
      <x v="27"/>
    </i>
    <i r="1">
      <x v="11"/>
      <x v="2"/>
    </i>
    <i r="1">
      <x v="12"/>
      <x v="25"/>
    </i>
    <i r="2">
      <x v="33"/>
    </i>
    <i r="1">
      <x v="14"/>
      <x v="31"/>
    </i>
    <i r="1">
      <x v="15"/>
      <x v="39"/>
    </i>
    <i r="1">
      <x v="16"/>
      <x v="44"/>
    </i>
    <i r="1">
      <x v="17"/>
      <x v="29"/>
    </i>
    <i r="1">
      <x v="18"/>
      <x v="23"/>
    </i>
    <i r="1">
      <x v="19"/>
      <x v="43"/>
    </i>
    <i t="blank">
      <x v="14"/>
    </i>
    <i>
      <x v="15"/>
    </i>
    <i r="1">
      <x/>
      <x v="38"/>
    </i>
    <i r="1">
      <x v="1"/>
      <x v="36"/>
    </i>
    <i r="1">
      <x v="2"/>
      <x v="32"/>
    </i>
    <i r="1">
      <x v="3"/>
      <x v="28"/>
    </i>
    <i r="1">
      <x v="4"/>
      <x/>
    </i>
    <i r="1">
      <x v="5"/>
      <x v="26"/>
    </i>
    <i r="1">
      <x v="6"/>
      <x v="42"/>
    </i>
    <i r="1">
      <x v="7"/>
      <x v="1"/>
    </i>
    <i r="1">
      <x v="8"/>
      <x v="41"/>
    </i>
    <i r="1">
      <x v="9"/>
      <x v="2"/>
    </i>
    <i r="1">
      <x v="10"/>
      <x v="33"/>
    </i>
    <i r="1">
      <x v="11"/>
      <x v="27"/>
    </i>
    <i r="1">
      <x v="12"/>
      <x v="39"/>
    </i>
    <i r="1">
      <x v="13"/>
      <x v="31"/>
    </i>
    <i r="1">
      <x v="14"/>
      <x v="34"/>
    </i>
    <i r="1">
      <x v="15"/>
      <x v="25"/>
    </i>
    <i r="1">
      <x v="16"/>
      <x v="22"/>
    </i>
    <i r="2">
      <x v="23"/>
    </i>
    <i r="1">
      <x v="18"/>
      <x v="29"/>
    </i>
    <i r="1">
      <x v="19"/>
      <x v="24"/>
    </i>
    <i t="blank">
      <x v="15"/>
    </i>
    <i>
      <x v="16"/>
    </i>
    <i r="1">
      <x/>
      <x v="38"/>
    </i>
    <i r="1">
      <x v="1"/>
      <x/>
    </i>
    <i r="1">
      <x v="2"/>
      <x v="36"/>
    </i>
    <i r="1">
      <x v="3"/>
      <x v="32"/>
    </i>
    <i r="1">
      <x v="4"/>
      <x v="28"/>
    </i>
    <i r="1">
      <x v="5"/>
      <x v="1"/>
    </i>
    <i r="1">
      <x v="6"/>
      <x v="2"/>
    </i>
    <i r="1">
      <x v="7"/>
      <x v="26"/>
    </i>
    <i r="1">
      <x v="8"/>
      <x v="41"/>
    </i>
    <i r="1">
      <x v="9"/>
      <x v="42"/>
    </i>
    <i r="1">
      <x v="10"/>
      <x v="33"/>
    </i>
    <i r="1">
      <x v="11"/>
      <x v="27"/>
    </i>
    <i r="1">
      <x v="12"/>
      <x v="25"/>
    </i>
    <i r="2">
      <x v="34"/>
    </i>
    <i r="1">
      <x v="14"/>
      <x v="44"/>
    </i>
    <i r="1">
      <x v="15"/>
      <x v="23"/>
    </i>
    <i r="1">
      <x v="16"/>
      <x v="31"/>
    </i>
    <i r="1">
      <x v="17"/>
      <x v="46"/>
    </i>
    <i r="1">
      <x v="18"/>
      <x v="24"/>
    </i>
    <i r="1">
      <x v="19"/>
      <x v="17"/>
    </i>
    <i r="2">
      <x v="39"/>
    </i>
    <i t="blank">
      <x v="16"/>
    </i>
    <i>
      <x v="17"/>
    </i>
    <i r="1">
      <x/>
      <x v="38"/>
    </i>
    <i r="1">
      <x v="1"/>
      <x v="36"/>
    </i>
    <i r="1">
      <x v="2"/>
      <x/>
    </i>
    <i r="1">
      <x v="3"/>
      <x v="28"/>
    </i>
    <i r="1">
      <x v="4"/>
      <x v="32"/>
    </i>
    <i r="1">
      <x v="5"/>
      <x v="26"/>
    </i>
    <i r="1">
      <x v="6"/>
      <x v="41"/>
    </i>
    <i r="1">
      <x v="7"/>
      <x v="1"/>
    </i>
    <i r="1">
      <x v="8"/>
      <x v="27"/>
    </i>
    <i r="1">
      <x v="9"/>
      <x v="42"/>
    </i>
    <i r="1">
      <x v="10"/>
      <x v="2"/>
    </i>
    <i r="1">
      <x v="11"/>
      <x v="25"/>
    </i>
    <i r="1">
      <x v="12"/>
      <x v="33"/>
    </i>
    <i r="1">
      <x v="13"/>
      <x v="23"/>
    </i>
    <i r="1">
      <x v="14"/>
      <x v="34"/>
    </i>
    <i r="1">
      <x v="15"/>
      <x v="44"/>
    </i>
    <i r="1">
      <x v="16"/>
      <x v="31"/>
    </i>
    <i r="1">
      <x v="17"/>
      <x v="35"/>
    </i>
    <i r="1">
      <x v="18"/>
      <x v="39"/>
    </i>
    <i r="1">
      <x v="19"/>
      <x v="22"/>
    </i>
    <i t="blank">
      <x v="17"/>
    </i>
    <i>
      <x v="18"/>
    </i>
    <i r="1">
      <x/>
      <x v="38"/>
    </i>
    <i r="1">
      <x v="1"/>
      <x v="36"/>
    </i>
    <i r="1">
      <x v="2"/>
      <x v="2"/>
    </i>
    <i r="1">
      <x v="3"/>
      <x v="1"/>
    </i>
    <i r="1">
      <x v="4"/>
      <x/>
    </i>
    <i r="1">
      <x v="5"/>
      <x v="32"/>
    </i>
    <i r="1">
      <x v="6"/>
      <x v="28"/>
    </i>
    <i r="1">
      <x v="7"/>
      <x v="26"/>
    </i>
    <i r="1">
      <x v="8"/>
      <x v="42"/>
    </i>
    <i r="1">
      <x v="9"/>
      <x v="27"/>
    </i>
    <i r="1">
      <x v="10"/>
      <x v="33"/>
    </i>
    <i r="1">
      <x v="11"/>
      <x v="44"/>
    </i>
    <i r="1">
      <x v="12"/>
      <x v="22"/>
    </i>
    <i r="1">
      <x v="13"/>
      <x v="34"/>
    </i>
    <i r="2">
      <x v="39"/>
    </i>
    <i r="1">
      <x v="15"/>
      <x v="41"/>
    </i>
    <i r="1">
      <x v="16"/>
      <x v="25"/>
    </i>
    <i r="2">
      <x v="43"/>
    </i>
    <i r="1">
      <x v="18"/>
      <x v="29"/>
    </i>
    <i r="2">
      <x v="31"/>
    </i>
    <i t="blank">
      <x v="18"/>
    </i>
    <i>
      <x v="19"/>
    </i>
    <i r="1">
      <x/>
      <x v="36"/>
    </i>
    <i r="1">
      <x v="1"/>
      <x v="38"/>
    </i>
    <i r="1">
      <x v="2"/>
      <x/>
    </i>
    <i r="1">
      <x v="3"/>
      <x v="28"/>
    </i>
    <i r="1">
      <x v="4"/>
      <x v="26"/>
    </i>
    <i r="1">
      <x v="5"/>
      <x v="1"/>
    </i>
    <i r="1">
      <x v="6"/>
      <x v="32"/>
    </i>
    <i r="1">
      <x v="7"/>
      <x v="2"/>
    </i>
    <i r="1">
      <x v="8"/>
      <x v="27"/>
    </i>
    <i r="1">
      <x v="9"/>
      <x v="42"/>
    </i>
    <i r="2">
      <x v="44"/>
    </i>
    <i r="1">
      <x v="11"/>
      <x v="25"/>
    </i>
    <i r="1">
      <x v="12"/>
      <x v="41"/>
    </i>
    <i r="1">
      <x v="13"/>
      <x v="34"/>
    </i>
    <i r="1">
      <x v="14"/>
      <x v="33"/>
    </i>
    <i r="1">
      <x v="15"/>
      <x v="3"/>
    </i>
    <i r="1">
      <x v="16"/>
      <x v="12"/>
    </i>
    <i r="1">
      <x v="17"/>
      <x v="22"/>
    </i>
    <i r="2">
      <x v="23"/>
    </i>
    <i r="2">
      <x v="30"/>
    </i>
    <i t="blank">
      <x v="19"/>
    </i>
    <i>
      <x v="20"/>
    </i>
    <i r="1">
      <x/>
      <x v="38"/>
    </i>
    <i r="1">
      <x v="1"/>
      <x v="41"/>
    </i>
    <i r="1">
      <x v="2"/>
      <x v="36"/>
    </i>
    <i r="1">
      <x v="3"/>
      <x/>
    </i>
    <i r="2">
      <x v="32"/>
    </i>
    <i r="1">
      <x v="5"/>
      <x v="33"/>
    </i>
    <i r="1">
      <x v="6"/>
      <x v="42"/>
    </i>
    <i r="1">
      <x v="7"/>
      <x v="1"/>
    </i>
    <i r="1">
      <x v="8"/>
      <x v="28"/>
    </i>
    <i r="1">
      <x v="9"/>
      <x v="34"/>
    </i>
    <i r="1">
      <x v="10"/>
      <x v="31"/>
    </i>
    <i r="1">
      <x v="11"/>
      <x v="2"/>
    </i>
    <i r="1">
      <x v="12"/>
      <x v="26"/>
    </i>
    <i r="1">
      <x v="13"/>
      <x v="25"/>
    </i>
    <i r="2">
      <x v="27"/>
    </i>
    <i r="1">
      <x v="15"/>
      <x v="29"/>
    </i>
    <i r="1">
      <x v="16"/>
      <x v="23"/>
    </i>
    <i r="1">
      <x v="17"/>
      <x v="39"/>
    </i>
    <i r="1">
      <x v="18"/>
      <x v="46"/>
    </i>
    <i r="1">
      <x v="19"/>
      <x v="24"/>
    </i>
    <i t="blank">
      <x v="20"/>
    </i>
    <i>
      <x v="21"/>
    </i>
    <i r="1">
      <x/>
      <x v="38"/>
    </i>
    <i r="1">
      <x v="1"/>
      <x/>
    </i>
    <i r="1">
      <x v="2"/>
      <x v="28"/>
    </i>
    <i r="1">
      <x v="3"/>
      <x v="26"/>
    </i>
    <i r="1">
      <x v="4"/>
      <x v="36"/>
    </i>
    <i r="1">
      <x v="5"/>
      <x v="1"/>
    </i>
    <i r="1">
      <x v="6"/>
      <x v="2"/>
    </i>
    <i r="1">
      <x v="7"/>
      <x v="27"/>
    </i>
    <i r="1">
      <x v="8"/>
      <x v="32"/>
    </i>
    <i r="1">
      <x v="9"/>
      <x v="44"/>
    </i>
    <i r="1">
      <x v="10"/>
      <x v="42"/>
    </i>
    <i r="1">
      <x v="11"/>
      <x v="25"/>
    </i>
    <i r="2">
      <x v="41"/>
    </i>
    <i r="1">
      <x v="13"/>
      <x v="34"/>
    </i>
    <i r="1">
      <x v="14"/>
      <x v="9"/>
    </i>
    <i r="2">
      <x v="39"/>
    </i>
    <i r="1">
      <x v="16"/>
      <x v="22"/>
    </i>
    <i r="2">
      <x v="23"/>
    </i>
    <i r="2">
      <x v="33"/>
    </i>
    <i r="1">
      <x v="19"/>
      <x v="12"/>
    </i>
    <i r="2">
      <x v="16"/>
    </i>
    <i r="2">
      <x v="40"/>
    </i>
    <i r="2">
      <x v="43"/>
    </i>
    <i t="blank">
      <x v="21"/>
    </i>
    <i>
      <x v="22"/>
    </i>
    <i r="1">
      <x/>
      <x v="38"/>
    </i>
    <i r="1">
      <x v="1"/>
      <x v="36"/>
    </i>
    <i r="1">
      <x v="2"/>
      <x v="1"/>
    </i>
    <i r="1">
      <x v="3"/>
      <x/>
    </i>
    <i r="1">
      <x v="4"/>
      <x v="28"/>
    </i>
    <i r="1">
      <x v="5"/>
      <x v="27"/>
    </i>
    <i r="1">
      <x v="6"/>
      <x v="2"/>
    </i>
    <i r="1">
      <x v="7"/>
      <x v="32"/>
    </i>
    <i r="1">
      <x v="8"/>
      <x v="26"/>
    </i>
    <i r="1">
      <x v="9"/>
      <x v="42"/>
    </i>
    <i r="1">
      <x v="10"/>
      <x v="44"/>
    </i>
    <i r="1">
      <x v="11"/>
      <x v="41"/>
    </i>
    <i r="1">
      <x v="12"/>
      <x v="34"/>
    </i>
    <i r="1">
      <x v="13"/>
      <x v="33"/>
    </i>
    <i r="1">
      <x v="14"/>
      <x v="22"/>
    </i>
    <i r="2">
      <x v="43"/>
    </i>
    <i r="1">
      <x v="16"/>
      <x v="12"/>
    </i>
    <i r="2">
      <x v="25"/>
    </i>
    <i r="1">
      <x v="18"/>
      <x v="39"/>
    </i>
    <i r="1">
      <x v="19"/>
      <x v="23"/>
    </i>
    <i t="blank">
      <x v="22"/>
    </i>
    <i>
      <x v="23"/>
    </i>
    <i r="1">
      <x/>
      <x v="38"/>
    </i>
    <i r="1">
      <x v="1"/>
      <x/>
    </i>
    <i r="1">
      <x v="2"/>
      <x v="36"/>
    </i>
    <i r="1">
      <x v="3"/>
      <x v="28"/>
    </i>
    <i r="1">
      <x v="4"/>
      <x v="1"/>
    </i>
    <i r="1">
      <x v="5"/>
      <x v="32"/>
    </i>
    <i r="1">
      <x v="6"/>
      <x v="26"/>
    </i>
    <i r="1">
      <x v="7"/>
      <x v="2"/>
    </i>
    <i r="1">
      <x v="8"/>
      <x v="27"/>
    </i>
    <i r="1">
      <x v="9"/>
      <x v="12"/>
    </i>
    <i r="1">
      <x v="10"/>
      <x v="44"/>
    </i>
    <i r="1">
      <x v="11"/>
      <x v="41"/>
    </i>
    <i r="1">
      <x v="12"/>
      <x v="42"/>
    </i>
    <i r="1">
      <x v="13"/>
      <x v="25"/>
    </i>
    <i r="1">
      <x v="14"/>
      <x v="34"/>
    </i>
    <i r="1">
      <x v="15"/>
      <x v="33"/>
    </i>
    <i r="1">
      <x v="16"/>
      <x v="14"/>
    </i>
    <i r="1">
      <x v="17"/>
      <x v="22"/>
    </i>
    <i r="1">
      <x v="18"/>
      <x v="29"/>
    </i>
    <i r="1">
      <x v="19"/>
      <x v="21"/>
    </i>
    <i t="blank">
      <x v="23"/>
    </i>
    <i>
      <x v="24"/>
    </i>
    <i r="1">
      <x/>
      <x/>
    </i>
    <i r="1">
      <x v="1"/>
      <x v="1"/>
    </i>
    <i r="1">
      <x v="2"/>
      <x v="38"/>
    </i>
    <i r="1">
      <x v="3"/>
      <x v="28"/>
    </i>
    <i r="2">
      <x v="36"/>
    </i>
    <i r="1">
      <x v="5"/>
      <x v="2"/>
    </i>
    <i r="1">
      <x v="6"/>
      <x v="32"/>
    </i>
    <i r="1">
      <x v="7"/>
      <x v="26"/>
    </i>
    <i r="1">
      <x v="8"/>
      <x v="27"/>
    </i>
    <i r="1">
      <x v="9"/>
      <x v="44"/>
    </i>
    <i r="1">
      <x v="10"/>
      <x v="42"/>
    </i>
    <i r="1">
      <x v="11"/>
      <x v="12"/>
    </i>
    <i r="1">
      <x v="12"/>
      <x v="9"/>
    </i>
    <i r="1">
      <x v="13"/>
      <x v="25"/>
    </i>
    <i r="1">
      <x v="14"/>
      <x v="41"/>
    </i>
    <i r="1">
      <x v="15"/>
      <x v="5"/>
    </i>
    <i r="2">
      <x v="22"/>
    </i>
    <i r="2">
      <x v="23"/>
    </i>
    <i r="1">
      <x v="18"/>
      <x v="34"/>
    </i>
    <i r="1">
      <x v="19"/>
      <x v="33"/>
    </i>
    <i t="blank">
      <x v="24"/>
    </i>
    <i>
      <x v="25"/>
    </i>
    <i r="1">
      <x/>
      <x v="38"/>
    </i>
    <i r="1">
      <x v="1"/>
      <x/>
    </i>
    <i r="1">
      <x v="2"/>
      <x v="1"/>
    </i>
    <i r="1">
      <x v="3"/>
      <x v="28"/>
    </i>
    <i r="1">
      <x v="4"/>
      <x v="36"/>
    </i>
    <i r="1">
      <x v="5"/>
      <x v="26"/>
    </i>
    <i r="2">
      <x v="27"/>
    </i>
    <i r="1">
      <x v="7"/>
      <x v="44"/>
    </i>
    <i r="1">
      <x v="8"/>
      <x v="2"/>
    </i>
    <i r="1">
      <x v="9"/>
      <x v="42"/>
    </i>
    <i r="1">
      <x v="10"/>
      <x v="25"/>
    </i>
    <i r="1">
      <x v="11"/>
      <x v="32"/>
    </i>
    <i r="1">
      <x v="12"/>
      <x v="41"/>
    </i>
    <i r="1">
      <x v="13"/>
      <x v="12"/>
    </i>
    <i r="1">
      <x v="14"/>
      <x v="9"/>
    </i>
    <i r="2">
      <x v="34"/>
    </i>
    <i r="1">
      <x v="16"/>
      <x v="22"/>
    </i>
    <i r="2">
      <x v="39"/>
    </i>
    <i r="1">
      <x v="18"/>
      <x v="21"/>
    </i>
    <i r="1">
      <x v="19"/>
      <x v="3"/>
    </i>
    <i r="2">
      <x v="40"/>
    </i>
    <i t="blank">
      <x v="25"/>
    </i>
    <i>
      <x v="26"/>
    </i>
    <i r="1">
      <x/>
      <x v="32"/>
    </i>
    <i r="1">
      <x v="1"/>
      <x v="38"/>
    </i>
    <i r="1">
      <x v="2"/>
      <x/>
    </i>
    <i r="1">
      <x v="3"/>
      <x v="1"/>
    </i>
    <i r="1">
      <x v="4"/>
      <x v="2"/>
    </i>
    <i r="1">
      <x v="5"/>
      <x v="36"/>
    </i>
    <i r="1">
      <x v="6"/>
      <x v="44"/>
    </i>
    <i r="1">
      <x v="7"/>
      <x v="27"/>
    </i>
    <i r="2">
      <x v="28"/>
    </i>
    <i r="1">
      <x v="9"/>
      <x v="26"/>
    </i>
    <i r="1">
      <x v="10"/>
      <x v="43"/>
    </i>
    <i r="1">
      <x v="11"/>
      <x v="41"/>
    </i>
    <i r="1">
      <x v="12"/>
      <x v="42"/>
    </i>
    <i r="1">
      <x v="13"/>
      <x v="12"/>
    </i>
    <i r="1">
      <x v="14"/>
      <x v="22"/>
    </i>
    <i r="1">
      <x v="15"/>
      <x v="21"/>
    </i>
    <i r="1">
      <x v="16"/>
      <x v="33"/>
    </i>
    <i r="2">
      <x v="37"/>
    </i>
    <i r="1">
      <x v="18"/>
      <x v="31"/>
    </i>
    <i r="1">
      <x v="19"/>
      <x v="3"/>
    </i>
    <i r="2">
      <x v="34"/>
    </i>
    <i r="2">
      <x v="45"/>
    </i>
    <i r="2">
      <x v="46"/>
    </i>
    <i t="blank">
      <x v="26"/>
    </i>
    <i>
      <x v="27"/>
    </i>
    <i r="1">
      <x/>
      <x v="11"/>
    </i>
    <i r="1">
      <x v="1"/>
      <x v="28"/>
    </i>
    <i r="1">
      <x v="2"/>
      <x v="38"/>
    </i>
    <i r="1">
      <x v="3"/>
      <x/>
    </i>
    <i r="1">
      <x v="4"/>
      <x v="1"/>
    </i>
    <i r="1">
      <x v="5"/>
      <x v="36"/>
    </i>
    <i r="1">
      <x v="6"/>
      <x v="26"/>
    </i>
    <i r="1">
      <x v="7"/>
      <x v="2"/>
    </i>
    <i r="1">
      <x v="8"/>
      <x v="44"/>
    </i>
    <i r="1">
      <x v="9"/>
      <x v="27"/>
    </i>
    <i r="1">
      <x v="10"/>
      <x v="42"/>
    </i>
    <i r="1">
      <x v="11"/>
      <x v="22"/>
    </i>
    <i r="1">
      <x v="12"/>
      <x v="32"/>
    </i>
    <i r="2">
      <x v="33"/>
    </i>
    <i r="1">
      <x v="14"/>
      <x v="12"/>
    </i>
    <i r="1">
      <x v="15"/>
      <x v="24"/>
    </i>
    <i r="1">
      <x v="16"/>
      <x v="25"/>
    </i>
    <i r="1">
      <x v="17"/>
      <x v="34"/>
    </i>
    <i r="1">
      <x v="18"/>
      <x v="41"/>
    </i>
    <i r="1">
      <x v="19"/>
      <x v="29"/>
    </i>
    <i t="blank">
      <x v="27"/>
    </i>
    <i>
      <x v="28"/>
    </i>
    <i r="1">
      <x/>
      <x v="38"/>
    </i>
    <i r="1">
      <x v="1"/>
      <x v="36"/>
    </i>
    <i r="1">
      <x v="2"/>
      <x v="32"/>
    </i>
    <i r="1">
      <x v="3"/>
      <x v="2"/>
    </i>
    <i r="1">
      <x v="4"/>
      <x/>
    </i>
    <i r="1">
      <x v="5"/>
      <x v="1"/>
    </i>
    <i r="1">
      <x v="6"/>
      <x v="28"/>
    </i>
    <i r="1">
      <x v="7"/>
      <x v="26"/>
    </i>
    <i r="1">
      <x v="8"/>
      <x v="41"/>
    </i>
    <i r="1">
      <x v="9"/>
      <x v="44"/>
    </i>
    <i r="1">
      <x v="10"/>
      <x v="42"/>
    </i>
    <i r="1">
      <x v="11"/>
      <x v="22"/>
    </i>
    <i r="1">
      <x v="12"/>
      <x v="34"/>
    </i>
    <i r="1">
      <x v="13"/>
      <x v="19"/>
    </i>
    <i r="1">
      <x v="14"/>
      <x v="27"/>
    </i>
    <i r="1">
      <x v="15"/>
      <x v="23"/>
    </i>
    <i r="1">
      <x v="16"/>
      <x v="35"/>
    </i>
    <i r="1">
      <x v="17"/>
      <x v="25"/>
    </i>
    <i r="1">
      <x v="18"/>
      <x v="31"/>
    </i>
    <i r="1">
      <x v="19"/>
      <x v="39"/>
    </i>
    <i t="blank">
      <x v="28"/>
    </i>
    <i>
      <x v="29"/>
    </i>
    <i r="1">
      <x/>
      <x/>
    </i>
    <i r="1">
      <x v="1"/>
      <x v="38"/>
    </i>
    <i r="1">
      <x v="2"/>
      <x v="1"/>
    </i>
    <i r="1">
      <x v="3"/>
      <x v="26"/>
    </i>
    <i r="1">
      <x v="4"/>
      <x v="28"/>
    </i>
    <i r="1">
      <x v="5"/>
      <x v="36"/>
    </i>
    <i r="1">
      <x v="6"/>
      <x v="2"/>
    </i>
    <i r="1">
      <x v="7"/>
      <x v="27"/>
    </i>
    <i r="1">
      <x v="8"/>
      <x v="44"/>
    </i>
    <i r="1">
      <x v="9"/>
      <x v="3"/>
    </i>
    <i r="2">
      <x v="42"/>
    </i>
    <i r="1">
      <x v="11"/>
      <x v="12"/>
    </i>
    <i r="1">
      <x v="12"/>
      <x v="21"/>
    </i>
    <i r="2">
      <x v="34"/>
    </i>
    <i r="1">
      <x v="14"/>
      <x v="9"/>
    </i>
    <i r="1">
      <x v="15"/>
      <x v="25"/>
    </i>
    <i r="2">
      <x v="32"/>
    </i>
    <i r="2">
      <x v="41"/>
    </i>
    <i r="1">
      <x v="18"/>
      <x v="22"/>
    </i>
    <i r="1">
      <x v="19"/>
      <x v="43"/>
    </i>
    <i t="blank">
      <x v="29"/>
    </i>
    <i>
      <x v="30"/>
    </i>
    <i r="1">
      <x/>
      <x v="38"/>
    </i>
    <i r="1">
      <x v="1"/>
      <x/>
    </i>
    <i r="1">
      <x v="2"/>
      <x v="28"/>
    </i>
    <i r="1">
      <x v="3"/>
      <x v="36"/>
    </i>
    <i r="1">
      <x v="4"/>
      <x v="1"/>
    </i>
    <i r="1">
      <x v="5"/>
      <x v="2"/>
    </i>
    <i r="1">
      <x v="6"/>
      <x v="26"/>
    </i>
    <i r="1">
      <x v="7"/>
      <x v="27"/>
    </i>
    <i r="1">
      <x v="8"/>
      <x v="32"/>
    </i>
    <i r="1">
      <x v="9"/>
      <x v="44"/>
    </i>
    <i r="1">
      <x v="10"/>
      <x v="42"/>
    </i>
    <i r="1">
      <x v="11"/>
      <x v="41"/>
    </i>
    <i r="1">
      <x v="12"/>
      <x v="33"/>
    </i>
    <i r="1">
      <x v="13"/>
      <x v="21"/>
    </i>
    <i r="2">
      <x v="34"/>
    </i>
    <i r="1">
      <x v="15"/>
      <x v="43"/>
    </i>
    <i r="1">
      <x v="16"/>
      <x v="24"/>
    </i>
    <i r="1">
      <x v="17"/>
      <x v="31"/>
    </i>
    <i r="1">
      <x v="18"/>
      <x v="25"/>
    </i>
    <i r="1">
      <x v="19"/>
      <x v="3"/>
    </i>
    <i t="blank">
      <x v="30"/>
    </i>
    <i>
      <x v="31"/>
    </i>
    <i r="1">
      <x/>
      <x v="38"/>
    </i>
    <i r="1">
      <x v="1"/>
      <x/>
    </i>
    <i r="1">
      <x v="2"/>
      <x v="1"/>
    </i>
    <i r="1">
      <x v="3"/>
      <x v="36"/>
    </i>
    <i r="1">
      <x v="4"/>
      <x v="28"/>
    </i>
    <i r="1">
      <x v="5"/>
      <x v="2"/>
    </i>
    <i r="1">
      <x v="6"/>
      <x v="27"/>
    </i>
    <i r="1">
      <x v="7"/>
      <x v="26"/>
    </i>
    <i r="1">
      <x v="8"/>
      <x v="32"/>
    </i>
    <i r="1">
      <x v="9"/>
      <x v="34"/>
    </i>
    <i r="2">
      <x v="42"/>
    </i>
    <i r="1">
      <x v="11"/>
      <x v="41"/>
    </i>
    <i r="1">
      <x v="12"/>
      <x v="33"/>
    </i>
    <i r="2">
      <x v="44"/>
    </i>
    <i r="1">
      <x v="14"/>
      <x v="22"/>
    </i>
    <i r="1">
      <x v="15"/>
      <x v="12"/>
    </i>
    <i r="1">
      <x v="16"/>
      <x v="14"/>
    </i>
    <i r="2">
      <x v="18"/>
    </i>
    <i r="2">
      <x v="25"/>
    </i>
    <i r="1">
      <x v="19"/>
      <x v="23"/>
    </i>
    <i t="blank">
      <x v="31"/>
    </i>
    <i>
      <x v="32"/>
    </i>
    <i r="1">
      <x/>
      <x v="38"/>
    </i>
    <i r="1">
      <x v="1"/>
      <x/>
    </i>
    <i r="1">
      <x v="2"/>
      <x v="1"/>
    </i>
    <i r="1">
      <x v="3"/>
      <x v="28"/>
    </i>
    <i r="1">
      <x v="4"/>
      <x v="36"/>
    </i>
    <i r="1">
      <x v="5"/>
      <x v="32"/>
    </i>
    <i r="1">
      <x v="6"/>
      <x v="2"/>
    </i>
    <i r="1">
      <x v="7"/>
      <x v="26"/>
    </i>
    <i r="1">
      <x v="8"/>
      <x v="44"/>
    </i>
    <i r="1">
      <x v="9"/>
      <x v="27"/>
    </i>
    <i r="1">
      <x v="10"/>
      <x v="41"/>
    </i>
    <i r="1">
      <x v="11"/>
      <x v="34"/>
    </i>
    <i r="1">
      <x v="12"/>
      <x v="25"/>
    </i>
    <i r="1">
      <x v="13"/>
      <x v="22"/>
    </i>
    <i r="2">
      <x v="42"/>
    </i>
    <i r="1">
      <x v="15"/>
      <x v="31"/>
    </i>
    <i r="2">
      <x v="39"/>
    </i>
    <i r="1">
      <x v="17"/>
      <x v="21"/>
    </i>
    <i r="2">
      <x v="43"/>
    </i>
    <i r="1">
      <x v="19"/>
      <x v="33"/>
    </i>
    <i t="blank">
      <x v="32"/>
    </i>
    <i>
      <x v="33"/>
    </i>
    <i r="1">
      <x/>
      <x/>
    </i>
    <i r="1">
      <x v="1"/>
      <x v="38"/>
    </i>
    <i r="1">
      <x v="2"/>
      <x v="1"/>
    </i>
    <i r="1">
      <x v="3"/>
      <x v="2"/>
    </i>
    <i r="1">
      <x v="4"/>
      <x v="26"/>
    </i>
    <i r="1">
      <x v="5"/>
      <x v="44"/>
    </i>
    <i r="1">
      <x v="6"/>
      <x v="28"/>
    </i>
    <i r="1">
      <x v="7"/>
      <x v="36"/>
    </i>
    <i r="1">
      <x v="8"/>
      <x v="27"/>
    </i>
    <i r="1">
      <x v="9"/>
      <x v="32"/>
    </i>
    <i r="1">
      <x v="10"/>
      <x v="41"/>
    </i>
    <i r="1">
      <x v="11"/>
      <x v="42"/>
    </i>
    <i r="1">
      <x v="12"/>
      <x v="18"/>
    </i>
    <i r="2">
      <x v="23"/>
    </i>
    <i r="2">
      <x v="25"/>
    </i>
    <i r="1">
      <x v="15"/>
      <x v="3"/>
    </i>
    <i r="2">
      <x v="16"/>
    </i>
    <i r="2">
      <x v="22"/>
    </i>
    <i r="1">
      <x v="18"/>
      <x v="7"/>
    </i>
    <i r="2">
      <x v="21"/>
    </i>
    <i r="2">
      <x v="34"/>
    </i>
    <i r="2">
      <x v="46"/>
    </i>
    <i t="blank">
      <x v="33"/>
    </i>
    <i>
      <x v="34"/>
    </i>
    <i r="1">
      <x/>
      <x v="36"/>
    </i>
    <i r="1">
      <x v="1"/>
      <x v="28"/>
    </i>
    <i r="1">
      <x v="2"/>
      <x v="26"/>
    </i>
    <i r="1">
      <x v="3"/>
      <x v="38"/>
    </i>
    <i r="1">
      <x v="4"/>
      <x/>
    </i>
    <i r="1">
      <x v="5"/>
      <x v="1"/>
    </i>
    <i r="1">
      <x v="6"/>
      <x v="35"/>
    </i>
    <i r="1">
      <x v="7"/>
      <x v="27"/>
    </i>
    <i r="1">
      <x v="8"/>
      <x v="2"/>
    </i>
    <i r="2">
      <x v="3"/>
    </i>
    <i r="1">
      <x v="10"/>
      <x v="21"/>
    </i>
    <i r="1">
      <x v="11"/>
      <x v="32"/>
    </i>
    <i r="1">
      <x v="12"/>
      <x v="24"/>
    </i>
    <i r="2">
      <x v="41"/>
    </i>
    <i r="2">
      <x v="42"/>
    </i>
    <i r="1">
      <x v="15"/>
      <x v="25"/>
    </i>
    <i r="1">
      <x v="16"/>
      <x v="22"/>
    </i>
    <i r="1">
      <x v="17"/>
      <x v="7"/>
    </i>
    <i r="2">
      <x v="18"/>
    </i>
    <i r="1">
      <x v="19"/>
      <x v="39"/>
    </i>
    <i r="2">
      <x v="40"/>
    </i>
    <i t="blank">
      <x v="34"/>
    </i>
    <i>
      <x v="35"/>
    </i>
    <i r="1">
      <x/>
      <x v="1"/>
    </i>
    <i r="1">
      <x v="1"/>
      <x v="38"/>
    </i>
    <i r="1">
      <x v="2"/>
      <x/>
    </i>
    <i r="1">
      <x v="3"/>
      <x v="28"/>
    </i>
    <i r="1">
      <x v="4"/>
      <x v="26"/>
    </i>
    <i r="1">
      <x v="5"/>
      <x v="2"/>
    </i>
    <i r="1">
      <x v="6"/>
      <x v="36"/>
    </i>
    <i r="1">
      <x v="7"/>
      <x v="44"/>
    </i>
    <i r="1">
      <x v="8"/>
      <x v="27"/>
    </i>
    <i r="1">
      <x v="9"/>
      <x v="34"/>
    </i>
    <i r="2">
      <x v="41"/>
    </i>
    <i r="2">
      <x v="42"/>
    </i>
    <i r="1">
      <x v="12"/>
      <x v="22"/>
    </i>
    <i r="1">
      <x v="13"/>
      <x v="11"/>
    </i>
    <i r="2">
      <x v="33"/>
    </i>
    <i r="1">
      <x v="15"/>
      <x v="39"/>
    </i>
    <i r="1">
      <x v="16"/>
      <x v="3"/>
    </i>
    <i r="2">
      <x v="4"/>
    </i>
    <i r="2">
      <x v="9"/>
    </i>
    <i r="1">
      <x v="19"/>
      <x v="5"/>
    </i>
    <i r="2">
      <x v="7"/>
    </i>
    <i r="2">
      <x v="25"/>
    </i>
    <i r="2">
      <x v="31"/>
    </i>
    <i t="blank">
      <x v="35"/>
    </i>
    <i>
      <x v="36"/>
    </i>
    <i r="1">
      <x/>
      <x v="38"/>
    </i>
    <i r="1">
      <x v="1"/>
      <x v="36"/>
    </i>
    <i r="1">
      <x v="2"/>
      <x v="32"/>
    </i>
    <i r="1">
      <x v="3"/>
      <x/>
    </i>
    <i r="2">
      <x v="2"/>
    </i>
    <i r="2">
      <x v="28"/>
    </i>
    <i r="1">
      <x v="6"/>
      <x v="1"/>
    </i>
    <i r="1">
      <x v="7"/>
      <x v="26"/>
    </i>
    <i r="1">
      <x v="8"/>
      <x v="41"/>
    </i>
    <i r="1">
      <x v="9"/>
      <x v="42"/>
    </i>
    <i r="1">
      <x v="10"/>
      <x v="44"/>
    </i>
    <i r="1">
      <x v="11"/>
      <x v="27"/>
    </i>
    <i r="1">
      <x v="12"/>
      <x v="34"/>
    </i>
    <i r="2">
      <x v="35"/>
    </i>
    <i r="1">
      <x v="14"/>
      <x v="23"/>
    </i>
    <i r="1">
      <x v="15"/>
      <x v="12"/>
    </i>
    <i r="1">
      <x v="16"/>
      <x v="25"/>
    </i>
    <i r="1">
      <x v="17"/>
      <x v="39"/>
    </i>
    <i r="1">
      <x v="18"/>
      <x v="9"/>
    </i>
    <i r="2">
      <x v="14"/>
    </i>
    <i r="2">
      <x v="17"/>
    </i>
    <i r="2">
      <x v="20"/>
    </i>
    <i r="2">
      <x v="43"/>
    </i>
    <i r="2">
      <x v="45"/>
    </i>
    <i r="2">
      <x v="46"/>
    </i>
    <i t="blank">
      <x v="36"/>
    </i>
    <i>
      <x v="37"/>
    </i>
    <i r="1">
      <x/>
      <x v="26"/>
    </i>
    <i r="1">
      <x v="1"/>
      <x/>
    </i>
    <i r="2">
      <x v="28"/>
    </i>
    <i r="1">
      <x v="3"/>
      <x v="38"/>
    </i>
    <i r="1">
      <x v="4"/>
      <x v="36"/>
    </i>
    <i r="1">
      <x v="5"/>
      <x v="1"/>
    </i>
    <i r="1">
      <x v="6"/>
      <x v="27"/>
    </i>
    <i r="1">
      <x v="7"/>
      <x v="2"/>
    </i>
    <i r="2">
      <x v="32"/>
    </i>
    <i r="2">
      <x v="41"/>
    </i>
    <i r="1">
      <x v="10"/>
      <x v="3"/>
    </i>
    <i r="2">
      <x v="44"/>
    </i>
    <i r="1">
      <x v="12"/>
      <x v="25"/>
    </i>
    <i r="1">
      <x v="13"/>
      <x v="35"/>
    </i>
    <i r="1">
      <x v="14"/>
      <x v="6"/>
    </i>
    <i r="2">
      <x v="42"/>
    </i>
    <i r="1">
      <x v="16"/>
      <x v="4"/>
    </i>
    <i r="2">
      <x v="34"/>
    </i>
    <i r="1">
      <x v="18"/>
      <x v="33"/>
    </i>
    <i r="1">
      <x v="19"/>
      <x v="8"/>
    </i>
    <i r="2">
      <x v="16"/>
    </i>
    <i r="2">
      <x v="24"/>
    </i>
    <i r="2">
      <x v="37"/>
    </i>
    <i t="blank">
      <x v="37"/>
    </i>
    <i>
      <x v="38"/>
    </i>
    <i r="1">
      <x/>
      <x v="36"/>
    </i>
    <i r="1">
      <x v="1"/>
      <x/>
    </i>
    <i r="1">
      <x v="2"/>
      <x v="28"/>
    </i>
    <i r="2">
      <x v="38"/>
    </i>
    <i r="1">
      <x v="4"/>
      <x v="26"/>
    </i>
    <i r="1">
      <x v="5"/>
      <x v="2"/>
    </i>
    <i r="1">
      <x v="6"/>
      <x v="46"/>
    </i>
    <i r="1">
      <x v="7"/>
      <x v="1"/>
    </i>
    <i r="2">
      <x v="27"/>
    </i>
    <i r="2">
      <x v="42"/>
    </i>
    <i r="1">
      <x v="10"/>
      <x v="34"/>
    </i>
    <i r="1">
      <x v="11"/>
      <x v="32"/>
    </i>
    <i r="1">
      <x v="12"/>
      <x v="41"/>
    </i>
    <i r="2">
      <x v="44"/>
    </i>
    <i r="1">
      <x v="14"/>
      <x v="22"/>
    </i>
    <i r="2">
      <x v="43"/>
    </i>
    <i r="1">
      <x v="16"/>
      <x v="10"/>
    </i>
    <i r="2">
      <x v="37"/>
    </i>
    <i r="1">
      <x v="18"/>
      <x v="3"/>
    </i>
    <i r="2">
      <x v="31"/>
    </i>
    <i r="2">
      <x v="40"/>
    </i>
    <i t="blank">
      <x v="38"/>
    </i>
    <i>
      <x v="39"/>
    </i>
    <i r="1">
      <x/>
      <x v="38"/>
    </i>
    <i r="1">
      <x v="1"/>
      <x v="36"/>
    </i>
    <i r="1">
      <x v="2"/>
      <x v="1"/>
    </i>
    <i r="1">
      <x v="3"/>
      <x/>
    </i>
    <i r="1">
      <x v="4"/>
      <x v="28"/>
    </i>
    <i r="1">
      <x v="5"/>
      <x v="42"/>
    </i>
    <i r="1">
      <x v="6"/>
      <x v="2"/>
    </i>
    <i r="1">
      <x v="7"/>
      <x v="25"/>
    </i>
    <i r="1">
      <x v="8"/>
      <x v="44"/>
    </i>
    <i r="1">
      <x v="9"/>
      <x v="26"/>
    </i>
    <i r="1">
      <x v="10"/>
      <x v="27"/>
    </i>
    <i r="2">
      <x v="32"/>
    </i>
    <i r="1">
      <x v="12"/>
      <x v="41"/>
    </i>
    <i r="1">
      <x v="13"/>
      <x v="31"/>
    </i>
    <i r="2">
      <x v="34"/>
    </i>
    <i r="1">
      <x v="15"/>
      <x v="46"/>
    </i>
    <i r="1">
      <x v="16"/>
      <x v="21"/>
    </i>
    <i r="2">
      <x v="33"/>
    </i>
    <i r="2">
      <x v="39"/>
    </i>
    <i r="1">
      <x v="19"/>
      <x v="12"/>
    </i>
    <i t="blank">
      <x v="39"/>
    </i>
    <i>
      <x v="40"/>
    </i>
    <i r="1">
      <x/>
      <x/>
    </i>
    <i r="1">
      <x v="1"/>
      <x v="38"/>
    </i>
    <i r="1">
      <x v="2"/>
      <x v="1"/>
    </i>
    <i r="1">
      <x v="3"/>
      <x v="27"/>
    </i>
    <i r="2">
      <x v="28"/>
    </i>
    <i r="1">
      <x v="5"/>
      <x v="44"/>
    </i>
    <i r="1">
      <x v="6"/>
      <x v="2"/>
    </i>
    <i r="2">
      <x v="36"/>
    </i>
    <i r="1">
      <x v="8"/>
      <x v="26"/>
    </i>
    <i r="1">
      <x v="9"/>
      <x v="25"/>
    </i>
    <i r="1">
      <x v="10"/>
      <x v="14"/>
    </i>
    <i r="2">
      <x v="42"/>
    </i>
    <i r="1">
      <x v="12"/>
      <x v="3"/>
    </i>
    <i r="2">
      <x v="32"/>
    </i>
    <i r="1">
      <x v="14"/>
      <x v="5"/>
    </i>
    <i r="2">
      <x v="12"/>
    </i>
    <i r="2">
      <x v="22"/>
    </i>
    <i r="2">
      <x v="23"/>
    </i>
    <i r="2">
      <x v="34"/>
    </i>
    <i r="1">
      <x v="19"/>
      <x v="6"/>
    </i>
    <i r="2">
      <x v="7"/>
    </i>
    <i r="2">
      <x v="9"/>
    </i>
    <i r="2">
      <x v="11"/>
    </i>
    <i r="2">
      <x v="13"/>
    </i>
    <i r="2">
      <x v="24"/>
    </i>
    <i r="2">
      <x v="29"/>
    </i>
    <i r="2">
      <x v="39"/>
    </i>
    <i r="2">
      <x v="41"/>
    </i>
    <i r="2">
      <x v="43"/>
    </i>
    <i t="blank">
      <x v="40"/>
    </i>
    <i>
      <x v="41"/>
    </i>
    <i r="1">
      <x/>
      <x v="1"/>
    </i>
    <i r="1">
      <x v="1"/>
      <x/>
    </i>
    <i r="1">
      <x v="2"/>
      <x v="38"/>
    </i>
    <i r="1">
      <x v="3"/>
      <x v="28"/>
    </i>
    <i r="1">
      <x v="4"/>
      <x v="2"/>
    </i>
    <i r="1">
      <x v="5"/>
      <x v="36"/>
    </i>
    <i r="1">
      <x v="6"/>
      <x v="44"/>
    </i>
    <i r="1">
      <x v="7"/>
      <x v="26"/>
    </i>
    <i r="1">
      <x v="8"/>
      <x v="27"/>
    </i>
    <i r="1">
      <x v="9"/>
      <x v="12"/>
    </i>
    <i r="2">
      <x v="16"/>
    </i>
    <i r="1">
      <x v="11"/>
      <x v="42"/>
    </i>
    <i r="1">
      <x v="12"/>
      <x v="34"/>
    </i>
    <i r="1">
      <x v="13"/>
      <x v="14"/>
    </i>
    <i r="1">
      <x v="14"/>
      <x v="9"/>
    </i>
    <i r="2">
      <x v="22"/>
    </i>
    <i r="2">
      <x v="25"/>
    </i>
    <i r="2">
      <x v="41"/>
    </i>
    <i r="1">
      <x v="18"/>
      <x v="21"/>
    </i>
    <i r="2">
      <x v="32"/>
    </i>
    <i t="blank">
      <x v="41"/>
    </i>
    <i>
      <x v="42"/>
    </i>
    <i r="1">
      <x/>
      <x/>
    </i>
    <i r="1">
      <x v="1"/>
      <x v="1"/>
    </i>
    <i r="1">
      <x v="2"/>
      <x v="2"/>
    </i>
    <i r="1">
      <x v="3"/>
      <x v="36"/>
    </i>
    <i r="2">
      <x v="38"/>
    </i>
    <i r="1">
      <x v="5"/>
      <x v="28"/>
    </i>
    <i r="1">
      <x v="6"/>
      <x v="34"/>
    </i>
    <i r="1">
      <x v="7"/>
      <x v="26"/>
    </i>
    <i r="2">
      <x v="27"/>
    </i>
    <i r="1">
      <x v="9"/>
      <x v="12"/>
    </i>
    <i r="2">
      <x v="41"/>
    </i>
    <i r="2">
      <x v="43"/>
    </i>
    <i r="2">
      <x v="44"/>
    </i>
    <i r="1">
      <x v="13"/>
      <x v="22"/>
    </i>
    <i r="1">
      <x v="14"/>
      <x v="9"/>
    </i>
    <i r="2">
      <x v="14"/>
    </i>
    <i r="2">
      <x v="19"/>
    </i>
    <i r="2">
      <x v="42"/>
    </i>
    <i r="1">
      <x v="18"/>
      <x v="31"/>
    </i>
    <i r="2">
      <x v="32"/>
    </i>
    <i r="2">
      <x v="33"/>
    </i>
    <i t="blank">
      <x v="42"/>
    </i>
    <i>
      <x v="43"/>
    </i>
    <i r="1">
      <x/>
      <x v="38"/>
    </i>
    <i r="1">
      <x v="1"/>
      <x/>
    </i>
    <i r="1">
      <x v="2"/>
      <x v="36"/>
    </i>
    <i r="1">
      <x v="3"/>
      <x v="1"/>
    </i>
    <i r="1">
      <x v="4"/>
      <x v="28"/>
    </i>
    <i r="1">
      <x v="5"/>
      <x v="32"/>
    </i>
    <i r="1">
      <x v="6"/>
      <x v="26"/>
    </i>
    <i r="2">
      <x v="27"/>
    </i>
    <i r="1">
      <x v="8"/>
      <x v="2"/>
    </i>
    <i r="1">
      <x v="9"/>
      <x v="44"/>
    </i>
    <i r="1">
      <x v="10"/>
      <x v="12"/>
    </i>
    <i r="1">
      <x v="11"/>
      <x v="42"/>
    </i>
    <i r="1">
      <x v="12"/>
      <x v="25"/>
    </i>
    <i r="1">
      <x v="13"/>
      <x v="14"/>
    </i>
    <i r="1">
      <x v="14"/>
      <x v="22"/>
    </i>
    <i r="1">
      <x v="15"/>
      <x v="21"/>
    </i>
    <i r="1">
      <x v="16"/>
      <x v="4"/>
    </i>
    <i r="1">
      <x v="17"/>
      <x v="33"/>
    </i>
    <i r="1">
      <x v="18"/>
      <x v="3"/>
    </i>
    <i r="2">
      <x v="39"/>
    </i>
    <i r="2">
      <x v="41"/>
    </i>
    <i r="2">
      <x v="46"/>
    </i>
    <i t="blank">
      <x v="43"/>
    </i>
    <i>
      <x v="44"/>
    </i>
    <i r="1">
      <x/>
      <x v="38"/>
    </i>
    <i r="1">
      <x v="1"/>
      <x/>
    </i>
    <i r="1">
      <x v="2"/>
      <x v="28"/>
    </i>
    <i r="1">
      <x v="3"/>
      <x v="1"/>
    </i>
    <i r="2">
      <x v="27"/>
    </i>
    <i r="1">
      <x v="5"/>
      <x v="36"/>
    </i>
    <i r="1">
      <x v="6"/>
      <x v="26"/>
    </i>
    <i r="1">
      <x v="7"/>
      <x v="2"/>
    </i>
    <i r="1">
      <x v="8"/>
      <x v="41"/>
    </i>
    <i r="1">
      <x v="9"/>
      <x v="34"/>
    </i>
    <i r="2">
      <x v="44"/>
    </i>
    <i r="1">
      <x v="11"/>
      <x v="17"/>
    </i>
    <i r="2">
      <x v="33"/>
    </i>
    <i r="2">
      <x v="42"/>
    </i>
    <i r="1">
      <x v="14"/>
      <x v="32"/>
    </i>
    <i r="1">
      <x v="15"/>
      <x v="22"/>
    </i>
    <i r="2">
      <x v="43"/>
    </i>
    <i r="1">
      <x v="17"/>
      <x v="12"/>
    </i>
    <i r="2">
      <x v="18"/>
    </i>
    <i r="2">
      <x v="25"/>
    </i>
    <i r="2">
      <x v="46"/>
    </i>
    <i r="2">
      <x v="47"/>
    </i>
    <i t="blank">
      <x v="4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63">
      <pivotArea field="2" type="button" dataOnly="0" labelOnly="1" outline="0" axis="axisRow" fieldPosition="0"/>
    </format>
    <format dxfId="662">
      <pivotArea outline="0" fieldPosition="0">
        <references count="1">
          <reference field="4294967294" count="1">
            <x v="0"/>
          </reference>
        </references>
      </pivotArea>
    </format>
    <format dxfId="661">
      <pivotArea outline="0" fieldPosition="0">
        <references count="1">
          <reference field="4294967294" count="1">
            <x v="1"/>
          </reference>
        </references>
      </pivotArea>
    </format>
    <format dxfId="660">
      <pivotArea outline="0" fieldPosition="0">
        <references count="1">
          <reference field="4294967294" count="1">
            <x v="2"/>
          </reference>
        </references>
      </pivotArea>
    </format>
    <format dxfId="659">
      <pivotArea outline="0" fieldPosition="0">
        <references count="1">
          <reference field="4294967294" count="1">
            <x v="3"/>
          </reference>
        </references>
      </pivotArea>
    </format>
    <format dxfId="658">
      <pivotArea outline="0" fieldPosition="0">
        <references count="1">
          <reference field="4294967294" count="1">
            <x v="4"/>
          </reference>
        </references>
      </pivotArea>
    </format>
    <format dxfId="657">
      <pivotArea outline="0" fieldPosition="0">
        <references count="1">
          <reference field="4294967294" count="1">
            <x v="5"/>
          </reference>
        </references>
      </pivotArea>
    </format>
    <format dxfId="656">
      <pivotArea outline="0" fieldPosition="0">
        <references count="1">
          <reference field="4294967294" count="1">
            <x v="6"/>
          </reference>
        </references>
      </pivotArea>
    </format>
    <format dxfId="655">
      <pivotArea field="2" type="button" dataOnly="0" labelOnly="1" outline="0" axis="axisRow" fieldPosition="0"/>
    </format>
    <format dxfId="6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3">
      <pivotArea field="2" type="button" dataOnly="0" labelOnly="1" outline="0" axis="axisRow" fieldPosition="0"/>
    </format>
    <format dxfId="6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1">
      <pivotArea field="2" type="button" dataOnly="0" labelOnly="1" outline="0" axis="axisRow" fieldPosition="0"/>
    </format>
    <format dxfId="6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1C3BEB-3ACD-471B-903B-193588D73405}" name="pvt_S" cacheId="215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4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5">
        <item x="26"/>
        <item x="31"/>
        <item x="16"/>
        <item x="17"/>
        <item x="39"/>
        <item x="40"/>
        <item x="38"/>
        <item x="25"/>
        <item x="0"/>
        <item x="43"/>
        <item x="42"/>
        <item x="8"/>
        <item x="13"/>
        <item x="37"/>
        <item x="15"/>
        <item x="41"/>
        <item x="6"/>
        <item x="4"/>
        <item x="29"/>
        <item x="11"/>
        <item x="24"/>
        <item x="27"/>
        <item x="18"/>
        <item x="14"/>
        <item x="20"/>
        <item x="32"/>
        <item x="9"/>
        <item x="10"/>
        <item x="21"/>
        <item x="28"/>
        <item x="1"/>
        <item x="5"/>
        <item x="23"/>
        <item x="19"/>
        <item x="3"/>
        <item x="33"/>
        <item x="35"/>
        <item x="34"/>
        <item x="36"/>
        <item x="22"/>
        <item x="2"/>
        <item x="30"/>
        <item x="12"/>
        <item x="44"/>
        <item x="7"/>
      </items>
    </pivotField>
    <pivotField axis="axisRow" showAll="0" insertBlankRow="1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showAll="0" defaultSubtotal="0">
      <items count="74">
        <item x="6"/>
        <item x="15"/>
        <item x="3"/>
        <item x="33"/>
        <item x="27"/>
        <item x="35"/>
        <item x="48"/>
        <item x="55"/>
        <item x="51"/>
        <item x="49"/>
        <item x="26"/>
        <item x="37"/>
        <item x="28"/>
        <item x="10"/>
        <item x="14"/>
        <item x="59"/>
        <item x="40"/>
        <item x="64"/>
        <item x="31"/>
        <item x="66"/>
        <item x="42"/>
        <item x="43"/>
        <item x="32"/>
        <item x="72"/>
        <item x="63"/>
        <item x="61"/>
        <item x="58"/>
        <item x="60"/>
        <item x="56"/>
        <item x="57"/>
        <item x="70"/>
        <item x="36"/>
        <item x="71"/>
        <item x="62"/>
        <item x="39"/>
        <item x="29"/>
        <item x="13"/>
        <item x="8"/>
        <item x="73"/>
        <item x="23"/>
        <item x="52"/>
        <item x="44"/>
        <item x="17"/>
        <item x="50"/>
        <item x="18"/>
        <item x="11"/>
        <item x="45"/>
        <item x="46"/>
        <item x="19"/>
        <item x="2"/>
        <item x="24"/>
        <item x="67"/>
        <item x="16"/>
        <item x="41"/>
        <item x="34"/>
        <item x="4"/>
        <item x="30"/>
        <item x="7"/>
        <item x="20"/>
        <item x="54"/>
        <item x="21"/>
        <item x="1"/>
        <item x="0"/>
        <item x="47"/>
        <item x="38"/>
        <item x="22"/>
        <item x="12"/>
        <item x="25"/>
        <item x="9"/>
        <item x="53"/>
        <item x="68"/>
        <item x="5"/>
        <item x="69"/>
        <item x="65"/>
      </items>
    </pivotField>
    <pivotField showAll="0" defaultSubtotal="0">
      <items count="74">
        <item x="44"/>
        <item x="66"/>
        <item x="13"/>
        <item x="71"/>
        <item x="28"/>
        <item x="64"/>
        <item x="30"/>
        <item x="63"/>
        <item x="35"/>
        <item x="20"/>
        <item x="17"/>
        <item x="61"/>
        <item x="52"/>
        <item x="29"/>
        <item x="22"/>
        <item x="14"/>
        <item x="23"/>
        <item x="59"/>
        <item x="12"/>
        <item x="32"/>
        <item x="33"/>
        <item x="15"/>
        <item x="56"/>
        <item x="69"/>
        <item x="43"/>
        <item x="51"/>
        <item x="25"/>
        <item x="53"/>
        <item x="73"/>
        <item x="8"/>
        <item x="5"/>
        <item x="38"/>
        <item x="39"/>
        <item x="7"/>
        <item x="67"/>
        <item x="37"/>
        <item x="72"/>
        <item x="31"/>
        <item x="34"/>
        <item x="40"/>
        <item x="55"/>
        <item x="4"/>
        <item x="21"/>
        <item x="62"/>
        <item x="58"/>
        <item x="57"/>
        <item x="65"/>
        <item x="11"/>
        <item x="47"/>
        <item x="2"/>
        <item x="27"/>
        <item x="70"/>
        <item x="24"/>
        <item x="45"/>
        <item x="48"/>
        <item x="10"/>
        <item x="26"/>
        <item x="16"/>
        <item x="6"/>
        <item x="42"/>
        <item x="18"/>
        <item x="50"/>
        <item x="60"/>
        <item x="54"/>
        <item x="49"/>
        <item x="0"/>
        <item x="46"/>
        <item x="19"/>
        <item x="36"/>
        <item x="3"/>
        <item x="1"/>
        <item x="41"/>
        <item x="9"/>
        <item x="68"/>
      </items>
    </pivotField>
    <pivotField axis="axisRow" showAll="0" defaultSubtotal="0">
      <items count="74">
        <item x="6"/>
        <item x="15"/>
        <item x="3"/>
        <item x="33"/>
        <item x="27"/>
        <item x="35"/>
        <item x="48"/>
        <item x="55"/>
        <item x="51"/>
        <item x="49"/>
        <item x="26"/>
        <item x="37"/>
        <item x="28"/>
        <item x="10"/>
        <item x="14"/>
        <item x="59"/>
        <item x="40"/>
        <item x="64"/>
        <item x="31"/>
        <item x="66"/>
        <item x="42"/>
        <item x="43"/>
        <item x="32"/>
        <item x="72"/>
        <item x="63"/>
        <item x="61"/>
        <item x="58"/>
        <item x="60"/>
        <item x="56"/>
        <item x="57"/>
        <item x="70"/>
        <item x="36"/>
        <item x="71"/>
        <item x="62"/>
        <item x="39"/>
        <item x="29"/>
        <item x="13"/>
        <item x="8"/>
        <item x="73"/>
        <item x="23"/>
        <item x="52"/>
        <item x="44"/>
        <item x="17"/>
        <item x="50"/>
        <item x="18"/>
        <item x="11"/>
        <item x="45"/>
        <item x="46"/>
        <item x="19"/>
        <item x="2"/>
        <item x="24"/>
        <item x="67"/>
        <item x="16"/>
        <item x="41"/>
        <item x="34"/>
        <item x="4"/>
        <item x="30"/>
        <item x="7"/>
        <item x="20"/>
        <item x="54"/>
        <item x="21"/>
        <item x="1"/>
        <item x="0"/>
        <item x="47"/>
        <item x="38"/>
        <item x="22"/>
        <item x="12"/>
        <item x="25"/>
        <item x="9"/>
        <item x="53"/>
        <item x="68"/>
        <item x="5"/>
        <item x="69"/>
        <item x="6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8">
        <item x="147"/>
        <item x="146"/>
        <item x="145"/>
        <item x="144"/>
        <item x="143"/>
        <item x="142"/>
        <item x="115"/>
        <item x="114"/>
        <item x="113"/>
        <item x="133"/>
        <item x="112"/>
        <item x="111"/>
        <item x="110"/>
        <item x="104"/>
        <item x="97"/>
        <item x="100"/>
        <item x="99"/>
        <item x="96"/>
        <item x="92"/>
        <item x="91"/>
        <item x="90"/>
        <item x="95"/>
        <item x="89"/>
        <item x="94"/>
        <item x="109"/>
        <item x="88"/>
        <item x="87"/>
        <item x="108"/>
        <item x="86"/>
        <item x="85"/>
        <item x="84"/>
        <item x="103"/>
        <item x="83"/>
        <item x="98"/>
        <item x="106"/>
        <item x="102"/>
        <item x="82"/>
        <item x="116"/>
        <item x="93"/>
        <item x="68"/>
        <item x="79"/>
        <item x="67"/>
        <item x="66"/>
        <item x="55"/>
        <item x="65"/>
        <item x="101"/>
        <item x="81"/>
        <item x="54"/>
        <item x="53"/>
        <item x="64"/>
        <item x="78"/>
        <item x="63"/>
        <item x="52"/>
        <item x="51"/>
        <item x="50"/>
        <item x="121"/>
        <item x="62"/>
        <item x="77"/>
        <item x="49"/>
        <item x="107"/>
        <item x="48"/>
        <item x="76"/>
        <item x="75"/>
        <item x="131"/>
        <item x="47"/>
        <item x="61"/>
        <item x="60"/>
        <item x="139"/>
        <item x="119"/>
        <item x="46"/>
        <item x="120"/>
        <item x="105"/>
        <item x="74"/>
        <item x="73"/>
        <item x="45"/>
        <item x="59"/>
        <item x="58"/>
        <item x="137"/>
        <item x="134"/>
        <item x="38"/>
        <item x="138"/>
        <item x="122"/>
        <item x="44"/>
        <item x="118"/>
        <item x="37"/>
        <item x="72"/>
        <item x="80"/>
        <item x="130"/>
        <item x="129"/>
        <item x="36"/>
        <item x="43"/>
        <item x="35"/>
        <item x="136"/>
        <item x="128"/>
        <item x="34"/>
        <item x="33"/>
        <item x="32"/>
        <item x="31"/>
        <item x="57"/>
        <item x="42"/>
        <item x="127"/>
        <item x="117"/>
        <item x="30"/>
        <item x="41"/>
        <item x="56"/>
        <item x="126"/>
        <item x="29"/>
        <item x="135"/>
        <item x="28"/>
        <item x="71"/>
        <item x="27"/>
        <item x="125"/>
        <item x="124"/>
        <item x="26"/>
        <item x="25"/>
        <item x="70"/>
        <item x="40"/>
        <item x="24"/>
        <item x="141"/>
        <item x="132"/>
        <item x="23"/>
        <item x="123"/>
        <item x="69"/>
        <item x="140"/>
        <item x="22"/>
        <item x="39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3">
        <item x="294"/>
        <item x="228"/>
        <item x="274"/>
        <item x="19"/>
        <item x="293"/>
        <item x="18"/>
        <item x="227"/>
        <item x="88"/>
        <item x="243"/>
        <item x="17"/>
        <item x="112"/>
        <item x="175"/>
        <item x="212"/>
        <item x="87"/>
        <item x="78"/>
        <item x="36"/>
        <item x="226"/>
        <item x="77"/>
        <item x="16"/>
        <item x="303"/>
        <item x="76"/>
        <item x="64"/>
        <item x="131"/>
        <item x="35"/>
        <item x="199"/>
        <item x="111"/>
        <item x="308"/>
        <item x="155"/>
        <item x="63"/>
        <item x="269"/>
        <item x="51"/>
        <item x="34"/>
        <item x="50"/>
        <item x="123"/>
        <item x="33"/>
        <item x="100"/>
        <item x="205"/>
        <item x="62"/>
        <item x="154"/>
        <item x="110"/>
        <item x="32"/>
        <item x="122"/>
        <item x="99"/>
        <item x="211"/>
        <item x="31"/>
        <item x="218"/>
        <item x="15"/>
        <item x="49"/>
        <item x="48"/>
        <item x="14"/>
        <item x="185"/>
        <item x="30"/>
        <item x="61"/>
        <item x="174"/>
        <item x="242"/>
        <item x="75"/>
        <item x="225"/>
        <item x="121"/>
        <item x="74"/>
        <item x="29"/>
        <item x="47"/>
        <item x="193"/>
        <item x="86"/>
        <item x="198"/>
        <item x="120"/>
        <item x="233"/>
        <item x="13"/>
        <item x="12"/>
        <item x="73"/>
        <item x="98"/>
        <item x="72"/>
        <item x="119"/>
        <item x="60"/>
        <item x="11"/>
        <item x="28"/>
        <item x="179"/>
        <item x="97"/>
        <item x="232"/>
        <item x="46"/>
        <item x="59"/>
        <item x="162"/>
        <item x="27"/>
        <item x="192"/>
        <item x="224"/>
        <item x="85"/>
        <item x="161"/>
        <item x="184"/>
        <item x="10"/>
        <item x="153"/>
        <item x="130"/>
        <item x="96"/>
        <item x="45"/>
        <item x="139"/>
        <item x="9"/>
        <item x="160"/>
        <item x="26"/>
        <item x="300"/>
        <item x="71"/>
        <item x="204"/>
        <item x="241"/>
        <item x="70"/>
        <item x="173"/>
        <item x="138"/>
        <item x="58"/>
        <item x="44"/>
        <item x="57"/>
        <item x="129"/>
        <item x="152"/>
        <item x="283"/>
        <item x="95"/>
        <item x="128"/>
        <item x="25"/>
        <item x="172"/>
        <item x="8"/>
        <item x="264"/>
        <item x="118"/>
        <item x="94"/>
        <item x="191"/>
        <item x="7"/>
        <item x="6"/>
        <item x="93"/>
        <item x="43"/>
        <item x="5"/>
        <item x="254"/>
        <item x="210"/>
        <item x="217"/>
        <item x="69"/>
        <item x="56"/>
        <item x="109"/>
        <item x="171"/>
        <item x="24"/>
        <item x="137"/>
        <item x="151"/>
        <item x="197"/>
        <item x="108"/>
        <item x="190"/>
        <item x="287"/>
        <item x="263"/>
        <item x="4"/>
        <item x="68"/>
        <item x="136"/>
        <item x="42"/>
        <item x="84"/>
        <item x="150"/>
        <item x="3"/>
        <item x="249"/>
        <item x="322"/>
        <item x="273"/>
        <item x="117"/>
        <item x="307"/>
        <item x="299"/>
        <item x="83"/>
        <item x="203"/>
        <item x="107"/>
        <item x="166"/>
        <item x="223"/>
        <item x="135"/>
        <item x="280"/>
        <item x="222"/>
        <item x="92"/>
        <item x="149"/>
        <item x="209"/>
        <item x="189"/>
        <item x="298"/>
        <item x="165"/>
        <item x="216"/>
        <item x="170"/>
        <item x="221"/>
        <item x="145"/>
        <item x="91"/>
        <item x="248"/>
        <item x="41"/>
        <item x="253"/>
        <item x="116"/>
        <item x="268"/>
        <item x="40"/>
        <item x="148"/>
        <item x="320"/>
        <item x="82"/>
        <item x="144"/>
        <item x="23"/>
        <item x="236"/>
        <item x="259"/>
        <item x="231"/>
        <item x="183"/>
        <item x="81"/>
        <item x="106"/>
        <item x="182"/>
        <item x="39"/>
        <item x="302"/>
        <item x="279"/>
        <item x="292"/>
        <item x="252"/>
        <item x="127"/>
        <item x="319"/>
        <item x="126"/>
        <item x="115"/>
        <item x="134"/>
        <item x="178"/>
        <item x="55"/>
        <item x="272"/>
        <item x="291"/>
        <item x="317"/>
        <item x="169"/>
        <item x="258"/>
        <item x="321"/>
        <item x="22"/>
        <item x="159"/>
        <item x="177"/>
        <item x="313"/>
        <item x="240"/>
        <item x="105"/>
        <item x="104"/>
        <item x="235"/>
        <item x="202"/>
        <item x="239"/>
        <item x="54"/>
        <item x="143"/>
        <item x="297"/>
        <item x="230"/>
        <item x="2"/>
        <item x="247"/>
        <item x="67"/>
        <item x="103"/>
        <item x="168"/>
        <item x="271"/>
        <item x="267"/>
        <item x="114"/>
        <item x="90"/>
        <item x="316"/>
        <item x="301"/>
        <item x="208"/>
        <item x="246"/>
        <item x="215"/>
        <item x="245"/>
        <item x="286"/>
        <item x="270"/>
        <item x="318"/>
        <item x="181"/>
        <item x="257"/>
        <item x="207"/>
        <item x="282"/>
        <item x="1"/>
        <item x="234"/>
        <item x="158"/>
        <item x="306"/>
        <item x="113"/>
        <item x="311"/>
        <item x="102"/>
        <item x="256"/>
        <item x="164"/>
        <item x="251"/>
        <item x="53"/>
        <item x="278"/>
        <item x="214"/>
        <item x="312"/>
        <item x="266"/>
        <item x="66"/>
        <item x="167"/>
        <item x="296"/>
        <item x="188"/>
        <item x="220"/>
        <item x="290"/>
        <item x="157"/>
        <item x="187"/>
        <item x="38"/>
        <item x="285"/>
        <item x="196"/>
        <item x="125"/>
        <item x="142"/>
        <item x="147"/>
        <item x="277"/>
        <item x="265"/>
        <item x="281"/>
        <item x="52"/>
        <item x="186"/>
        <item x="276"/>
        <item x="133"/>
        <item x="124"/>
        <item x="163"/>
        <item x="206"/>
        <item x="80"/>
        <item x="275"/>
        <item x="89"/>
        <item x="229"/>
        <item x="176"/>
        <item x="219"/>
        <item x="146"/>
        <item x="79"/>
        <item x="0"/>
        <item x="156"/>
        <item x="21"/>
        <item x="238"/>
        <item x="141"/>
        <item x="262"/>
        <item x="295"/>
        <item x="195"/>
        <item x="315"/>
        <item x="305"/>
        <item x="101"/>
        <item x="310"/>
        <item x="194"/>
        <item x="304"/>
        <item x="261"/>
        <item x="284"/>
        <item x="20"/>
        <item x="132"/>
        <item x="289"/>
        <item x="260"/>
        <item x="65"/>
        <item x="213"/>
        <item x="255"/>
        <item x="201"/>
        <item x="180"/>
        <item x="37"/>
        <item x="309"/>
        <item x="288"/>
        <item x="250"/>
        <item x="200"/>
        <item x="140"/>
        <item x="237"/>
        <item x="314"/>
        <item x="244"/>
      </items>
    </pivotField>
    <pivotField dataField="1" showAll="0" defaultSubtotal="0">
      <items count="127">
        <item x="93"/>
        <item x="92"/>
        <item x="103"/>
        <item x="94"/>
        <item x="91"/>
        <item x="86"/>
        <item x="64"/>
        <item x="82"/>
        <item x="63"/>
        <item x="51"/>
        <item x="62"/>
        <item x="61"/>
        <item x="87"/>
        <item x="32"/>
        <item x="74"/>
        <item x="75"/>
        <item x="29"/>
        <item x="76"/>
        <item x="38"/>
        <item x="60"/>
        <item x="47"/>
        <item x="84"/>
        <item x="66"/>
        <item x="81"/>
        <item x="85"/>
        <item x="80"/>
        <item x="96"/>
        <item x="101"/>
        <item x="33"/>
        <item x="65"/>
        <item x="90"/>
        <item x="50"/>
        <item x="98"/>
        <item x="71"/>
        <item x="36"/>
        <item x="48"/>
        <item x="102"/>
        <item x="37"/>
        <item x="52"/>
        <item x="73"/>
        <item x="55"/>
        <item x="49"/>
        <item x="25"/>
        <item x="59"/>
        <item x="79"/>
        <item x="108"/>
        <item x="95"/>
        <item x="119"/>
        <item x="89"/>
        <item x="35"/>
        <item x="122"/>
        <item x="83"/>
        <item x="100"/>
        <item x="107"/>
        <item x="105"/>
        <item x="31"/>
        <item x="57"/>
        <item x="58"/>
        <item x="99"/>
        <item x="46"/>
        <item x="117"/>
        <item x="56"/>
        <item x="118"/>
        <item x="30"/>
        <item x="111"/>
        <item x="106"/>
        <item x="42"/>
        <item x="88"/>
        <item x="116"/>
        <item x="72"/>
        <item x="115"/>
        <item x="121"/>
        <item x="97"/>
        <item x="114"/>
        <item x="109"/>
        <item x="70"/>
        <item x="45"/>
        <item x="44"/>
        <item x="77"/>
        <item x="78"/>
        <item x="104"/>
        <item x="43"/>
        <item x="126"/>
        <item x="34"/>
        <item x="53"/>
        <item x="28"/>
        <item x="54"/>
        <item x="125"/>
        <item x="123"/>
        <item x="41"/>
        <item x="113"/>
        <item x="26"/>
        <item x="120"/>
        <item x="19"/>
        <item x="68"/>
        <item x="69"/>
        <item x="110"/>
        <item x="27"/>
        <item x="124"/>
        <item x="24"/>
        <item x="40"/>
        <item x="112"/>
        <item x="22"/>
        <item x="23"/>
        <item x="67"/>
        <item x="39"/>
        <item x="6"/>
        <item x="15"/>
        <item x="20"/>
        <item x="16"/>
        <item x="17"/>
        <item x="18"/>
        <item x="21"/>
        <item x="14"/>
        <item x="10"/>
        <item x="11"/>
        <item x="13"/>
        <item x="8"/>
        <item x="12"/>
        <item x="3"/>
        <item x="9"/>
        <item x="5"/>
        <item x="4"/>
        <item x="7"/>
        <item x="2"/>
        <item x="1"/>
        <item x="0"/>
      </items>
    </pivotField>
    <pivotField dataField="1" showAll="0" defaultSubtotal="0">
      <items count="450">
        <item x="132"/>
        <item x="354"/>
        <item x="212"/>
        <item x="129"/>
        <item x="297"/>
        <item x="272"/>
        <item x="213"/>
        <item x="416"/>
        <item x="237"/>
        <item x="379"/>
        <item x="222"/>
        <item x="238"/>
        <item x="409"/>
        <item x="260"/>
        <item x="405"/>
        <item x="19"/>
        <item x="389"/>
        <item x="69"/>
        <item x="264"/>
        <item x="83"/>
        <item x="31"/>
        <item x="52"/>
        <item x="166"/>
        <item x="154"/>
        <item x="246"/>
        <item x="28"/>
        <item x="67"/>
        <item x="324"/>
        <item x="378"/>
        <item x="125"/>
        <item x="437"/>
        <item x="37"/>
        <item x="271"/>
        <item x="138"/>
        <item x="351"/>
        <item x="248"/>
        <item x="254"/>
        <item x="313"/>
        <item x="66"/>
        <item x="177"/>
        <item x="87"/>
        <item x="102"/>
        <item x="226"/>
        <item x="130"/>
        <item x="6"/>
        <item x="65"/>
        <item x="448"/>
        <item x="202"/>
        <item x="15"/>
        <item x="89"/>
        <item x="54"/>
        <item x="431"/>
        <item x="115"/>
        <item x="373"/>
        <item x="16"/>
        <item x="17"/>
        <item x="73"/>
        <item x="18"/>
        <item x="90"/>
        <item x="178"/>
        <item x="32"/>
        <item x="359"/>
        <item x="14"/>
        <item x="117"/>
        <item x="255"/>
        <item x="85"/>
        <item x="48"/>
        <item x="306"/>
        <item x="230"/>
        <item x="347"/>
        <item x="198"/>
        <item x="146"/>
        <item x="298"/>
        <item x="308"/>
        <item x="340"/>
        <item x="35"/>
        <item x="261"/>
        <item x="385"/>
        <item x="439"/>
        <item x="275"/>
        <item x="319"/>
        <item x="36"/>
        <item x="143"/>
        <item x="111"/>
        <item x="64"/>
        <item x="224"/>
        <item x="304"/>
        <item x="204"/>
        <item x="394"/>
        <item x="331"/>
        <item x="156"/>
        <item x="387"/>
        <item x="176"/>
        <item x="203"/>
        <item x="25"/>
        <item x="95"/>
        <item x="360"/>
        <item x="10"/>
        <item x="223"/>
        <item x="185"/>
        <item x="282"/>
        <item x="72"/>
        <item x="211"/>
        <item x="367"/>
        <item x="110"/>
        <item x="141"/>
        <item x="294"/>
        <item x="361"/>
        <item x="51"/>
        <item x="393"/>
        <item x="157"/>
        <item x="201"/>
        <item x="34"/>
        <item x="183"/>
        <item x="368"/>
        <item x="118"/>
        <item x="328"/>
        <item x="145"/>
        <item x="97"/>
        <item x="296"/>
        <item x="133"/>
        <item x="47"/>
        <item x="79"/>
        <item x="200"/>
        <item x="338"/>
        <item x="49"/>
        <item x="103"/>
        <item x="188"/>
        <item x="179"/>
        <item x="269"/>
        <item x="144"/>
        <item x="30"/>
        <item x="127"/>
        <item x="318"/>
        <item x="46"/>
        <item x="96"/>
        <item x="249"/>
        <item x="53"/>
        <item x="287"/>
        <item x="70"/>
        <item x="376"/>
        <item x="187"/>
        <item x="104"/>
        <item x="131"/>
        <item x="295"/>
        <item x="419"/>
        <item x="228"/>
        <item x="175"/>
        <item x="82"/>
        <item x="112"/>
        <item x="50"/>
        <item x="285"/>
        <item x="88"/>
        <item x="259"/>
        <item x="388"/>
        <item x="225"/>
        <item x="29"/>
        <item x="355"/>
        <item x="167"/>
        <item x="98"/>
        <item x="11"/>
        <item x="234"/>
        <item x="267"/>
        <item x="346"/>
        <item x="84"/>
        <item x="307"/>
        <item x="101"/>
        <item x="139"/>
        <item x="315"/>
        <item x="158"/>
        <item x="399"/>
        <item x="189"/>
        <item x="68"/>
        <item x="345"/>
        <item x="280"/>
        <item x="327"/>
        <item x="13"/>
        <item x="128"/>
        <item x="152"/>
        <item x="147"/>
        <item x="430"/>
        <item x="100"/>
        <item x="174"/>
        <item x="344"/>
        <item x="186"/>
        <item x="8"/>
        <item x="417"/>
        <item x="247"/>
        <item x="155"/>
        <item x="86"/>
        <item x="235"/>
        <item x="199"/>
        <item x="116"/>
        <item x="270"/>
        <item x="317"/>
        <item x="12"/>
        <item x="194"/>
        <item x="59"/>
        <item x="420"/>
        <item x="286"/>
        <item x="71"/>
        <item x="325"/>
        <item x="377"/>
        <item x="196"/>
        <item x="268"/>
        <item x="221"/>
        <item x="335"/>
        <item x="63"/>
        <item x="107"/>
        <item x="197"/>
        <item x="165"/>
        <item x="326"/>
        <item x="210"/>
        <item x="449"/>
        <item x="113"/>
        <item x="403"/>
        <item x="142"/>
        <item x="99"/>
        <item x="45"/>
        <item x="33"/>
        <item x="195"/>
        <item x="391"/>
        <item x="114"/>
        <item x="316"/>
        <item x="284"/>
        <item x="258"/>
        <item x="279"/>
        <item x="429"/>
        <item x="27"/>
        <item x="78"/>
        <item x="336"/>
        <item x="305"/>
        <item x="241"/>
        <item x="3"/>
        <item x="404"/>
        <item x="159"/>
        <item x="366"/>
        <item x="415"/>
        <item x="41"/>
        <item x="436"/>
        <item x="337"/>
        <item x="9"/>
        <item x="220"/>
        <item x="257"/>
        <item x="278"/>
        <item x="184"/>
        <item x="398"/>
        <item x="386"/>
        <item x="392"/>
        <item x="425"/>
        <item x="358"/>
        <item x="5"/>
        <item x="93"/>
        <item x="435"/>
        <item x="302"/>
        <item x="81"/>
        <item x="108"/>
        <item x="293"/>
        <item x="61"/>
        <item x="151"/>
        <item x="375"/>
        <item x="414"/>
        <item x="245"/>
        <item x="62"/>
        <item x="334"/>
        <item x="442"/>
        <item x="140"/>
        <item x="126"/>
        <item x="283"/>
        <item x="4"/>
        <item x="265"/>
        <item x="236"/>
        <item x="171"/>
        <item x="438"/>
        <item x="7"/>
        <item x="215"/>
        <item x="153"/>
        <item x="164"/>
        <item x="77"/>
        <item x="44"/>
        <item x="60"/>
        <item x="43"/>
        <item x="109"/>
        <item x="124"/>
        <item x="172"/>
        <item x="163"/>
        <item x="292"/>
        <item x="80"/>
        <item x="94"/>
        <item x="314"/>
        <item x="339"/>
        <item x="266"/>
        <item x="303"/>
        <item x="371"/>
        <item x="232"/>
        <item x="173"/>
        <item x="26"/>
        <item x="353"/>
        <item x="244"/>
        <item x="42"/>
        <item x="277"/>
        <item x="413"/>
        <item x="2"/>
        <item x="243"/>
        <item x="312"/>
        <item x="424"/>
        <item x="291"/>
        <item x="208"/>
        <item x="383"/>
        <item x="218"/>
        <item x="231"/>
        <item x="301"/>
        <item x="365"/>
        <item x="24"/>
        <item x="289"/>
        <item x="242"/>
        <item x="170"/>
        <item x="150"/>
        <item x="256"/>
        <item x="374"/>
        <item x="233"/>
        <item x="193"/>
        <item x="209"/>
        <item x="219"/>
        <item x="423"/>
        <item x="397"/>
        <item x="372"/>
        <item x="137"/>
        <item x="322"/>
        <item x="384"/>
        <item x="217"/>
        <item x="192"/>
        <item x="402"/>
        <item x="40"/>
        <item x="422"/>
        <item x="182"/>
        <item x="382"/>
        <item x="276"/>
        <item x="445"/>
        <item x="162"/>
        <item x="428"/>
        <item x="323"/>
        <item x="401"/>
        <item x="253"/>
        <item x="443"/>
        <item x="357"/>
        <item x="396"/>
        <item x="447"/>
        <item x="352"/>
        <item x="207"/>
        <item x="444"/>
        <item x="410"/>
        <item x="123"/>
        <item x="251"/>
        <item x="22"/>
        <item x="342"/>
        <item x="23"/>
        <item x="356"/>
        <item x="120"/>
        <item x="290"/>
        <item x="343"/>
        <item x="55"/>
        <item x="333"/>
        <item x="434"/>
        <item x="412"/>
        <item x="311"/>
        <item x="75"/>
        <item x="332"/>
        <item x="263"/>
        <item x="58"/>
        <item x="191"/>
        <item x="216"/>
        <item x="121"/>
        <item x="76"/>
        <item x="122"/>
        <item x="106"/>
        <item x="309"/>
        <item x="136"/>
        <item x="390"/>
        <item x="240"/>
        <item x="321"/>
        <item x="57"/>
        <item x="363"/>
        <item x="134"/>
        <item x="310"/>
        <item x="206"/>
        <item x="1"/>
        <item x="400"/>
        <item x="135"/>
        <item x="281"/>
        <item x="433"/>
        <item x="56"/>
        <item x="190"/>
        <item x="181"/>
        <item x="411"/>
        <item x="300"/>
        <item x="161"/>
        <item x="418"/>
        <item x="262"/>
        <item x="39"/>
        <item x="169"/>
        <item x="427"/>
        <item x="364"/>
        <item x="395"/>
        <item x="229"/>
        <item x="350"/>
        <item x="91"/>
        <item x="432"/>
        <item x="320"/>
        <item x="92"/>
        <item x="252"/>
        <item x="407"/>
        <item x="299"/>
        <item x="180"/>
        <item x="20"/>
        <item x="149"/>
        <item x="105"/>
        <item x="441"/>
        <item x="362"/>
        <item x="408"/>
        <item x="349"/>
        <item x="160"/>
        <item x="0"/>
        <item x="148"/>
        <item x="370"/>
        <item x="288"/>
        <item x="205"/>
        <item x="381"/>
        <item x="250"/>
        <item x="369"/>
        <item x="330"/>
        <item x="119"/>
        <item x="21"/>
        <item x="74"/>
        <item x="274"/>
        <item x="380"/>
        <item x="214"/>
        <item x="421"/>
        <item x="168"/>
        <item x="227"/>
        <item x="239"/>
        <item x="38"/>
        <item x="426"/>
        <item x="348"/>
        <item x="273"/>
        <item x="440"/>
        <item x="446"/>
        <item x="406"/>
        <item x="329"/>
        <item x="341"/>
      </items>
    </pivotField>
    <pivotField dataField="1" showAll="0" defaultSubtotal="0">
      <items count="86">
        <item x="75"/>
        <item x="70"/>
        <item x="71"/>
        <item x="43"/>
        <item x="40"/>
        <item x="34"/>
        <item x="59"/>
        <item x="39"/>
        <item x="72"/>
        <item x="53"/>
        <item x="42"/>
        <item x="55"/>
        <item x="26"/>
        <item x="65"/>
        <item x="73"/>
        <item x="58"/>
        <item x="23"/>
        <item x="44"/>
        <item x="69"/>
        <item x="67"/>
        <item x="49"/>
        <item x="54"/>
        <item x="60"/>
        <item x="74"/>
        <item x="52"/>
        <item x="83"/>
        <item x="50"/>
        <item x="61"/>
        <item x="63"/>
        <item x="48"/>
        <item x="82"/>
        <item x="64"/>
        <item x="68"/>
        <item x="66"/>
        <item x="46"/>
        <item x="25"/>
        <item x="45"/>
        <item x="62"/>
        <item x="27"/>
        <item x="41"/>
        <item x="22"/>
        <item x="56"/>
        <item x="47"/>
        <item x="35"/>
        <item x="21"/>
        <item x="57"/>
        <item x="78"/>
        <item x="37"/>
        <item x="80"/>
        <item x="81"/>
        <item x="30"/>
        <item x="79"/>
        <item x="29"/>
        <item x="36"/>
        <item x="51"/>
        <item x="85"/>
        <item x="38"/>
        <item x="84"/>
        <item x="33"/>
        <item x="32"/>
        <item x="31"/>
        <item x="77"/>
        <item x="24"/>
        <item x="28"/>
        <item x="76"/>
        <item x="7"/>
        <item x="20"/>
        <item x="9"/>
        <item x="1"/>
        <item x="12"/>
        <item x="0"/>
        <item x="5"/>
        <item x="4"/>
        <item x="13"/>
        <item x="18"/>
        <item x="11"/>
        <item x="17"/>
        <item x="16"/>
        <item x="3"/>
        <item x="19"/>
        <item x="8"/>
        <item x="14"/>
        <item x="15"/>
        <item x="10"/>
        <item x="2"/>
        <item x="6"/>
      </items>
    </pivotField>
    <pivotField dataField="1" showAll="0" defaultSubtotal="0">
      <items count="335">
        <item x="120"/>
        <item x="164"/>
        <item x="87"/>
        <item x="32"/>
        <item x="99"/>
        <item x="237"/>
        <item x="69"/>
        <item x="41"/>
        <item x="289"/>
        <item x="225"/>
        <item x="65"/>
        <item x="37"/>
        <item x="121"/>
        <item x="146"/>
        <item x="103"/>
        <item x="218"/>
        <item x="198"/>
        <item x="91"/>
        <item x="277"/>
        <item x="25"/>
        <item x="64"/>
        <item x="73"/>
        <item x="267"/>
        <item x="7"/>
        <item x="323"/>
        <item x="54"/>
        <item x="9"/>
        <item x="1"/>
        <item x="22"/>
        <item x="189"/>
        <item x="98"/>
        <item x="133"/>
        <item x="251"/>
        <item x="173"/>
        <item x="115"/>
        <item x="81"/>
        <item x="53"/>
        <item x="172"/>
        <item x="140"/>
        <item x="239"/>
        <item x="109"/>
        <item x="217"/>
        <item x="180"/>
        <item x="161"/>
        <item x="210"/>
        <item x="95"/>
        <item x="40"/>
        <item x="313"/>
        <item x="58"/>
        <item x="301"/>
        <item x="187"/>
        <item x="110"/>
        <item x="102"/>
        <item x="167"/>
        <item x="186"/>
        <item x="191"/>
        <item x="50"/>
        <item x="232"/>
        <item x="77"/>
        <item x="88"/>
        <item x="150"/>
        <item x="143"/>
        <item x="11"/>
        <item x="245"/>
        <item x="104"/>
        <item x="119"/>
        <item x="62"/>
        <item x="192"/>
        <item x="0"/>
        <item x="89"/>
        <item x="175"/>
        <item x="139"/>
        <item x="154"/>
        <item x="246"/>
        <item x="179"/>
        <item x="5"/>
        <item x="24"/>
        <item x="304"/>
        <item x="56"/>
        <item x="39"/>
        <item x="4"/>
        <item x="117"/>
        <item x="169"/>
        <item x="125"/>
        <item x="12"/>
        <item x="42"/>
        <item x="160"/>
        <item x="148"/>
        <item x="272"/>
        <item x="178"/>
        <item x="284"/>
        <item x="101"/>
        <item x="21"/>
        <item x="330"/>
        <item x="80"/>
        <item x="126"/>
        <item x="176"/>
        <item x="111"/>
        <item x="155"/>
        <item x="57"/>
        <item x="203"/>
        <item x="185"/>
        <item x="47"/>
        <item x="174"/>
        <item x="33"/>
        <item x="66"/>
        <item x="262"/>
        <item x="20"/>
        <item x="165"/>
        <item x="280"/>
        <item x="149"/>
        <item x="114"/>
        <item x="224"/>
        <item x="214"/>
        <item x="241"/>
        <item x="132"/>
        <item x="52"/>
        <item x="35"/>
        <item x="82"/>
        <item x="128"/>
        <item x="17"/>
        <item x="291"/>
        <item x="10"/>
        <item x="159"/>
        <item x="202"/>
        <item x="59"/>
        <item x="118"/>
        <item x="258"/>
        <item x="28"/>
        <item x="67"/>
        <item x="16"/>
        <item x="228"/>
        <item x="274"/>
        <item x="27"/>
        <item x="48"/>
        <item x="34"/>
        <item x="70"/>
        <item x="249"/>
        <item x="243"/>
        <item x="230"/>
        <item x="127"/>
        <item x="15"/>
        <item x="79"/>
        <item x="331"/>
        <item x="222"/>
        <item x="305"/>
        <item x="200"/>
        <item x="255"/>
        <item x="36"/>
        <item x="46"/>
        <item x="71"/>
        <item x="216"/>
        <item x="231"/>
        <item x="3"/>
        <item x="153"/>
        <item x="247"/>
        <item x="142"/>
        <item x="183"/>
        <item x="238"/>
        <item x="78"/>
        <item x="107"/>
        <item x="18"/>
        <item x="93"/>
        <item x="157"/>
        <item x="8"/>
        <item x="116"/>
        <item x="220"/>
        <item x="229"/>
        <item x="31"/>
        <item x="90"/>
        <item x="123"/>
        <item x="201"/>
        <item x="236"/>
        <item x="105"/>
        <item x="44"/>
        <item x="296"/>
        <item x="151"/>
        <item x="100"/>
        <item x="68"/>
        <item x="181"/>
        <item x="122"/>
        <item x="199"/>
        <item x="285"/>
        <item x="43"/>
        <item x="233"/>
        <item x="188"/>
        <item x="152"/>
        <item x="213"/>
        <item x="97"/>
        <item x="253"/>
        <item x="86"/>
        <item x="55"/>
        <item x="13"/>
        <item x="76"/>
        <item x="250"/>
        <item x="196"/>
        <item x="63"/>
        <item x="264"/>
        <item x="158"/>
        <item x="324"/>
        <item x="292"/>
        <item x="215"/>
        <item x="14"/>
        <item x="297"/>
        <item x="206"/>
        <item x="30"/>
        <item x="38"/>
        <item x="288"/>
        <item x="29"/>
        <item x="61"/>
        <item x="85"/>
        <item x="209"/>
        <item x="252"/>
        <item x="244"/>
        <item x="279"/>
        <item x="2"/>
        <item x="197"/>
        <item x="108"/>
        <item x="268"/>
        <item x="75"/>
        <item x="147"/>
        <item x="45"/>
        <item x="265"/>
        <item x="138"/>
        <item x="60"/>
        <item x="259"/>
        <item x="318"/>
        <item x="163"/>
        <item x="130"/>
        <item x="207"/>
        <item x="208"/>
        <item x="96"/>
        <item x="49"/>
        <item x="275"/>
        <item x="308"/>
        <item x="190"/>
        <item x="295"/>
        <item x="177"/>
        <item x="314"/>
        <item x="327"/>
        <item x="23"/>
        <item x="92"/>
        <item x="256"/>
        <item x="26"/>
        <item x="131"/>
        <item x="312"/>
        <item x="235"/>
        <item x="227"/>
        <item x="273"/>
        <item x="221"/>
        <item x="113"/>
        <item x="106"/>
        <item x="333"/>
        <item x="145"/>
        <item x="299"/>
        <item x="205"/>
        <item x="72"/>
        <item x="261"/>
        <item x="276"/>
        <item x="19"/>
        <item x="293"/>
        <item x="212"/>
        <item x="94"/>
        <item x="74"/>
        <item x="286"/>
        <item x="184"/>
        <item x="328"/>
        <item x="51"/>
        <item x="315"/>
        <item x="144"/>
        <item x="257"/>
        <item x="242"/>
        <item x="156"/>
        <item x="321"/>
        <item x="223"/>
        <item x="282"/>
        <item x="168"/>
        <item x="137"/>
        <item x="193"/>
        <item x="310"/>
        <item x="182"/>
        <item x="171"/>
        <item x="266"/>
        <item x="271"/>
        <item x="287"/>
        <item x="303"/>
        <item x="281"/>
        <item x="195"/>
        <item x="124"/>
        <item x="319"/>
        <item x="329"/>
        <item x="334"/>
        <item x="300"/>
        <item x="84"/>
        <item x="136"/>
        <item x="6"/>
        <item x="194"/>
        <item x="226"/>
        <item x="170"/>
        <item x="162"/>
        <item x="83"/>
        <item x="134"/>
        <item x="166"/>
        <item x="234"/>
        <item x="298"/>
        <item x="311"/>
        <item x="135"/>
        <item x="270"/>
        <item x="263"/>
        <item x="211"/>
        <item x="320"/>
        <item x="141"/>
        <item x="294"/>
        <item x="332"/>
        <item x="269"/>
        <item x="112"/>
        <item x="317"/>
        <item x="325"/>
        <item x="240"/>
        <item x="309"/>
        <item x="248"/>
        <item x="283"/>
        <item x="307"/>
        <item x="302"/>
        <item x="322"/>
        <item x="290"/>
        <item x="129"/>
        <item x="326"/>
        <item x="204"/>
        <item x="254"/>
        <item x="219"/>
        <item x="316"/>
        <item x="306"/>
        <item x="278"/>
        <item x="260"/>
      </items>
    </pivotField>
    <pivotField dataField="1" showAll="0" defaultSubtotal="0">
      <items count="4">
        <item x="0"/>
        <item x="1"/>
        <item x="3"/>
        <item x="2"/>
      </items>
    </pivotField>
  </pivotFields>
  <rowFields count="3">
    <field x="2"/>
    <field x="6"/>
    <field x="5"/>
  </rowFields>
  <rowItems count="1044">
    <i>
      <x/>
    </i>
    <i r="1">
      <x/>
      <x v="62"/>
    </i>
    <i r="1">
      <x v="1"/>
      <x v="61"/>
    </i>
    <i r="1">
      <x v="2"/>
      <x v="49"/>
    </i>
    <i r="1">
      <x v="3"/>
      <x v="2"/>
    </i>
    <i r="1">
      <x v="4"/>
      <x v="55"/>
    </i>
    <i r="1">
      <x v="5"/>
      <x v="71"/>
    </i>
    <i r="1">
      <x v="6"/>
      <x/>
    </i>
    <i r="1">
      <x v="7"/>
      <x v="57"/>
    </i>
    <i r="1">
      <x v="8"/>
      <x v="37"/>
    </i>
    <i r="1">
      <x v="9"/>
      <x v="68"/>
    </i>
    <i r="1">
      <x v="10"/>
      <x v="13"/>
    </i>
    <i r="1">
      <x v="11"/>
      <x v="45"/>
    </i>
    <i r="1">
      <x v="12"/>
      <x v="66"/>
    </i>
    <i r="1">
      <x v="13"/>
      <x v="36"/>
    </i>
    <i r="1">
      <x v="14"/>
      <x v="14"/>
    </i>
    <i r="1">
      <x v="15"/>
      <x v="1"/>
    </i>
    <i r="1">
      <x v="16"/>
      <x v="52"/>
    </i>
    <i r="1">
      <x v="17"/>
      <x v="42"/>
    </i>
    <i r="1">
      <x v="18"/>
      <x v="44"/>
    </i>
    <i r="1">
      <x v="19"/>
      <x v="48"/>
    </i>
    <i t="blank">
      <x/>
    </i>
    <i>
      <x v="1"/>
    </i>
    <i r="1">
      <x/>
      <x v="49"/>
    </i>
    <i r="1">
      <x v="1"/>
      <x v="62"/>
    </i>
    <i r="1">
      <x v="2"/>
      <x v="55"/>
    </i>
    <i r="1">
      <x v="3"/>
      <x v="61"/>
    </i>
    <i r="1">
      <x v="4"/>
      <x v="57"/>
    </i>
    <i r="1">
      <x v="5"/>
      <x v="52"/>
    </i>
    <i r="1">
      <x v="6"/>
      <x v="66"/>
    </i>
    <i r="2">
      <x v="68"/>
    </i>
    <i r="1">
      <x v="8"/>
      <x v="71"/>
    </i>
    <i r="1">
      <x v="9"/>
      <x v="48"/>
    </i>
    <i r="1">
      <x v="10"/>
      <x v="45"/>
    </i>
    <i r="1">
      <x v="11"/>
      <x v="37"/>
    </i>
    <i r="1">
      <x v="12"/>
      <x/>
    </i>
    <i r="1">
      <x v="13"/>
      <x v="1"/>
    </i>
    <i r="1">
      <x v="14"/>
      <x v="42"/>
    </i>
    <i r="1">
      <x v="15"/>
      <x v="58"/>
    </i>
    <i r="1">
      <x v="16"/>
      <x v="36"/>
    </i>
    <i r="1">
      <x v="17"/>
      <x v="2"/>
    </i>
    <i r="1">
      <x v="18"/>
      <x v="60"/>
    </i>
    <i r="1">
      <x v="19"/>
      <x v="14"/>
    </i>
    <i t="blank">
      <x v="1"/>
    </i>
    <i>
      <x v="2"/>
    </i>
    <i r="1">
      <x/>
      <x v="62"/>
    </i>
    <i r="1">
      <x v="1"/>
      <x v="61"/>
    </i>
    <i r="1">
      <x v="2"/>
      <x v="57"/>
    </i>
    <i r="1">
      <x v="3"/>
      <x v="49"/>
    </i>
    <i r="1">
      <x v="4"/>
      <x v="55"/>
    </i>
    <i r="1">
      <x v="5"/>
      <x v="68"/>
    </i>
    <i r="1">
      <x v="6"/>
      <x v="58"/>
    </i>
    <i r="1">
      <x v="7"/>
      <x v="66"/>
    </i>
    <i r="1">
      <x v="8"/>
      <x v="45"/>
    </i>
    <i r="1">
      <x v="9"/>
      <x v="37"/>
    </i>
    <i r="1">
      <x v="10"/>
      <x v="13"/>
    </i>
    <i r="2">
      <x v="60"/>
    </i>
    <i r="1">
      <x v="12"/>
      <x v="36"/>
    </i>
    <i r="1">
      <x v="13"/>
      <x v="42"/>
    </i>
    <i r="1">
      <x v="14"/>
      <x v="14"/>
    </i>
    <i r="1">
      <x v="15"/>
      <x v="65"/>
    </i>
    <i r="1">
      <x v="16"/>
      <x v="39"/>
    </i>
    <i r="1">
      <x v="17"/>
      <x v="1"/>
    </i>
    <i r="2">
      <x v="2"/>
    </i>
    <i r="1">
      <x v="19"/>
      <x v="71"/>
    </i>
    <i t="blank">
      <x v="2"/>
    </i>
    <i>
      <x v="3"/>
    </i>
    <i r="1">
      <x/>
      <x v="49"/>
    </i>
    <i r="1">
      <x v="1"/>
      <x v="62"/>
    </i>
    <i r="1">
      <x v="2"/>
      <x v="61"/>
    </i>
    <i r="1">
      <x v="3"/>
      <x v="57"/>
    </i>
    <i r="1">
      <x v="4"/>
      <x v="37"/>
    </i>
    <i r="2">
      <x v="55"/>
    </i>
    <i r="1">
      <x v="6"/>
      <x v="71"/>
    </i>
    <i r="1">
      <x v="7"/>
      <x v="68"/>
    </i>
    <i r="1">
      <x v="8"/>
      <x v="45"/>
    </i>
    <i r="1">
      <x v="9"/>
      <x v="13"/>
    </i>
    <i r="1">
      <x v="10"/>
      <x/>
    </i>
    <i r="1">
      <x v="11"/>
      <x v="1"/>
    </i>
    <i r="1">
      <x v="12"/>
      <x v="14"/>
    </i>
    <i r="1">
      <x v="13"/>
      <x v="66"/>
    </i>
    <i r="1">
      <x v="14"/>
      <x v="48"/>
    </i>
    <i r="1">
      <x v="15"/>
      <x v="50"/>
    </i>
    <i r="2">
      <x v="58"/>
    </i>
    <i r="1">
      <x v="17"/>
      <x v="67"/>
    </i>
    <i r="1">
      <x v="18"/>
      <x v="36"/>
    </i>
    <i r="1">
      <x v="19"/>
      <x v="52"/>
    </i>
    <i t="blank">
      <x v="3"/>
    </i>
    <i>
      <x v="4"/>
    </i>
    <i r="1">
      <x/>
      <x v="62"/>
    </i>
    <i r="1">
      <x v="1"/>
      <x v="49"/>
    </i>
    <i r="1">
      <x v="2"/>
      <x v="61"/>
    </i>
    <i r="1">
      <x v="3"/>
      <x v="55"/>
    </i>
    <i r="1">
      <x v="4"/>
      <x v="2"/>
    </i>
    <i r="1">
      <x v="5"/>
      <x v="13"/>
    </i>
    <i r="2">
      <x v="57"/>
    </i>
    <i r="1">
      <x v="7"/>
      <x v="68"/>
    </i>
    <i r="1">
      <x v="8"/>
      <x v="37"/>
    </i>
    <i r="1">
      <x v="9"/>
      <x/>
    </i>
    <i r="1">
      <x v="10"/>
      <x v="45"/>
    </i>
    <i r="2">
      <x v="48"/>
    </i>
    <i r="1">
      <x v="12"/>
      <x v="36"/>
    </i>
    <i r="1">
      <x v="13"/>
      <x v="66"/>
    </i>
    <i r="1">
      <x v="14"/>
      <x v="1"/>
    </i>
    <i r="2">
      <x v="71"/>
    </i>
    <i r="1">
      <x v="16"/>
      <x v="14"/>
    </i>
    <i r="1">
      <x v="17"/>
      <x v="42"/>
    </i>
    <i r="1">
      <x v="18"/>
      <x v="10"/>
    </i>
    <i r="1">
      <x v="19"/>
      <x v="44"/>
    </i>
    <i t="blank">
      <x v="4"/>
    </i>
    <i>
      <x v="5"/>
    </i>
    <i r="1">
      <x/>
      <x v="62"/>
    </i>
    <i r="1">
      <x v="1"/>
      <x v="61"/>
    </i>
    <i r="1">
      <x v="2"/>
      <x v="2"/>
    </i>
    <i r="1">
      <x v="3"/>
      <x v="71"/>
    </i>
    <i r="1">
      <x v="4"/>
      <x/>
    </i>
    <i r="1">
      <x v="5"/>
      <x v="49"/>
    </i>
    <i r="2">
      <x v="57"/>
    </i>
    <i r="1">
      <x v="7"/>
      <x v="37"/>
    </i>
    <i r="1">
      <x v="8"/>
      <x v="13"/>
    </i>
    <i r="1">
      <x v="9"/>
      <x v="45"/>
    </i>
    <i r="1">
      <x v="10"/>
      <x v="68"/>
    </i>
    <i r="1">
      <x v="11"/>
      <x v="4"/>
    </i>
    <i r="2">
      <x v="12"/>
    </i>
    <i r="1">
      <x v="13"/>
      <x v="36"/>
    </i>
    <i r="2">
      <x v="55"/>
    </i>
    <i r="1">
      <x v="15"/>
      <x v="66"/>
    </i>
    <i r="1">
      <x v="16"/>
      <x v="14"/>
    </i>
    <i r="1">
      <x v="17"/>
      <x v="52"/>
    </i>
    <i r="1">
      <x v="18"/>
      <x v="35"/>
    </i>
    <i r="1">
      <x v="19"/>
      <x v="56"/>
    </i>
    <i t="blank">
      <x v="5"/>
    </i>
    <i>
      <x v="6"/>
    </i>
    <i r="1">
      <x/>
      <x v="62"/>
    </i>
    <i r="1">
      <x v="1"/>
      <x v="61"/>
    </i>
    <i r="1">
      <x v="2"/>
      <x v="37"/>
    </i>
    <i r="2">
      <x v="49"/>
    </i>
    <i r="1">
      <x v="4"/>
      <x v="2"/>
    </i>
    <i r="1">
      <x v="5"/>
      <x v="13"/>
    </i>
    <i r="1">
      <x v="6"/>
      <x v="55"/>
    </i>
    <i r="1">
      <x v="7"/>
      <x v="1"/>
    </i>
    <i r="1">
      <x v="8"/>
      <x/>
    </i>
    <i r="1">
      <x v="9"/>
      <x v="45"/>
    </i>
    <i r="1">
      <x v="10"/>
      <x v="71"/>
    </i>
    <i r="1">
      <x v="11"/>
      <x v="57"/>
    </i>
    <i r="1">
      <x v="12"/>
      <x v="44"/>
    </i>
    <i r="1">
      <x v="13"/>
      <x v="14"/>
    </i>
    <i r="2">
      <x v="68"/>
    </i>
    <i r="1">
      <x v="15"/>
      <x v="18"/>
    </i>
    <i r="2">
      <x v="22"/>
    </i>
    <i r="2">
      <x v="52"/>
    </i>
    <i r="1">
      <x v="18"/>
      <x v="36"/>
    </i>
    <i r="2">
      <x v="65"/>
    </i>
    <i t="blank">
      <x v="6"/>
    </i>
    <i>
      <x v="7"/>
    </i>
    <i r="1">
      <x/>
      <x v="62"/>
    </i>
    <i r="1">
      <x v="1"/>
      <x v="49"/>
    </i>
    <i r="1">
      <x v="2"/>
      <x v="61"/>
    </i>
    <i r="1">
      <x v="3"/>
      <x v="57"/>
    </i>
    <i r="1">
      <x v="4"/>
      <x v="55"/>
    </i>
    <i r="1">
      <x v="5"/>
      <x v="68"/>
    </i>
    <i r="1">
      <x v="6"/>
      <x v="66"/>
    </i>
    <i r="1">
      <x v="7"/>
      <x/>
    </i>
    <i r="1">
      <x v="8"/>
      <x v="71"/>
    </i>
    <i r="1">
      <x v="9"/>
      <x v="37"/>
    </i>
    <i r="1">
      <x v="10"/>
      <x v="45"/>
    </i>
    <i r="1">
      <x v="11"/>
      <x v="14"/>
    </i>
    <i r="1">
      <x v="12"/>
      <x v="2"/>
    </i>
    <i r="2">
      <x v="67"/>
    </i>
    <i r="1">
      <x v="14"/>
      <x v="13"/>
    </i>
    <i r="2">
      <x v="35"/>
    </i>
    <i r="1">
      <x v="16"/>
      <x v="3"/>
    </i>
    <i r="2">
      <x v="42"/>
    </i>
    <i r="1">
      <x v="18"/>
      <x v="52"/>
    </i>
    <i r="1">
      <x v="19"/>
      <x v="1"/>
    </i>
    <i r="2">
      <x v="54"/>
    </i>
    <i r="2">
      <x v="60"/>
    </i>
    <i r="2">
      <x v="65"/>
    </i>
    <i t="blank">
      <x v="7"/>
    </i>
    <i>
      <x v="8"/>
    </i>
    <i r="1">
      <x/>
      <x v="49"/>
    </i>
    <i r="1">
      <x v="1"/>
      <x v="62"/>
    </i>
    <i r="1">
      <x v="2"/>
      <x v="61"/>
    </i>
    <i r="1">
      <x v="3"/>
      <x v="71"/>
    </i>
    <i r="1">
      <x v="4"/>
      <x/>
    </i>
    <i r="1">
      <x v="5"/>
      <x v="2"/>
    </i>
    <i r="2">
      <x v="55"/>
    </i>
    <i r="1">
      <x v="7"/>
      <x v="13"/>
    </i>
    <i r="1">
      <x v="8"/>
      <x v="57"/>
    </i>
    <i r="1">
      <x v="9"/>
      <x v="45"/>
    </i>
    <i r="1">
      <x v="10"/>
      <x v="37"/>
    </i>
    <i r="1">
      <x v="11"/>
      <x v="14"/>
    </i>
    <i r="1">
      <x v="12"/>
      <x v="4"/>
    </i>
    <i r="2">
      <x v="36"/>
    </i>
    <i r="2">
      <x v="66"/>
    </i>
    <i r="1">
      <x v="15"/>
      <x v="5"/>
    </i>
    <i r="2">
      <x v="12"/>
    </i>
    <i r="2">
      <x v="22"/>
    </i>
    <i r="2">
      <x v="31"/>
    </i>
    <i r="2">
      <x v="68"/>
    </i>
    <i t="blank">
      <x v="8"/>
    </i>
    <i>
      <x v="9"/>
    </i>
    <i r="1">
      <x/>
      <x v="62"/>
    </i>
    <i r="1">
      <x v="1"/>
      <x v="61"/>
    </i>
    <i r="1">
      <x v="2"/>
      <x v="2"/>
    </i>
    <i r="1">
      <x v="3"/>
      <x v="37"/>
    </i>
    <i r="1">
      <x v="4"/>
      <x v="55"/>
    </i>
    <i r="1">
      <x v="5"/>
      <x v="13"/>
    </i>
    <i r="2">
      <x v="57"/>
    </i>
    <i r="2">
      <x v="71"/>
    </i>
    <i r="1">
      <x v="8"/>
      <x/>
    </i>
    <i r="1">
      <x v="9"/>
      <x v="49"/>
    </i>
    <i r="1">
      <x v="10"/>
      <x v="36"/>
    </i>
    <i r="1">
      <x v="11"/>
      <x v="14"/>
    </i>
    <i r="2">
      <x v="44"/>
    </i>
    <i r="2">
      <x v="45"/>
    </i>
    <i r="2">
      <x v="68"/>
    </i>
    <i r="1">
      <x v="15"/>
      <x v="12"/>
    </i>
    <i r="1">
      <x v="16"/>
      <x v="52"/>
    </i>
    <i r="1">
      <x v="17"/>
      <x v="54"/>
    </i>
    <i r="1">
      <x v="18"/>
      <x v="1"/>
    </i>
    <i r="1">
      <x v="19"/>
      <x v="11"/>
    </i>
    <i t="blank">
      <x v="9"/>
    </i>
    <i>
      <x v="10"/>
    </i>
    <i r="1">
      <x/>
      <x v="62"/>
    </i>
    <i r="1">
      <x v="1"/>
      <x v="61"/>
    </i>
    <i r="1">
      <x v="2"/>
      <x v="2"/>
    </i>
    <i r="1">
      <x v="3"/>
      <x/>
    </i>
    <i r="1">
      <x v="4"/>
      <x v="71"/>
    </i>
    <i r="1">
      <x v="5"/>
      <x v="36"/>
    </i>
    <i r="2">
      <x v="55"/>
    </i>
    <i r="1">
      <x v="7"/>
      <x v="37"/>
    </i>
    <i r="1">
      <x v="8"/>
      <x v="13"/>
    </i>
    <i r="1">
      <x v="9"/>
      <x v="35"/>
    </i>
    <i r="1">
      <x v="10"/>
      <x v="49"/>
    </i>
    <i r="1">
      <x v="11"/>
      <x v="45"/>
    </i>
    <i r="2">
      <x v="52"/>
    </i>
    <i r="2">
      <x v="68"/>
    </i>
    <i r="1">
      <x v="14"/>
      <x v="4"/>
    </i>
    <i r="2">
      <x v="57"/>
    </i>
    <i r="2">
      <x v="64"/>
    </i>
    <i r="1">
      <x v="17"/>
      <x v="14"/>
    </i>
    <i r="2">
      <x v="44"/>
    </i>
    <i r="2">
      <x v="54"/>
    </i>
    <i t="blank">
      <x v="10"/>
    </i>
    <i>
      <x v="11"/>
    </i>
    <i r="1">
      <x/>
      <x v="62"/>
    </i>
    <i r="1">
      <x v="1"/>
      <x v="61"/>
    </i>
    <i r="1">
      <x v="2"/>
      <x v="49"/>
    </i>
    <i r="1">
      <x v="3"/>
      <x v="66"/>
    </i>
    <i r="1">
      <x v="4"/>
      <x v="45"/>
    </i>
    <i r="1">
      <x v="5"/>
      <x v="57"/>
    </i>
    <i r="2">
      <x v="58"/>
    </i>
    <i r="1">
      <x v="7"/>
      <x v="55"/>
    </i>
    <i r="1">
      <x v="8"/>
      <x v="2"/>
    </i>
    <i r="2">
      <x v="37"/>
    </i>
    <i r="1">
      <x v="10"/>
      <x/>
    </i>
    <i r="1">
      <x v="11"/>
      <x v="14"/>
    </i>
    <i r="2">
      <x v="36"/>
    </i>
    <i r="2">
      <x v="44"/>
    </i>
    <i r="2">
      <x v="68"/>
    </i>
    <i r="1">
      <x v="15"/>
      <x v="1"/>
    </i>
    <i r="2">
      <x v="34"/>
    </i>
    <i r="2">
      <x v="42"/>
    </i>
    <i r="2">
      <x v="52"/>
    </i>
    <i r="1">
      <x v="19"/>
      <x v="13"/>
    </i>
    <i r="2">
      <x v="60"/>
    </i>
    <i t="blank">
      <x v="11"/>
    </i>
    <i>
      <x v="12"/>
    </i>
    <i r="1">
      <x/>
      <x v="62"/>
    </i>
    <i r="1">
      <x v="1"/>
      <x v="61"/>
    </i>
    <i r="1">
      <x v="2"/>
      <x v="49"/>
    </i>
    <i r="1">
      <x v="3"/>
      <x/>
    </i>
    <i r="1">
      <x v="4"/>
      <x v="68"/>
    </i>
    <i r="1">
      <x v="5"/>
      <x v="36"/>
    </i>
    <i r="1">
      <x v="6"/>
      <x v="37"/>
    </i>
    <i r="1">
      <x v="7"/>
      <x v="13"/>
    </i>
    <i r="1">
      <x v="8"/>
      <x v="2"/>
    </i>
    <i r="2">
      <x v="16"/>
    </i>
    <i r="1">
      <x v="10"/>
      <x v="14"/>
    </i>
    <i r="2">
      <x v="57"/>
    </i>
    <i r="2">
      <x v="71"/>
    </i>
    <i r="1">
      <x v="13"/>
      <x v="1"/>
    </i>
    <i r="2">
      <x v="45"/>
    </i>
    <i r="2">
      <x v="55"/>
    </i>
    <i r="2">
      <x v="65"/>
    </i>
    <i r="1">
      <x v="17"/>
      <x v="35"/>
    </i>
    <i r="2">
      <x v="42"/>
    </i>
    <i r="1">
      <x v="19"/>
      <x v="44"/>
    </i>
    <i r="2">
      <x v="53"/>
    </i>
    <i t="blank">
      <x v="12"/>
    </i>
    <i>
      <x v="13"/>
    </i>
    <i r="1">
      <x/>
      <x v="62"/>
    </i>
    <i r="1">
      <x v="1"/>
      <x v="20"/>
    </i>
    <i r="1">
      <x v="2"/>
      <x v="49"/>
    </i>
    <i r="1">
      <x v="3"/>
      <x v="2"/>
    </i>
    <i r="2">
      <x v="61"/>
    </i>
    <i r="1">
      <x v="5"/>
      <x v="45"/>
    </i>
    <i r="1">
      <x v="6"/>
      <x v="71"/>
    </i>
    <i r="1">
      <x v="7"/>
      <x v="66"/>
    </i>
    <i r="1">
      <x v="8"/>
      <x v="36"/>
    </i>
    <i r="1">
      <x v="9"/>
      <x/>
    </i>
    <i r="2">
      <x v="55"/>
    </i>
    <i r="1">
      <x v="11"/>
      <x v="21"/>
    </i>
    <i r="1">
      <x v="12"/>
      <x v="37"/>
    </i>
    <i r="1">
      <x v="13"/>
      <x v="57"/>
    </i>
    <i r="1">
      <x v="14"/>
      <x v="13"/>
    </i>
    <i r="1">
      <x v="15"/>
      <x v="41"/>
    </i>
    <i r="1">
      <x v="16"/>
      <x v="68"/>
    </i>
    <i r="1">
      <x v="17"/>
      <x v="12"/>
    </i>
    <i r="2">
      <x v="31"/>
    </i>
    <i r="2">
      <x v="52"/>
    </i>
    <i t="blank">
      <x v="13"/>
    </i>
    <i>
      <x v="14"/>
    </i>
    <i r="1">
      <x/>
      <x v="62"/>
    </i>
    <i r="1">
      <x v="1"/>
      <x v="61"/>
    </i>
    <i r="1">
      <x v="2"/>
      <x v="68"/>
    </i>
    <i r="1">
      <x v="3"/>
      <x v="66"/>
    </i>
    <i r="1">
      <x v="4"/>
      <x v="57"/>
    </i>
    <i r="1">
      <x v="5"/>
      <x v="49"/>
    </i>
    <i r="1">
      <x v="6"/>
      <x v="52"/>
    </i>
    <i r="2">
      <x v="55"/>
    </i>
    <i r="1">
      <x v="8"/>
      <x v="37"/>
    </i>
    <i r="1">
      <x v="9"/>
      <x v="36"/>
    </i>
    <i r="1">
      <x v="10"/>
      <x v="45"/>
    </i>
    <i r="1">
      <x v="11"/>
      <x v="42"/>
    </i>
    <i r="1">
      <x v="12"/>
      <x v="65"/>
    </i>
    <i r="2">
      <x v="71"/>
    </i>
    <i r="1">
      <x v="14"/>
      <x/>
    </i>
    <i r="2">
      <x v="1"/>
    </i>
    <i r="2">
      <x v="48"/>
    </i>
    <i r="2">
      <x v="58"/>
    </i>
    <i r="1">
      <x v="18"/>
      <x v="3"/>
    </i>
    <i r="2">
      <x v="46"/>
    </i>
    <i r="2">
      <x v="47"/>
    </i>
    <i t="blank">
      <x v="14"/>
    </i>
    <i>
      <x v="15"/>
    </i>
    <i r="1">
      <x/>
      <x v="62"/>
    </i>
    <i r="1">
      <x v="1"/>
      <x v="49"/>
    </i>
    <i r="1">
      <x v="2"/>
      <x v="61"/>
    </i>
    <i r="1">
      <x v="3"/>
      <x v="68"/>
    </i>
    <i r="1">
      <x v="4"/>
      <x v="66"/>
    </i>
    <i r="1">
      <x v="5"/>
      <x v="57"/>
    </i>
    <i r="1">
      <x v="6"/>
      <x v="55"/>
    </i>
    <i r="1">
      <x v="7"/>
      <x v="37"/>
    </i>
    <i r="1">
      <x v="8"/>
      <x/>
    </i>
    <i r="1">
      <x v="9"/>
      <x v="36"/>
    </i>
    <i r="2">
      <x v="42"/>
    </i>
    <i r="2">
      <x v="45"/>
    </i>
    <i r="1">
      <x v="12"/>
      <x v="47"/>
    </i>
    <i r="1">
      <x v="13"/>
      <x v="2"/>
    </i>
    <i r="1">
      <x v="14"/>
      <x v="13"/>
    </i>
    <i r="1">
      <x v="15"/>
      <x v="35"/>
    </i>
    <i r="2">
      <x v="60"/>
    </i>
    <i r="1">
      <x v="17"/>
      <x v="48"/>
    </i>
    <i r="1">
      <x v="18"/>
      <x v="63"/>
    </i>
    <i r="1">
      <x v="19"/>
      <x v="3"/>
    </i>
    <i r="2">
      <x v="52"/>
    </i>
    <i t="blank">
      <x v="15"/>
    </i>
    <i>
      <x v="16"/>
    </i>
    <i r="1">
      <x/>
      <x v="62"/>
    </i>
    <i r="1">
      <x v="1"/>
      <x v="49"/>
    </i>
    <i r="1">
      <x v="2"/>
      <x v="61"/>
    </i>
    <i r="1">
      <x v="3"/>
      <x/>
    </i>
    <i r="1">
      <x v="4"/>
      <x v="55"/>
    </i>
    <i r="1">
      <x v="5"/>
      <x v="71"/>
    </i>
    <i r="1">
      <x v="6"/>
      <x v="68"/>
    </i>
    <i r="1">
      <x v="7"/>
      <x v="2"/>
    </i>
    <i r="1">
      <x v="8"/>
      <x v="37"/>
    </i>
    <i r="1">
      <x v="9"/>
      <x v="57"/>
    </i>
    <i r="1">
      <x v="10"/>
      <x v="13"/>
    </i>
    <i r="2">
      <x v="66"/>
    </i>
    <i r="1">
      <x v="12"/>
      <x v="14"/>
    </i>
    <i r="1">
      <x v="13"/>
      <x v="45"/>
    </i>
    <i r="1">
      <x v="14"/>
      <x v="52"/>
    </i>
    <i r="1">
      <x v="15"/>
      <x v="36"/>
    </i>
    <i r="1">
      <x v="16"/>
      <x v="48"/>
    </i>
    <i r="1">
      <x v="17"/>
      <x v="47"/>
    </i>
    <i r="1">
      <x v="18"/>
      <x v="1"/>
    </i>
    <i r="1">
      <x v="19"/>
      <x v="31"/>
    </i>
    <i t="blank">
      <x v="16"/>
    </i>
    <i>
      <x v="17"/>
    </i>
    <i r="1">
      <x/>
      <x v="62"/>
    </i>
    <i r="1">
      <x v="1"/>
      <x v="61"/>
    </i>
    <i r="1">
      <x v="2"/>
      <x v="49"/>
    </i>
    <i r="1">
      <x v="3"/>
      <x v="55"/>
    </i>
    <i r="1">
      <x v="4"/>
      <x v="57"/>
    </i>
    <i r="1">
      <x v="5"/>
      <x v="66"/>
    </i>
    <i r="1">
      <x v="6"/>
      <x v="68"/>
    </i>
    <i r="1">
      <x v="7"/>
      <x v="37"/>
    </i>
    <i r="1">
      <x v="8"/>
      <x v="1"/>
    </i>
    <i r="2">
      <x v="2"/>
    </i>
    <i r="1">
      <x v="10"/>
      <x/>
    </i>
    <i r="1">
      <x v="11"/>
      <x v="45"/>
    </i>
    <i r="1">
      <x v="12"/>
      <x v="58"/>
    </i>
    <i r="1">
      <x v="13"/>
      <x v="36"/>
    </i>
    <i r="1">
      <x v="14"/>
      <x v="60"/>
    </i>
    <i r="2">
      <x v="65"/>
    </i>
    <i r="1">
      <x v="16"/>
      <x v="35"/>
    </i>
    <i r="1">
      <x v="17"/>
      <x v="42"/>
    </i>
    <i r="1">
      <x v="18"/>
      <x v="14"/>
    </i>
    <i r="2">
      <x v="71"/>
    </i>
    <i t="blank">
      <x v="17"/>
    </i>
    <i>
      <x v="18"/>
    </i>
    <i r="1">
      <x/>
      <x v="62"/>
    </i>
    <i r="1">
      <x v="1"/>
      <x v="49"/>
    </i>
    <i r="1">
      <x v="2"/>
      <x v="61"/>
    </i>
    <i r="1">
      <x v="3"/>
      <x v="55"/>
    </i>
    <i r="1">
      <x v="4"/>
      <x v="13"/>
    </i>
    <i r="1">
      <x v="5"/>
      <x/>
    </i>
    <i r="2">
      <x v="14"/>
    </i>
    <i r="1">
      <x v="7"/>
      <x v="57"/>
    </i>
    <i r="1">
      <x v="8"/>
      <x v="36"/>
    </i>
    <i r="1">
      <x v="9"/>
      <x v="45"/>
    </i>
    <i r="2">
      <x v="71"/>
    </i>
    <i r="1">
      <x v="11"/>
      <x v="2"/>
    </i>
    <i r="1">
      <x v="12"/>
      <x v="1"/>
    </i>
    <i r="2">
      <x v="68"/>
    </i>
    <i r="1">
      <x v="14"/>
      <x v="5"/>
    </i>
    <i r="1">
      <x v="15"/>
      <x v="37"/>
    </i>
    <i r="1">
      <x v="16"/>
      <x v="54"/>
    </i>
    <i r="1">
      <x v="17"/>
      <x v="6"/>
    </i>
    <i r="2">
      <x v="10"/>
    </i>
    <i r="2">
      <x v="42"/>
    </i>
    <i t="blank">
      <x v="18"/>
    </i>
    <i>
      <x v="19"/>
    </i>
    <i r="1">
      <x/>
      <x v="62"/>
    </i>
    <i r="1">
      <x v="1"/>
      <x v="57"/>
    </i>
    <i r="1">
      <x v="2"/>
      <x v="61"/>
    </i>
    <i r="1">
      <x v="3"/>
      <x v="49"/>
    </i>
    <i r="1">
      <x v="4"/>
      <x/>
    </i>
    <i r="2">
      <x v="2"/>
    </i>
    <i r="2">
      <x v="71"/>
    </i>
    <i r="1">
      <x v="7"/>
      <x v="55"/>
    </i>
    <i r="1">
      <x v="8"/>
      <x v="44"/>
    </i>
    <i r="1">
      <x v="9"/>
      <x v="36"/>
    </i>
    <i r="1">
      <x v="10"/>
      <x v="14"/>
    </i>
    <i r="1">
      <x v="11"/>
      <x v="68"/>
    </i>
    <i r="1">
      <x v="12"/>
      <x v="37"/>
    </i>
    <i r="1">
      <x v="13"/>
      <x v="45"/>
    </i>
    <i r="1">
      <x v="14"/>
      <x v="54"/>
    </i>
    <i r="1">
      <x v="15"/>
      <x v="1"/>
    </i>
    <i r="2">
      <x v="13"/>
    </i>
    <i r="2">
      <x v="39"/>
    </i>
    <i r="2">
      <x v="52"/>
    </i>
    <i r="1">
      <x v="19"/>
      <x v="9"/>
    </i>
    <i r="2">
      <x v="35"/>
    </i>
    <i r="2">
      <x v="66"/>
    </i>
    <i t="blank">
      <x v="19"/>
    </i>
    <i>
      <x v="20"/>
    </i>
    <i r="1">
      <x/>
      <x v="62"/>
    </i>
    <i r="1">
      <x v="1"/>
      <x v="66"/>
    </i>
    <i r="1">
      <x v="2"/>
      <x v="68"/>
    </i>
    <i r="1">
      <x v="3"/>
      <x v="49"/>
    </i>
    <i r="1">
      <x v="4"/>
      <x v="61"/>
    </i>
    <i r="1">
      <x v="5"/>
      <x v="55"/>
    </i>
    <i r="1">
      <x v="6"/>
      <x v="1"/>
    </i>
    <i r="2">
      <x v="47"/>
    </i>
    <i r="2">
      <x v="65"/>
    </i>
    <i r="1">
      <x v="9"/>
      <x v="57"/>
    </i>
    <i r="1">
      <x v="10"/>
      <x v="2"/>
    </i>
    <i r="1">
      <x v="11"/>
      <x v="45"/>
    </i>
    <i r="2">
      <x v="48"/>
    </i>
    <i r="2">
      <x v="52"/>
    </i>
    <i r="1">
      <x v="14"/>
      <x v="46"/>
    </i>
    <i r="1">
      <x v="15"/>
      <x/>
    </i>
    <i r="1">
      <x v="16"/>
      <x v="37"/>
    </i>
    <i r="1">
      <x v="17"/>
      <x v="13"/>
    </i>
    <i r="1">
      <x v="18"/>
      <x v="12"/>
    </i>
    <i r="2">
      <x v="14"/>
    </i>
    <i r="2">
      <x v="31"/>
    </i>
    <i r="2">
      <x v="42"/>
    </i>
    <i t="blank">
      <x v="20"/>
    </i>
    <i>
      <x v="21"/>
    </i>
    <i r="1">
      <x/>
      <x v="61"/>
    </i>
    <i r="1">
      <x v="1"/>
      <x v="62"/>
    </i>
    <i r="1">
      <x v="2"/>
      <x/>
    </i>
    <i r="1">
      <x v="3"/>
      <x v="2"/>
    </i>
    <i r="1">
      <x v="4"/>
      <x v="71"/>
    </i>
    <i r="1">
      <x v="5"/>
      <x v="37"/>
    </i>
    <i r="1">
      <x v="6"/>
      <x v="14"/>
    </i>
    <i r="1">
      <x v="7"/>
      <x v="36"/>
    </i>
    <i r="2">
      <x v="45"/>
    </i>
    <i r="2">
      <x v="49"/>
    </i>
    <i r="1">
      <x v="10"/>
      <x v="55"/>
    </i>
    <i r="1">
      <x v="11"/>
      <x v="13"/>
    </i>
    <i r="1">
      <x v="12"/>
      <x v="1"/>
    </i>
    <i r="1">
      <x v="13"/>
      <x v="68"/>
    </i>
    <i r="1">
      <x v="14"/>
      <x v="34"/>
    </i>
    <i r="2">
      <x v="35"/>
    </i>
    <i r="2">
      <x v="54"/>
    </i>
    <i r="1">
      <x v="17"/>
      <x v="44"/>
    </i>
    <i r="1">
      <x v="18"/>
      <x v="9"/>
    </i>
    <i r="2">
      <x v="42"/>
    </i>
    <i r="2">
      <x v="57"/>
    </i>
    <i t="blank">
      <x v="21"/>
    </i>
    <i>
      <x v="22"/>
    </i>
    <i r="1">
      <x/>
      <x v="62"/>
    </i>
    <i r="1">
      <x v="1"/>
      <x v="37"/>
    </i>
    <i r="1">
      <x v="2"/>
      <x v="61"/>
    </i>
    <i r="1">
      <x v="3"/>
      <x v="71"/>
    </i>
    <i r="1">
      <x v="4"/>
      <x v="49"/>
    </i>
    <i r="1">
      <x v="5"/>
      <x v="68"/>
    </i>
    <i r="1">
      <x v="6"/>
      <x v="55"/>
    </i>
    <i r="1">
      <x v="7"/>
      <x v="2"/>
    </i>
    <i r="1">
      <x v="8"/>
      <x/>
    </i>
    <i r="1">
      <x v="9"/>
      <x v="57"/>
    </i>
    <i r="1">
      <x v="10"/>
      <x v="13"/>
    </i>
    <i r="1">
      <x v="11"/>
      <x v="12"/>
    </i>
    <i r="2">
      <x v="14"/>
    </i>
    <i r="1">
      <x v="13"/>
      <x v="11"/>
    </i>
    <i r="1">
      <x v="14"/>
      <x v="36"/>
    </i>
    <i r="1">
      <x v="15"/>
      <x v="45"/>
    </i>
    <i r="1">
      <x v="16"/>
      <x v="1"/>
    </i>
    <i r="2">
      <x v="42"/>
    </i>
    <i r="1">
      <x v="18"/>
      <x v="44"/>
    </i>
    <i r="2">
      <x v="52"/>
    </i>
    <i t="blank">
      <x v="22"/>
    </i>
    <i>
      <x v="23"/>
    </i>
    <i r="1">
      <x/>
      <x v="62"/>
    </i>
    <i r="1">
      <x v="1"/>
      <x v="61"/>
    </i>
    <i r="1">
      <x v="2"/>
      <x v="49"/>
    </i>
    <i r="1">
      <x v="3"/>
      <x v="2"/>
    </i>
    <i r="1">
      <x v="4"/>
      <x v="71"/>
    </i>
    <i r="1">
      <x v="5"/>
      <x v="37"/>
    </i>
    <i r="1">
      <x v="6"/>
      <x v="13"/>
    </i>
    <i r="1">
      <x v="7"/>
      <x/>
    </i>
    <i r="1">
      <x v="8"/>
      <x v="55"/>
    </i>
    <i r="1">
      <x v="9"/>
      <x v="57"/>
    </i>
    <i r="1">
      <x v="10"/>
      <x v="1"/>
    </i>
    <i r="1">
      <x v="11"/>
      <x v="36"/>
    </i>
    <i r="2">
      <x v="44"/>
    </i>
    <i r="1">
      <x v="13"/>
      <x v="68"/>
    </i>
    <i r="1">
      <x v="14"/>
      <x v="45"/>
    </i>
    <i r="1">
      <x v="15"/>
      <x v="22"/>
    </i>
    <i r="1">
      <x v="16"/>
      <x v="66"/>
    </i>
    <i r="1">
      <x v="17"/>
      <x v="14"/>
    </i>
    <i r="1">
      <x v="18"/>
      <x v="42"/>
    </i>
    <i r="1">
      <x v="19"/>
      <x v="46"/>
    </i>
    <i t="blank">
      <x v="23"/>
    </i>
    <i>
      <x v="24"/>
    </i>
    <i r="1">
      <x/>
      <x v="2"/>
    </i>
    <i r="1">
      <x v="1"/>
      <x v="62"/>
    </i>
    <i r="1">
      <x v="2"/>
      <x v="61"/>
    </i>
    <i r="1">
      <x v="3"/>
      <x v="71"/>
    </i>
    <i r="1">
      <x v="4"/>
      <x/>
    </i>
    <i r="2">
      <x v="49"/>
    </i>
    <i r="1">
      <x v="6"/>
      <x v="13"/>
    </i>
    <i r="1">
      <x v="7"/>
      <x v="37"/>
    </i>
    <i r="1">
      <x v="8"/>
      <x v="1"/>
    </i>
    <i r="2">
      <x v="36"/>
    </i>
    <i r="2">
      <x v="55"/>
    </i>
    <i r="1">
      <x v="11"/>
      <x v="5"/>
    </i>
    <i r="2">
      <x v="57"/>
    </i>
    <i r="1">
      <x v="13"/>
      <x v="12"/>
    </i>
    <i r="1">
      <x v="14"/>
      <x v="44"/>
    </i>
    <i r="2">
      <x v="68"/>
    </i>
    <i r="1">
      <x v="16"/>
      <x v="4"/>
    </i>
    <i r="1">
      <x v="17"/>
      <x v="14"/>
    </i>
    <i r="1">
      <x v="18"/>
      <x v="43"/>
    </i>
    <i r="2">
      <x v="45"/>
    </i>
    <i t="blank">
      <x v="24"/>
    </i>
    <i>
      <x v="25"/>
    </i>
    <i r="1">
      <x/>
      <x v="61"/>
    </i>
    <i r="1">
      <x v="1"/>
      <x v="62"/>
    </i>
    <i r="1">
      <x v="2"/>
      <x v="2"/>
    </i>
    <i r="1">
      <x v="3"/>
      <x v="37"/>
    </i>
    <i r="1">
      <x v="4"/>
      <x v="71"/>
    </i>
    <i r="1">
      <x v="5"/>
      <x/>
    </i>
    <i r="1">
      <x v="6"/>
      <x v="45"/>
    </i>
    <i r="2">
      <x v="49"/>
    </i>
    <i r="1">
      <x v="8"/>
      <x v="4"/>
    </i>
    <i r="2">
      <x v="13"/>
    </i>
    <i r="2">
      <x v="36"/>
    </i>
    <i r="1">
      <x v="11"/>
      <x v="5"/>
    </i>
    <i r="2">
      <x v="55"/>
    </i>
    <i r="1">
      <x v="13"/>
      <x v="1"/>
    </i>
    <i r="1">
      <x v="14"/>
      <x v="68"/>
    </i>
    <i r="1">
      <x v="15"/>
      <x v="8"/>
    </i>
    <i r="2">
      <x v="31"/>
    </i>
    <i r="1">
      <x v="17"/>
      <x v="44"/>
    </i>
    <i r="1">
      <x v="18"/>
      <x v="40"/>
    </i>
    <i r="2">
      <x v="54"/>
    </i>
    <i r="2">
      <x v="57"/>
    </i>
    <i t="blank">
      <x v="25"/>
    </i>
    <i>
      <x v="26"/>
    </i>
    <i r="1">
      <x/>
      <x v="49"/>
    </i>
    <i r="1">
      <x v="1"/>
      <x v="61"/>
    </i>
    <i r="1">
      <x v="2"/>
      <x/>
    </i>
    <i r="1">
      <x v="3"/>
      <x v="71"/>
    </i>
    <i r="1">
      <x v="4"/>
      <x v="62"/>
    </i>
    <i r="1">
      <x v="5"/>
      <x v="37"/>
    </i>
    <i r="1">
      <x v="6"/>
      <x v="13"/>
    </i>
    <i r="1">
      <x v="7"/>
      <x v="2"/>
    </i>
    <i r="1">
      <x v="8"/>
      <x v="4"/>
    </i>
    <i r="2">
      <x v="48"/>
    </i>
    <i r="2">
      <x v="57"/>
    </i>
    <i r="1">
      <x v="11"/>
      <x v="14"/>
    </i>
    <i r="1">
      <x v="12"/>
      <x v="69"/>
    </i>
    <i r="1">
      <x v="13"/>
      <x v="1"/>
    </i>
    <i r="2">
      <x v="36"/>
    </i>
    <i r="1">
      <x v="15"/>
      <x v="12"/>
    </i>
    <i r="1">
      <x v="16"/>
      <x v="44"/>
    </i>
    <i r="2">
      <x v="55"/>
    </i>
    <i r="2">
      <x v="66"/>
    </i>
    <i r="1">
      <x v="19"/>
      <x v="54"/>
    </i>
    <i r="2">
      <x v="59"/>
    </i>
    <i t="blank">
      <x v="26"/>
    </i>
    <i>
      <x v="27"/>
    </i>
    <i r="1">
      <x/>
      <x v="21"/>
    </i>
    <i r="1">
      <x v="1"/>
      <x v="62"/>
    </i>
    <i r="1">
      <x v="2"/>
      <x v="45"/>
    </i>
    <i r="1">
      <x v="3"/>
      <x v="61"/>
    </i>
    <i r="1">
      <x v="4"/>
      <x v="71"/>
    </i>
    <i r="1">
      <x v="5"/>
      <x/>
    </i>
    <i r="1">
      <x v="6"/>
      <x v="2"/>
    </i>
    <i r="1">
      <x v="7"/>
      <x v="37"/>
    </i>
    <i r="1">
      <x v="8"/>
      <x v="44"/>
    </i>
    <i r="1">
      <x v="9"/>
      <x v="7"/>
    </i>
    <i r="2">
      <x v="28"/>
    </i>
    <i r="1">
      <x v="11"/>
      <x v="55"/>
    </i>
    <i r="1">
      <x v="12"/>
      <x v="36"/>
    </i>
    <i r="2">
      <x v="68"/>
    </i>
    <i r="1">
      <x v="14"/>
      <x v="4"/>
    </i>
    <i r="2">
      <x v="14"/>
    </i>
    <i r="2">
      <x v="35"/>
    </i>
    <i r="1">
      <x v="17"/>
      <x v="13"/>
    </i>
    <i r="1">
      <x v="18"/>
      <x v="29"/>
    </i>
    <i r="2">
      <x v="42"/>
    </i>
    <i t="blank">
      <x v="27"/>
    </i>
    <i>
      <x v="28"/>
    </i>
    <i r="1">
      <x/>
      <x v="49"/>
    </i>
    <i r="1">
      <x v="1"/>
      <x v="62"/>
    </i>
    <i r="1">
      <x v="2"/>
      <x v="61"/>
    </i>
    <i r="1">
      <x v="3"/>
      <x v="14"/>
    </i>
    <i r="1">
      <x v="4"/>
      <x v="57"/>
    </i>
    <i r="1">
      <x v="5"/>
      <x v="55"/>
    </i>
    <i r="1">
      <x v="6"/>
      <x/>
    </i>
    <i r="1">
      <x v="7"/>
      <x v="13"/>
    </i>
    <i r="2">
      <x v="71"/>
    </i>
    <i r="1">
      <x v="9"/>
      <x v="2"/>
    </i>
    <i r="1">
      <x v="10"/>
      <x v="68"/>
    </i>
    <i r="1">
      <x v="11"/>
      <x v="26"/>
    </i>
    <i r="1">
      <x v="12"/>
      <x v="36"/>
    </i>
    <i r="2">
      <x v="45"/>
    </i>
    <i r="1">
      <x v="14"/>
      <x v="15"/>
    </i>
    <i r="1">
      <x v="15"/>
      <x v="1"/>
    </i>
    <i r="1">
      <x v="16"/>
      <x v="5"/>
    </i>
    <i r="2">
      <x v="66"/>
    </i>
    <i r="1">
      <x v="18"/>
      <x v="53"/>
    </i>
    <i r="1">
      <x v="19"/>
      <x v="65"/>
    </i>
    <i t="blank">
      <x v="28"/>
    </i>
    <i>
      <x v="29"/>
    </i>
    <i r="1">
      <x/>
      <x v="2"/>
    </i>
    <i r="1">
      <x v="1"/>
      <x v="61"/>
    </i>
    <i r="1">
      <x v="2"/>
      <x v="71"/>
    </i>
    <i r="1">
      <x v="3"/>
      <x v="62"/>
    </i>
    <i r="1">
      <x v="4"/>
      <x/>
    </i>
    <i r="1">
      <x v="5"/>
      <x v="37"/>
    </i>
    <i r="1">
      <x v="6"/>
      <x v="36"/>
    </i>
    <i r="1">
      <x v="7"/>
      <x v="44"/>
    </i>
    <i r="1">
      <x v="8"/>
      <x v="13"/>
    </i>
    <i r="1">
      <x v="9"/>
      <x v="55"/>
    </i>
    <i r="1">
      <x v="10"/>
      <x v="27"/>
    </i>
    <i r="1">
      <x v="11"/>
      <x v="4"/>
    </i>
    <i r="1">
      <x v="12"/>
      <x v="14"/>
    </i>
    <i r="2">
      <x v="35"/>
    </i>
    <i r="1">
      <x v="14"/>
      <x v="1"/>
    </i>
    <i r="2">
      <x v="68"/>
    </i>
    <i r="1">
      <x v="16"/>
      <x v="34"/>
    </i>
    <i r="1">
      <x v="17"/>
      <x v="3"/>
    </i>
    <i r="2">
      <x v="40"/>
    </i>
    <i r="1">
      <x v="19"/>
      <x v="9"/>
    </i>
    <i r="2">
      <x v="12"/>
    </i>
    <i r="2">
      <x v="22"/>
    </i>
    <i r="2">
      <x v="52"/>
    </i>
    <i r="2">
      <x v="54"/>
    </i>
    <i r="2">
      <x v="57"/>
    </i>
    <i t="blank">
      <x v="29"/>
    </i>
    <i>
      <x v="30"/>
    </i>
    <i r="1">
      <x/>
      <x v="61"/>
    </i>
    <i r="1">
      <x v="1"/>
      <x v="2"/>
    </i>
    <i r="1">
      <x v="2"/>
      <x v="62"/>
    </i>
    <i r="1">
      <x v="3"/>
      <x v="71"/>
    </i>
    <i r="1">
      <x v="4"/>
      <x/>
    </i>
    <i r="2">
      <x v="37"/>
    </i>
    <i r="1">
      <x v="6"/>
      <x v="36"/>
    </i>
    <i r="2">
      <x v="44"/>
    </i>
    <i r="1">
      <x v="8"/>
      <x v="14"/>
    </i>
    <i r="2">
      <x v="45"/>
    </i>
    <i r="1">
      <x v="10"/>
      <x v="13"/>
    </i>
    <i r="2">
      <x v="49"/>
    </i>
    <i r="2">
      <x v="55"/>
    </i>
    <i r="1">
      <x v="13"/>
      <x v="54"/>
    </i>
    <i r="1">
      <x v="14"/>
      <x v="1"/>
    </i>
    <i r="1">
      <x v="15"/>
      <x v="40"/>
    </i>
    <i r="1">
      <x v="16"/>
      <x v="43"/>
    </i>
    <i r="1">
      <x v="17"/>
      <x v="27"/>
    </i>
    <i r="1">
      <x v="18"/>
      <x v="4"/>
    </i>
    <i r="2">
      <x v="5"/>
    </i>
    <i r="2">
      <x v="57"/>
    </i>
    <i r="2">
      <x v="66"/>
    </i>
    <i r="2">
      <x v="68"/>
    </i>
    <i t="blank">
      <x v="30"/>
    </i>
    <i>
      <x v="31"/>
    </i>
    <i r="1">
      <x/>
      <x v="62"/>
    </i>
    <i r="1">
      <x v="1"/>
      <x v="61"/>
    </i>
    <i r="1">
      <x v="2"/>
      <x v="2"/>
    </i>
    <i r="1">
      <x v="3"/>
      <x v="37"/>
    </i>
    <i r="1">
      <x v="4"/>
      <x/>
    </i>
    <i r="1">
      <x v="5"/>
      <x v="1"/>
    </i>
    <i r="2">
      <x v="14"/>
    </i>
    <i r="1">
      <x v="7"/>
      <x v="12"/>
    </i>
    <i r="2">
      <x v="57"/>
    </i>
    <i r="2">
      <x v="71"/>
    </i>
    <i r="1">
      <x v="10"/>
      <x v="13"/>
    </i>
    <i r="1">
      <x v="11"/>
      <x v="36"/>
    </i>
    <i r="2">
      <x v="55"/>
    </i>
    <i r="1">
      <x v="13"/>
      <x v="42"/>
    </i>
    <i r="2">
      <x v="68"/>
    </i>
    <i r="1">
      <x v="15"/>
      <x v="52"/>
    </i>
    <i r="2">
      <x v="66"/>
    </i>
    <i r="1">
      <x v="17"/>
      <x v="48"/>
    </i>
    <i r="1">
      <x v="18"/>
      <x v="25"/>
    </i>
    <i r="1">
      <x v="19"/>
      <x v="3"/>
    </i>
    <i r="2">
      <x v="5"/>
    </i>
    <i r="2">
      <x v="44"/>
    </i>
    <i r="2">
      <x v="49"/>
    </i>
    <i t="blank">
      <x v="31"/>
    </i>
    <i>
      <x v="32"/>
    </i>
    <i r="1">
      <x/>
      <x v="61"/>
    </i>
    <i r="1">
      <x v="1"/>
      <x v="62"/>
    </i>
    <i r="1">
      <x v="2"/>
      <x/>
    </i>
    <i r="1">
      <x v="3"/>
      <x v="71"/>
    </i>
    <i r="1">
      <x v="4"/>
      <x v="2"/>
    </i>
    <i r="1">
      <x v="5"/>
      <x v="49"/>
    </i>
    <i r="1">
      <x v="6"/>
      <x v="37"/>
    </i>
    <i r="1">
      <x v="7"/>
      <x v="13"/>
    </i>
    <i r="1">
      <x v="8"/>
      <x v="44"/>
    </i>
    <i r="1">
      <x v="9"/>
      <x v="57"/>
    </i>
    <i r="1">
      <x v="10"/>
      <x v="1"/>
    </i>
    <i r="2">
      <x v="12"/>
    </i>
    <i r="1">
      <x v="12"/>
      <x v="36"/>
    </i>
    <i r="1">
      <x v="13"/>
      <x v="4"/>
    </i>
    <i r="2">
      <x v="14"/>
    </i>
    <i r="2">
      <x v="55"/>
    </i>
    <i r="1">
      <x v="16"/>
      <x v="48"/>
    </i>
    <i r="1">
      <x v="17"/>
      <x v="52"/>
    </i>
    <i r="1">
      <x v="18"/>
      <x v="25"/>
    </i>
    <i r="2">
      <x v="28"/>
    </i>
    <i r="2">
      <x v="66"/>
    </i>
    <i r="2">
      <x v="68"/>
    </i>
    <i t="blank">
      <x v="32"/>
    </i>
    <i>
      <x v="33"/>
    </i>
    <i r="1">
      <x/>
      <x v="71"/>
    </i>
    <i r="1">
      <x v="1"/>
      <x v="2"/>
    </i>
    <i r="1">
      <x v="2"/>
      <x v="61"/>
    </i>
    <i r="1">
      <x v="3"/>
      <x v="62"/>
    </i>
    <i r="1">
      <x v="4"/>
      <x v="13"/>
    </i>
    <i r="1">
      <x v="5"/>
      <x/>
    </i>
    <i r="2">
      <x v="37"/>
    </i>
    <i r="1">
      <x v="7"/>
      <x v="14"/>
    </i>
    <i r="2">
      <x v="36"/>
    </i>
    <i r="1">
      <x v="9"/>
      <x v="49"/>
    </i>
    <i r="1">
      <x v="10"/>
      <x v="1"/>
    </i>
    <i r="1">
      <x v="11"/>
      <x v="12"/>
    </i>
    <i r="1">
      <x v="12"/>
      <x v="44"/>
    </i>
    <i r="1">
      <x v="13"/>
      <x v="10"/>
    </i>
    <i r="1">
      <x v="14"/>
      <x v="60"/>
    </i>
    <i r="1">
      <x v="15"/>
      <x v="3"/>
    </i>
    <i r="1">
      <x v="16"/>
      <x v="4"/>
    </i>
    <i r="2">
      <x v="5"/>
    </i>
    <i r="2">
      <x v="25"/>
    </i>
    <i r="2">
      <x v="27"/>
    </i>
    <i r="2">
      <x v="33"/>
    </i>
    <i r="2">
      <x v="68"/>
    </i>
    <i t="blank">
      <x v="33"/>
    </i>
    <i>
      <x v="34"/>
    </i>
    <i r="1">
      <x/>
      <x v="61"/>
    </i>
    <i r="1">
      <x v="1"/>
      <x v="45"/>
    </i>
    <i r="2">
      <x v="53"/>
    </i>
    <i r="1">
      <x v="3"/>
      <x v="55"/>
    </i>
    <i r="1">
      <x v="4"/>
      <x v="36"/>
    </i>
    <i r="1">
      <x v="5"/>
      <x v="62"/>
    </i>
    <i r="1">
      <x v="6"/>
      <x v="2"/>
    </i>
    <i r="1">
      <x v="7"/>
      <x v="54"/>
    </i>
    <i r="1">
      <x v="8"/>
      <x v="37"/>
    </i>
    <i r="1">
      <x v="9"/>
      <x v="1"/>
    </i>
    <i r="2">
      <x v="33"/>
    </i>
    <i r="1">
      <x v="11"/>
      <x v="27"/>
    </i>
    <i r="2">
      <x v="29"/>
    </i>
    <i r="2">
      <x v="57"/>
    </i>
    <i r="2">
      <x v="60"/>
    </i>
    <i r="1">
      <x v="15"/>
      <x v="10"/>
    </i>
    <i r="2">
      <x v="16"/>
    </i>
    <i r="2">
      <x v="34"/>
    </i>
    <i r="2">
      <x v="44"/>
    </i>
    <i r="2">
      <x v="49"/>
    </i>
    <i t="blank">
      <x v="34"/>
    </i>
    <i>
      <x v="35"/>
    </i>
    <i r="1">
      <x/>
      <x v="62"/>
    </i>
    <i r="1">
      <x v="1"/>
      <x v="2"/>
    </i>
    <i r="1">
      <x v="2"/>
      <x v="71"/>
    </i>
    <i r="1">
      <x v="3"/>
      <x v="61"/>
    </i>
    <i r="1">
      <x v="4"/>
      <x v="14"/>
    </i>
    <i r="2">
      <x v="37"/>
    </i>
    <i r="1">
      <x v="6"/>
      <x/>
    </i>
    <i r="1">
      <x v="7"/>
      <x v="36"/>
    </i>
    <i r="1">
      <x v="8"/>
      <x v="13"/>
    </i>
    <i r="2">
      <x v="52"/>
    </i>
    <i r="1">
      <x v="10"/>
      <x v="4"/>
    </i>
    <i r="1">
      <x v="11"/>
      <x v="5"/>
    </i>
    <i r="2">
      <x v="7"/>
    </i>
    <i r="2">
      <x v="28"/>
    </i>
    <i r="2">
      <x v="42"/>
    </i>
    <i r="2">
      <x v="67"/>
    </i>
    <i r="1">
      <x v="16"/>
      <x v="10"/>
    </i>
    <i r="2">
      <x v="11"/>
    </i>
    <i r="2">
      <x v="12"/>
    </i>
    <i r="2">
      <x v="40"/>
    </i>
    <i r="2">
      <x v="45"/>
    </i>
    <i r="2">
      <x v="66"/>
    </i>
    <i t="blank">
      <x v="35"/>
    </i>
    <i>
      <x v="36"/>
    </i>
    <i r="1">
      <x/>
      <x v="62"/>
    </i>
    <i r="1">
      <x v="1"/>
      <x v="49"/>
    </i>
    <i r="1">
      <x v="2"/>
      <x v="61"/>
    </i>
    <i r="1">
      <x v="3"/>
      <x/>
    </i>
    <i r="1">
      <x v="4"/>
      <x v="55"/>
    </i>
    <i r="1">
      <x v="5"/>
      <x v="71"/>
    </i>
    <i r="1">
      <x v="6"/>
      <x v="45"/>
    </i>
    <i r="1">
      <x v="7"/>
      <x v="13"/>
    </i>
    <i r="2">
      <x v="36"/>
    </i>
    <i r="2">
      <x v="57"/>
    </i>
    <i r="2">
      <x v="68"/>
    </i>
    <i r="1">
      <x v="11"/>
      <x v="14"/>
    </i>
    <i r="2">
      <x v="53"/>
    </i>
    <i r="1">
      <x v="13"/>
      <x v="66"/>
    </i>
    <i r="1">
      <x v="14"/>
      <x v="65"/>
    </i>
    <i r="1">
      <x v="15"/>
      <x v="2"/>
    </i>
    <i r="2">
      <x v="37"/>
    </i>
    <i r="2">
      <x v="42"/>
    </i>
    <i r="1">
      <x v="18"/>
      <x v="39"/>
    </i>
    <i r="1">
      <x v="19"/>
      <x v="10"/>
    </i>
    <i r="2">
      <x v="12"/>
    </i>
    <i r="2">
      <x v="15"/>
    </i>
    <i r="2">
      <x v="24"/>
    </i>
    <i r="2">
      <x v="35"/>
    </i>
    <i t="blank">
      <x v="36"/>
    </i>
    <i>
      <x v="37"/>
    </i>
    <i r="1">
      <x/>
      <x v="62"/>
    </i>
    <i r="1">
      <x v="1"/>
      <x v="36"/>
    </i>
    <i r="1">
      <x v="2"/>
      <x v="2"/>
    </i>
    <i r="1">
      <x v="3"/>
      <x v="61"/>
    </i>
    <i r="1">
      <x v="4"/>
      <x v="55"/>
    </i>
    <i r="1">
      <x v="5"/>
      <x v="45"/>
    </i>
    <i r="1">
      <x v="6"/>
      <x/>
    </i>
    <i r="2">
      <x v="34"/>
    </i>
    <i r="2">
      <x v="44"/>
    </i>
    <i r="1">
      <x v="9"/>
      <x v="54"/>
    </i>
    <i r="1">
      <x v="10"/>
      <x v="1"/>
    </i>
    <i r="1">
      <x v="11"/>
      <x v="71"/>
    </i>
    <i r="1">
      <x v="12"/>
      <x v="37"/>
    </i>
    <i r="1">
      <x v="13"/>
      <x v="49"/>
    </i>
    <i r="1">
      <x v="14"/>
      <x v="17"/>
    </i>
    <i r="1">
      <x v="15"/>
      <x v="9"/>
    </i>
    <i r="2">
      <x v="13"/>
    </i>
    <i r="2">
      <x v="35"/>
    </i>
    <i r="1">
      <x v="18"/>
      <x v="53"/>
    </i>
    <i r="2">
      <x v="64"/>
    </i>
    <i t="blank">
      <x v="37"/>
    </i>
    <i>
      <x v="38"/>
    </i>
    <i r="1">
      <x/>
      <x v="57"/>
    </i>
    <i r="1">
      <x v="1"/>
      <x v="36"/>
    </i>
    <i r="2">
      <x v="37"/>
    </i>
    <i r="1">
      <x v="3"/>
      <x/>
    </i>
    <i r="1">
      <x v="4"/>
      <x v="2"/>
    </i>
    <i r="2">
      <x v="55"/>
    </i>
    <i r="1">
      <x v="6"/>
      <x v="13"/>
    </i>
    <i r="2">
      <x v="61"/>
    </i>
    <i r="2">
      <x v="62"/>
    </i>
    <i r="2">
      <x v="71"/>
    </i>
    <i r="2">
      <x v="73"/>
    </i>
    <i r="1">
      <x v="11"/>
      <x v="14"/>
    </i>
    <i r="2">
      <x v="28"/>
    </i>
    <i r="2">
      <x v="49"/>
    </i>
    <i r="2">
      <x v="58"/>
    </i>
    <i r="1">
      <x v="15"/>
      <x v="19"/>
    </i>
    <i r="2">
      <x v="44"/>
    </i>
    <i r="2">
      <x v="51"/>
    </i>
    <i r="2">
      <x v="68"/>
    </i>
    <i r="1">
      <x v="19"/>
      <x v="1"/>
    </i>
    <i r="2">
      <x v="3"/>
    </i>
    <i r="2">
      <x v="34"/>
    </i>
    <i r="2">
      <x v="42"/>
    </i>
    <i r="2">
      <x v="45"/>
    </i>
    <i r="2">
      <x v="54"/>
    </i>
    <i r="2">
      <x v="59"/>
    </i>
    <i r="2">
      <x v="70"/>
    </i>
    <i r="2">
      <x v="72"/>
    </i>
    <i t="blank">
      <x v="38"/>
    </i>
    <i>
      <x v="39"/>
    </i>
    <i r="1">
      <x/>
      <x v="61"/>
    </i>
    <i r="1">
      <x v="1"/>
      <x v="62"/>
    </i>
    <i r="1">
      <x v="2"/>
      <x v="71"/>
    </i>
    <i r="1">
      <x v="3"/>
      <x v="55"/>
    </i>
    <i r="1">
      <x v="4"/>
      <x v="57"/>
    </i>
    <i r="1">
      <x v="5"/>
      <x v="68"/>
    </i>
    <i r="1">
      <x v="6"/>
      <x v="2"/>
    </i>
    <i r="2">
      <x v="13"/>
    </i>
    <i r="1">
      <x v="8"/>
      <x v="14"/>
    </i>
    <i r="2">
      <x v="66"/>
    </i>
    <i r="1">
      <x v="10"/>
      <x/>
    </i>
    <i r="2">
      <x v="1"/>
    </i>
    <i r="2">
      <x v="37"/>
    </i>
    <i r="2">
      <x v="67"/>
    </i>
    <i r="1">
      <x v="14"/>
      <x v="31"/>
    </i>
    <i r="1">
      <x v="15"/>
      <x v="45"/>
    </i>
    <i r="1">
      <x v="16"/>
      <x v="47"/>
    </i>
    <i r="1">
      <x v="17"/>
      <x v="49"/>
    </i>
    <i r="1">
      <x v="18"/>
      <x v="35"/>
    </i>
    <i r="2">
      <x v="60"/>
    </i>
    <i t="blank">
      <x v="39"/>
    </i>
    <i>
      <x v="40"/>
    </i>
    <i r="1">
      <x/>
      <x v="61"/>
    </i>
    <i r="1">
      <x v="1"/>
      <x v="71"/>
    </i>
    <i r="1">
      <x v="2"/>
      <x v="2"/>
    </i>
    <i r="1">
      <x v="3"/>
      <x v="37"/>
    </i>
    <i r="1">
      <x v="4"/>
      <x/>
    </i>
    <i r="1">
      <x v="5"/>
      <x v="62"/>
    </i>
    <i r="1">
      <x v="6"/>
      <x v="1"/>
    </i>
    <i r="2">
      <x v="4"/>
    </i>
    <i r="2">
      <x v="5"/>
    </i>
    <i r="2">
      <x v="13"/>
    </i>
    <i r="2">
      <x v="14"/>
    </i>
    <i r="2">
      <x v="44"/>
    </i>
    <i r="1">
      <x v="12"/>
      <x v="39"/>
    </i>
    <i r="1">
      <x v="13"/>
      <x v="28"/>
    </i>
    <i r="2">
      <x v="30"/>
    </i>
    <i r="2">
      <x v="32"/>
    </i>
    <i r="2">
      <x v="33"/>
    </i>
    <i r="2">
      <x v="36"/>
    </i>
    <i r="2">
      <x v="43"/>
    </i>
    <i r="2">
      <x v="48"/>
    </i>
    <i r="2">
      <x v="52"/>
    </i>
    <i r="2">
      <x v="54"/>
    </i>
    <i r="2">
      <x v="68"/>
    </i>
    <i t="blank">
      <x v="40"/>
    </i>
    <i>
      <x v="41"/>
    </i>
    <i r="1">
      <x/>
      <x v="2"/>
    </i>
    <i r="1">
      <x v="1"/>
      <x v="61"/>
    </i>
    <i r="1">
      <x v="2"/>
      <x v="71"/>
    </i>
    <i r="1">
      <x v="3"/>
      <x v="12"/>
    </i>
    <i r="1">
      <x v="4"/>
      <x v="13"/>
    </i>
    <i r="2">
      <x v="44"/>
    </i>
    <i r="1">
      <x v="6"/>
      <x v="5"/>
    </i>
    <i r="2">
      <x v="62"/>
    </i>
    <i r="1">
      <x v="8"/>
      <x v="4"/>
    </i>
    <i r="1">
      <x v="9"/>
      <x v="1"/>
    </i>
    <i r="2">
      <x v="43"/>
    </i>
    <i r="1">
      <x v="11"/>
      <x v="37"/>
    </i>
    <i r="1">
      <x v="12"/>
      <x/>
    </i>
    <i r="2">
      <x v="14"/>
    </i>
    <i r="2">
      <x v="34"/>
    </i>
    <i r="1">
      <x v="15"/>
      <x v="9"/>
    </i>
    <i r="1">
      <x v="16"/>
      <x v="3"/>
    </i>
    <i r="2">
      <x v="6"/>
    </i>
    <i r="2">
      <x v="23"/>
    </i>
    <i r="2">
      <x v="52"/>
    </i>
    <i r="2">
      <x v="57"/>
    </i>
    <i r="2">
      <x v="68"/>
    </i>
    <i t="blank">
      <x v="41"/>
    </i>
    <i>
      <x v="42"/>
    </i>
    <i r="1">
      <x/>
      <x v="2"/>
    </i>
    <i r="1">
      <x v="1"/>
      <x v="12"/>
    </i>
    <i r="1">
      <x v="2"/>
      <x/>
    </i>
    <i r="2">
      <x v="61"/>
    </i>
    <i r="1">
      <x v="4"/>
      <x v="13"/>
    </i>
    <i r="2">
      <x v="14"/>
    </i>
    <i r="1">
      <x v="6"/>
      <x v="62"/>
    </i>
    <i r="2">
      <x v="71"/>
    </i>
    <i r="1">
      <x v="8"/>
      <x v="7"/>
    </i>
    <i r="2">
      <x v="22"/>
    </i>
    <i r="2">
      <x v="36"/>
    </i>
    <i r="2">
      <x v="37"/>
    </i>
    <i r="2">
      <x v="52"/>
    </i>
    <i r="2">
      <x v="66"/>
    </i>
    <i r="1">
      <x v="14"/>
      <x v="1"/>
    </i>
    <i r="2">
      <x v="9"/>
    </i>
    <i r="2">
      <x v="26"/>
    </i>
    <i r="2">
      <x v="55"/>
    </i>
    <i r="2">
      <x v="56"/>
    </i>
    <i r="2">
      <x v="57"/>
    </i>
    <i r="2">
      <x v="68"/>
    </i>
    <i t="blank">
      <x v="42"/>
    </i>
    <i>
      <x v="43"/>
    </i>
    <i r="1">
      <x/>
      <x v="2"/>
    </i>
    <i r="1">
      <x v="1"/>
      <x v="49"/>
    </i>
    <i r="1">
      <x v="2"/>
      <x v="62"/>
    </i>
    <i r="1">
      <x v="3"/>
      <x v="61"/>
    </i>
    <i r="1">
      <x v="4"/>
      <x v="37"/>
    </i>
    <i r="1">
      <x v="5"/>
      <x v="71"/>
    </i>
    <i r="1">
      <x v="6"/>
      <x v="13"/>
    </i>
    <i r="1">
      <x v="7"/>
      <x v="55"/>
    </i>
    <i r="1">
      <x v="8"/>
      <x v="57"/>
    </i>
    <i r="1">
      <x v="9"/>
      <x v="36"/>
    </i>
    <i r="2">
      <x v="45"/>
    </i>
    <i r="1">
      <x v="11"/>
      <x v="68"/>
    </i>
    <i r="1">
      <x v="12"/>
      <x v="1"/>
    </i>
    <i r="1">
      <x v="13"/>
      <x v="10"/>
    </i>
    <i r="2">
      <x v="31"/>
    </i>
    <i r="1">
      <x v="15"/>
      <x v="5"/>
    </i>
    <i r="2">
      <x v="12"/>
    </i>
    <i r="2">
      <x v="14"/>
    </i>
    <i r="2">
      <x v="28"/>
    </i>
    <i r="2">
      <x v="34"/>
    </i>
    <i r="2">
      <x v="44"/>
    </i>
    <i r="2">
      <x v="60"/>
    </i>
    <i t="blank">
      <x v="43"/>
    </i>
    <i>
      <x v="44"/>
    </i>
    <i r="1">
      <x/>
      <x v="62"/>
    </i>
    <i r="1">
      <x v="1"/>
      <x v="13"/>
    </i>
    <i r="2">
      <x v="37"/>
    </i>
    <i r="1">
      <x v="3"/>
      <x v="61"/>
    </i>
    <i r="2">
      <x v="71"/>
    </i>
    <i r="1">
      <x v="5"/>
      <x/>
    </i>
    <i r="2">
      <x v="2"/>
    </i>
    <i r="1">
      <x v="7"/>
      <x v="55"/>
    </i>
    <i r="1">
      <x v="8"/>
      <x v="3"/>
    </i>
    <i r="2">
      <x v="24"/>
    </i>
    <i r="2">
      <x v="35"/>
    </i>
    <i r="2">
      <x v="39"/>
    </i>
    <i r="2">
      <x v="45"/>
    </i>
    <i r="2">
      <x v="52"/>
    </i>
    <i r="2">
      <x v="60"/>
    </i>
    <i r="2">
      <x v="66"/>
    </i>
    <i r="1">
      <x v="16"/>
      <x v="5"/>
    </i>
    <i r="2">
      <x v="11"/>
    </i>
    <i r="2">
      <x v="36"/>
    </i>
    <i r="2">
      <x v="38"/>
    </i>
    <i r="2">
      <x v="40"/>
    </i>
    <i r="2">
      <x v="44"/>
    </i>
    <i r="2">
      <x v="68"/>
    </i>
    <i t="blank">
      <x v="4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46">
      <pivotArea field="2" type="button" dataOnly="0" labelOnly="1" outline="0" axis="axisRow" fieldPosition="0"/>
    </format>
    <format dxfId="645">
      <pivotArea outline="0" fieldPosition="0">
        <references count="1">
          <reference field="4294967294" count="1">
            <x v="0"/>
          </reference>
        </references>
      </pivotArea>
    </format>
    <format dxfId="644">
      <pivotArea outline="0" fieldPosition="0">
        <references count="1">
          <reference field="4294967294" count="1">
            <x v="1"/>
          </reference>
        </references>
      </pivotArea>
    </format>
    <format dxfId="643">
      <pivotArea outline="0" fieldPosition="0">
        <references count="1">
          <reference field="4294967294" count="1">
            <x v="2"/>
          </reference>
        </references>
      </pivotArea>
    </format>
    <format dxfId="642">
      <pivotArea outline="0" fieldPosition="0">
        <references count="1">
          <reference field="4294967294" count="1">
            <x v="3"/>
          </reference>
        </references>
      </pivotArea>
    </format>
    <format dxfId="641">
      <pivotArea outline="0" fieldPosition="0">
        <references count="1">
          <reference field="4294967294" count="1">
            <x v="4"/>
          </reference>
        </references>
      </pivotArea>
    </format>
    <format dxfId="640">
      <pivotArea outline="0" fieldPosition="0">
        <references count="1">
          <reference field="4294967294" count="1">
            <x v="5"/>
          </reference>
        </references>
      </pivotArea>
    </format>
    <format dxfId="639">
      <pivotArea outline="0" fieldPosition="0">
        <references count="1">
          <reference field="4294967294" count="1">
            <x v="6"/>
          </reference>
        </references>
      </pivotArea>
    </format>
    <format dxfId="638">
      <pivotArea field="2" type="button" dataOnly="0" labelOnly="1" outline="0" axis="axisRow" fieldPosition="0"/>
    </format>
    <format dxfId="6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6">
      <pivotArea field="2" type="button" dataOnly="0" labelOnly="1" outline="0" axis="axisRow" fieldPosition="0"/>
    </format>
    <format dxfId="6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4">
      <pivotArea field="2" type="button" dataOnly="0" labelOnly="1" outline="0" axis="axisRow" fieldPosition="0"/>
    </format>
    <format dxfId="6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26250C-1E8E-4547-957E-951F325F12E3}" name="LTBL_08000" displayName="LTBL_08000" ref="B4:I20" totalsRowCount="1">
  <autoFilter ref="B4:I19" xr:uid="{F826250C-1E8E-4547-957E-951F325F12E3}"/>
  <tableColumns count="8">
    <tableColumn id="9" xr3:uid="{7609E77A-3D5A-4D86-9464-35C6A93FE58D}" name="産業大分類" totalsRowLabel="合計" totalsRowDxfId="629"/>
    <tableColumn id="10" xr3:uid="{3DE60AB4-5F50-48B9-8FEB-04109482AC7E}" name="総数／事業所数" totalsRowFunction="custom" totalsRowDxfId="628" dataCellStyle="桁区切り" totalsRowCellStyle="桁区切り">
      <totalsRowFormula>SUM(LTBL_08000[総数／事業所数])</totalsRowFormula>
    </tableColumn>
    <tableColumn id="11" xr3:uid="{BD1C04B9-885F-489F-A57E-06CA0D0EEE2F}" name="総数／構成比" dataDxfId="627"/>
    <tableColumn id="12" xr3:uid="{E5D76FD4-8853-48CB-9842-294ABF0CA1C5}" name="個人／事業所数" totalsRowFunction="sum" totalsRowDxfId="626" dataCellStyle="桁区切り" totalsRowCellStyle="桁区切り"/>
    <tableColumn id="13" xr3:uid="{3ACEEEE5-5753-49A7-9F49-5F5E84B32D1A}" name="個人／構成比" dataDxfId="625"/>
    <tableColumn id="14" xr3:uid="{A552AD71-B9DE-44CB-BEDA-0A65F8BC5BA5}" name="法人／事業所数" totalsRowFunction="sum" totalsRowDxfId="624" dataCellStyle="桁区切り" totalsRowCellStyle="桁区切り"/>
    <tableColumn id="15" xr3:uid="{F81AEE9E-A0E1-4FDF-B906-2210330EB81E}" name="法人／構成比" dataDxfId="623"/>
    <tableColumn id="16" xr3:uid="{530CED92-86DD-4402-B360-09963A7323D6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E4A3B4C-D3DB-4C84-98A7-2A496EBD57E9}" name="LTBL_08203" displayName="LTBL_08203" ref="B4:I20" totalsRowCount="1">
  <autoFilter ref="B4:I19" xr:uid="{5E4A3B4C-D3DB-4C84-98A7-2A496EBD57E9}"/>
  <tableColumns count="8">
    <tableColumn id="9" xr3:uid="{F1C7A317-39CE-43C1-869D-8C2663342DAA}" name="産業大分類" totalsRowLabel="合計" totalsRowDxfId="587"/>
    <tableColumn id="10" xr3:uid="{5BEA6097-1497-4176-9795-873392551D01}" name="総数／事業所数" totalsRowFunction="custom" totalsRowDxfId="586" dataCellStyle="桁区切り" totalsRowCellStyle="桁区切り">
      <totalsRowFormula>SUM(LTBL_08203[総数／事業所数])</totalsRowFormula>
    </tableColumn>
    <tableColumn id="11" xr3:uid="{9DF340C9-2206-4E3D-A373-F332F9ED5BE0}" name="総数／構成比" dataDxfId="585"/>
    <tableColumn id="12" xr3:uid="{E6749E54-ACC2-4597-8721-FCFAEE465724}" name="個人／事業所数" totalsRowFunction="sum" totalsRowDxfId="584" dataCellStyle="桁区切り" totalsRowCellStyle="桁区切り"/>
    <tableColumn id="13" xr3:uid="{AB0A5521-9209-4FE5-BEE2-25B3F689F990}" name="個人／構成比" dataDxfId="583"/>
    <tableColumn id="14" xr3:uid="{FF2440CB-95A5-4526-80A5-8BAD889E633F}" name="法人／事業所数" totalsRowFunction="sum" totalsRowDxfId="582" dataCellStyle="桁区切り" totalsRowCellStyle="桁区切り"/>
    <tableColumn id="15" xr3:uid="{3BE3ADAF-03F3-4BA4-B5BD-7BE52E823AAB}" name="法人／構成比" dataDxfId="581"/>
    <tableColumn id="16" xr3:uid="{6EAFB3A6-8328-4CAF-894D-15E919C34F5C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9391437F-E197-4329-80D9-5CA893C6D10E}" name="LTBL_08302" displayName="LTBL_08302" ref="B4:I20" totalsRowCount="1">
  <autoFilter ref="B4:I19" xr:uid="{9391437F-E197-4329-80D9-5CA893C6D10E}"/>
  <tableColumns count="8">
    <tableColumn id="9" xr3:uid="{5C666521-6911-40B0-8BAB-249143E4D063}" name="産業大分類" totalsRowLabel="合計" totalsRowDxfId="167"/>
    <tableColumn id="10" xr3:uid="{AF1CAD12-A514-4125-9E8A-CD12D4B4754E}" name="総数／事業所数" totalsRowFunction="custom" totalsRowDxfId="166" dataCellStyle="桁区切り" totalsRowCellStyle="桁区切り">
      <totalsRowFormula>SUM(LTBL_08302[総数／事業所数])</totalsRowFormula>
    </tableColumn>
    <tableColumn id="11" xr3:uid="{D0B14882-F13E-4DBF-BB28-A90D4784A1BC}" name="総数／構成比" dataDxfId="165"/>
    <tableColumn id="12" xr3:uid="{8DB87032-DC2C-4E38-97BD-E919A3CE0259}" name="個人／事業所数" totalsRowFunction="sum" totalsRowDxfId="164" dataCellStyle="桁区切り" totalsRowCellStyle="桁区切り"/>
    <tableColumn id="13" xr3:uid="{91A41251-AC1F-421A-9DBE-E6BD709EF0E1}" name="個人／構成比" dataDxfId="163"/>
    <tableColumn id="14" xr3:uid="{FA3A4126-6AFB-4E44-8576-0426AA4A0D78}" name="法人／事業所数" totalsRowFunction="sum" totalsRowDxfId="162" dataCellStyle="桁区切り" totalsRowCellStyle="桁区切り"/>
    <tableColumn id="15" xr3:uid="{68EA517E-6771-476D-A582-53B4B2BFE7AA}" name="法人／構成比" dataDxfId="161"/>
    <tableColumn id="16" xr3:uid="{DF02C262-13B3-4BE3-9E72-7568AEA46115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87E9B-1898-43CA-88D4-FA9AB22F7C1A}" name="M_TABLE_08302" displayName="M_TABLE_08302" ref="B23:I45" totalsRowShown="0">
  <autoFilter ref="B23:I45" xr:uid="{00087E9B-1898-43CA-88D4-FA9AB22F7C1A}"/>
  <tableColumns count="8">
    <tableColumn id="9" xr3:uid="{25910238-C780-4509-90DC-7998E08F095A}" name="産業中分類上位２０"/>
    <tableColumn id="10" xr3:uid="{9414D9AC-0140-4390-8E15-10B5FA8218A3}" name="総数／事業所数" dataCellStyle="桁区切り"/>
    <tableColumn id="11" xr3:uid="{BC0524F3-43F7-45EA-B286-DE0412D6B0C1}" name="総数／構成比" dataDxfId="159"/>
    <tableColumn id="12" xr3:uid="{7560F6D3-D617-40AB-B7B9-6FE055BA8EAF}" name="個人／事業所数" dataCellStyle="桁区切り"/>
    <tableColumn id="13" xr3:uid="{65FF5C74-58A0-415F-8726-C406071CD282}" name="個人／構成比" dataDxfId="158"/>
    <tableColumn id="14" xr3:uid="{CC14F385-EED8-409F-BF05-D3BCE0ED982D}" name="法人／事業所数" dataCellStyle="桁区切り"/>
    <tableColumn id="15" xr3:uid="{EF78F13E-BE1D-4A7E-9944-9F4E5A80B12B}" name="法人／構成比" dataDxfId="157"/>
    <tableColumn id="16" xr3:uid="{09A17DA2-A22B-455D-91AF-5F44714AF8D4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0704A8B-39E6-4FE6-B116-7F69C071F475}" name="S_TABLE_08302" displayName="S_TABLE_08302" ref="B48:I70" totalsRowShown="0">
  <autoFilter ref="B48:I70" xr:uid="{E0704A8B-39E6-4FE6-B116-7F69C071F475}"/>
  <tableColumns count="8">
    <tableColumn id="9" xr3:uid="{6F7276A1-2763-416C-A356-96C3AA58D13F}" name="産業小分類上位２０"/>
    <tableColumn id="10" xr3:uid="{4DCBDB42-9417-4F9C-87E4-12F3AE023495}" name="総数／事業所数" dataCellStyle="桁区切り"/>
    <tableColumn id="11" xr3:uid="{C7B43CAD-7E82-411B-AEA1-328A7DADC1A4}" name="総数／構成比" dataDxfId="156"/>
    <tableColumn id="12" xr3:uid="{AE2A19D2-C751-45FB-A55E-9DD162704479}" name="個人／事業所数" dataCellStyle="桁区切り"/>
    <tableColumn id="13" xr3:uid="{2BE0A104-4E20-4CA1-AC4D-916783CB65F1}" name="個人／構成比" dataDxfId="155"/>
    <tableColumn id="14" xr3:uid="{A3D12099-9A2C-40E9-A1C7-C0CC90B792A5}" name="法人／事業所数" dataCellStyle="桁区切り"/>
    <tableColumn id="15" xr3:uid="{E6BE389B-9E7E-4E9C-AE8E-DEDBE9407A57}" name="法人／構成比" dataDxfId="154"/>
    <tableColumn id="16" xr3:uid="{F88E0C9B-5354-40CE-B6A0-2BAD6CEFBB85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1BF0920F-6D23-4E94-8BFA-180AE41C4BC8}" name="LTBL_08309" displayName="LTBL_08309" ref="B4:I20" totalsRowCount="1">
  <autoFilter ref="B4:I19" xr:uid="{1BF0920F-6D23-4E94-8BFA-180AE41C4BC8}"/>
  <tableColumns count="8">
    <tableColumn id="9" xr3:uid="{1667598A-4B02-4142-A985-ED99291CC4BA}" name="産業大分類" totalsRowLabel="合計" totalsRowDxfId="153"/>
    <tableColumn id="10" xr3:uid="{7E58B936-99B5-4CB2-AF81-B808A533A7B8}" name="総数／事業所数" totalsRowFunction="custom" totalsRowDxfId="152" dataCellStyle="桁区切り" totalsRowCellStyle="桁区切り">
      <totalsRowFormula>SUM(LTBL_08309[総数／事業所数])</totalsRowFormula>
    </tableColumn>
    <tableColumn id="11" xr3:uid="{633C8DB7-AC5C-4B70-BEE1-FCDEF2DA95FD}" name="総数／構成比" dataDxfId="151"/>
    <tableColumn id="12" xr3:uid="{9BC6541A-FB0D-4C21-BF52-3ADED8D36F50}" name="個人／事業所数" totalsRowFunction="sum" totalsRowDxfId="150" dataCellStyle="桁区切り" totalsRowCellStyle="桁区切り"/>
    <tableColumn id="13" xr3:uid="{E0696A49-CC11-4350-BB6B-3E5493641579}" name="個人／構成比" dataDxfId="149"/>
    <tableColumn id="14" xr3:uid="{832BFCC1-3FF7-4922-9872-BBD010E02175}" name="法人／事業所数" totalsRowFunction="sum" totalsRowDxfId="148" dataCellStyle="桁区切り" totalsRowCellStyle="桁区切り"/>
    <tableColumn id="15" xr3:uid="{DF185E4D-B619-48F6-94C4-F38A345E4AFE}" name="法人／構成比" dataDxfId="147"/>
    <tableColumn id="16" xr3:uid="{2F8D8C9A-10D8-4E0F-A447-2C1F08F546AD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1D75C6F1-55F4-4380-846C-B170C0E9C8FE}" name="M_TABLE_08309" displayName="M_TABLE_08309" ref="B23:I44" totalsRowShown="0">
  <autoFilter ref="B23:I44" xr:uid="{1D75C6F1-55F4-4380-846C-B170C0E9C8FE}"/>
  <tableColumns count="8">
    <tableColumn id="9" xr3:uid="{D66546CC-31B3-450D-9DDA-FF35F5AF99EA}" name="産業中分類上位２０"/>
    <tableColumn id="10" xr3:uid="{D9F0C3F4-69C8-44B6-8E67-8CA9D5587350}" name="総数／事業所数" dataCellStyle="桁区切り"/>
    <tableColumn id="11" xr3:uid="{A4ABB0B3-3623-4071-95CE-D6A77CAF0548}" name="総数／構成比" dataDxfId="145"/>
    <tableColumn id="12" xr3:uid="{92439B22-CF21-4C19-8538-3AE500736B0D}" name="個人／事業所数" dataCellStyle="桁区切り"/>
    <tableColumn id="13" xr3:uid="{5AFFD530-FA7C-4A76-A2F8-FB34E1485EAF}" name="個人／構成比" dataDxfId="144"/>
    <tableColumn id="14" xr3:uid="{2D904436-ED00-4F88-B475-477CF42143DE}" name="法人／事業所数" dataCellStyle="桁区切り"/>
    <tableColumn id="15" xr3:uid="{65A277D6-31EF-4802-B83C-8B42F25324BA}" name="法人／構成比" dataDxfId="143"/>
    <tableColumn id="16" xr3:uid="{60467A5A-D7D5-4FC9-AD77-8EDD70619FEE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CD17478C-6C7B-497E-950A-F3B160813B3C}" name="S_TABLE_08309" displayName="S_TABLE_08309" ref="B47:I67" totalsRowShown="0">
  <autoFilter ref="B47:I67" xr:uid="{CD17478C-6C7B-497E-950A-F3B160813B3C}"/>
  <tableColumns count="8">
    <tableColumn id="9" xr3:uid="{BD7CE328-3F9C-4223-A226-8D850F9A1778}" name="産業小分類上位２０"/>
    <tableColumn id="10" xr3:uid="{4CE5B93C-4BEB-4095-892B-59CF0B566A9E}" name="総数／事業所数" dataCellStyle="桁区切り"/>
    <tableColumn id="11" xr3:uid="{C1A481C0-A204-431B-9765-51CEC68856AD}" name="総数／構成比" dataDxfId="142"/>
    <tableColumn id="12" xr3:uid="{C370B7D9-0DC7-495E-A720-E5D1A1722CAC}" name="個人／事業所数" dataCellStyle="桁区切り"/>
    <tableColumn id="13" xr3:uid="{25751ABC-DFAA-4759-9607-C580083CF685}" name="個人／構成比" dataDxfId="141"/>
    <tableColumn id="14" xr3:uid="{CF7E2A8C-AB10-4124-9301-469B670C4F5F}" name="法人／事業所数" dataCellStyle="桁区切り"/>
    <tableColumn id="15" xr3:uid="{854106DF-F77C-466D-9FE9-E7620B4D01B9}" name="法人／構成比" dataDxfId="140"/>
    <tableColumn id="16" xr3:uid="{9F13F805-1129-4D12-8A18-4BDF4C8A03BD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B50B95A-E5CA-49E2-901C-C60801E7B3E9}" name="LTBL_08310" displayName="LTBL_08310" ref="B4:I20" totalsRowCount="1">
  <autoFilter ref="B4:I19" xr:uid="{CB50B95A-E5CA-49E2-901C-C60801E7B3E9}"/>
  <tableColumns count="8">
    <tableColumn id="9" xr3:uid="{312D265C-A33C-4001-AF9B-0572FB509927}" name="産業大分類" totalsRowLabel="合計" totalsRowDxfId="139"/>
    <tableColumn id="10" xr3:uid="{D6977EE4-292C-4FEF-88B9-1E8CBB9329BA}" name="総数／事業所数" totalsRowFunction="custom" totalsRowDxfId="138" dataCellStyle="桁区切り" totalsRowCellStyle="桁区切り">
      <totalsRowFormula>SUM(LTBL_08310[総数／事業所数])</totalsRowFormula>
    </tableColumn>
    <tableColumn id="11" xr3:uid="{DBFF22F7-E4A0-4033-83AC-1C26EAF7B2A5}" name="総数／構成比" dataDxfId="137"/>
    <tableColumn id="12" xr3:uid="{31033C7C-1C48-4AB1-A299-7116CD6A7036}" name="個人／事業所数" totalsRowFunction="sum" totalsRowDxfId="136" dataCellStyle="桁区切り" totalsRowCellStyle="桁区切り"/>
    <tableColumn id="13" xr3:uid="{EC479BBB-14E5-4EFA-9519-74EE28859E52}" name="個人／構成比" dataDxfId="135"/>
    <tableColumn id="14" xr3:uid="{70602AA4-1019-4EA1-ADFB-C99EA609D3B1}" name="法人／事業所数" totalsRowFunction="sum" totalsRowDxfId="134" dataCellStyle="桁区切り" totalsRowCellStyle="桁区切り"/>
    <tableColumn id="15" xr3:uid="{10C6D22A-C865-4A19-A625-142ACED47206}" name="法人／構成比" dataDxfId="133"/>
    <tableColumn id="16" xr3:uid="{4F1F840B-BDE2-47EB-9A3B-6D77B1BB816F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78D0B4F-FF7D-4642-81A7-BAE466478E1E}" name="M_TABLE_08310" displayName="M_TABLE_08310" ref="B23:I46" totalsRowShown="0">
  <autoFilter ref="B23:I46" xr:uid="{778D0B4F-FF7D-4642-81A7-BAE466478E1E}"/>
  <tableColumns count="8">
    <tableColumn id="9" xr3:uid="{2F736E27-3863-4DF4-8682-FCBD90248527}" name="産業中分類上位２０"/>
    <tableColumn id="10" xr3:uid="{6BB729EC-EF09-4028-A2E7-BE7732B3D758}" name="総数／事業所数" dataCellStyle="桁区切り"/>
    <tableColumn id="11" xr3:uid="{E661E5A3-5CF1-4CC9-B887-C5DC0D9D9C25}" name="総数／構成比" dataDxfId="131"/>
    <tableColumn id="12" xr3:uid="{C917D312-6681-4638-A16F-CDA26DAD52D0}" name="個人／事業所数" dataCellStyle="桁区切り"/>
    <tableColumn id="13" xr3:uid="{1AC560D8-5B96-4894-9B31-EF0E2A906310}" name="個人／構成比" dataDxfId="130"/>
    <tableColumn id="14" xr3:uid="{F048F9EE-812A-4AD3-8698-D614FFF74220}" name="法人／事業所数" dataCellStyle="桁区切り"/>
    <tableColumn id="15" xr3:uid="{F421C663-07C2-47A5-95D7-4BCB5170CC2E}" name="法人／構成比" dataDxfId="129"/>
    <tableColumn id="16" xr3:uid="{720F2293-F0E5-4654-9E5C-113E3894EC88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458FF01A-011A-4A3B-B2CA-0A481CD6AC29}" name="S_TABLE_08310" displayName="S_TABLE_08310" ref="B49:I71" totalsRowShown="0">
  <autoFilter ref="B49:I71" xr:uid="{458FF01A-011A-4A3B-B2CA-0A481CD6AC29}"/>
  <tableColumns count="8">
    <tableColumn id="9" xr3:uid="{700B8267-1172-4350-B50B-DDCE8BB94EC2}" name="産業小分類上位２０"/>
    <tableColumn id="10" xr3:uid="{C3CD3889-4073-4192-949F-610EB33F23C0}" name="総数／事業所数" dataCellStyle="桁区切り"/>
    <tableColumn id="11" xr3:uid="{BD113F3C-650B-4992-B529-819F088DDAB1}" name="総数／構成比" dataDxfId="128"/>
    <tableColumn id="12" xr3:uid="{540FADA6-3419-46BC-9146-8B085AA49A4F}" name="個人／事業所数" dataCellStyle="桁区切り"/>
    <tableColumn id="13" xr3:uid="{19F665DE-F4E9-4F02-85A7-F1381C0E985F}" name="個人／構成比" dataDxfId="127"/>
    <tableColumn id="14" xr3:uid="{1DC7B5C0-963C-44AC-8BA2-0742F0DA2FF5}" name="法人／事業所数" dataCellStyle="桁区切り"/>
    <tableColumn id="15" xr3:uid="{137D6293-7401-420C-92D7-B3607EEC70D0}" name="法人／構成比" dataDxfId="126"/>
    <tableColumn id="16" xr3:uid="{7F035541-D532-449B-9400-10CC08003956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EF1E7DA-233E-4E4E-A324-BC3ABEA8B693}" name="LTBL_08341" displayName="LTBL_08341" ref="B4:I20" totalsRowCount="1">
  <autoFilter ref="B4:I19" xr:uid="{8EF1E7DA-233E-4E4E-A324-BC3ABEA8B693}"/>
  <tableColumns count="8">
    <tableColumn id="9" xr3:uid="{80C96F3A-B21A-4A46-B261-3026C4D9B7AA}" name="産業大分類" totalsRowLabel="合計" totalsRowDxfId="125"/>
    <tableColumn id="10" xr3:uid="{BB141E0D-430E-4732-A35C-57D963864A90}" name="総数／事業所数" totalsRowFunction="custom" totalsRowDxfId="124" dataCellStyle="桁区切り" totalsRowCellStyle="桁区切り">
      <totalsRowFormula>SUM(LTBL_08341[総数／事業所数])</totalsRowFormula>
    </tableColumn>
    <tableColumn id="11" xr3:uid="{FA694B1B-4312-4F0A-9CCD-3A2C412FE5DB}" name="総数／構成比" dataDxfId="123"/>
    <tableColumn id="12" xr3:uid="{9A7AC574-4222-425C-9C2E-56E23B9A1BB3}" name="個人／事業所数" totalsRowFunction="sum" totalsRowDxfId="122" dataCellStyle="桁区切り" totalsRowCellStyle="桁区切り"/>
    <tableColumn id="13" xr3:uid="{3EEB5C26-096A-4F90-B478-51154834B363}" name="個人／構成比" dataDxfId="121"/>
    <tableColumn id="14" xr3:uid="{7C4406B0-5A27-4B62-AAF0-ED1B8134AB53}" name="法人／事業所数" totalsRowFunction="sum" totalsRowDxfId="120" dataCellStyle="桁区切り" totalsRowCellStyle="桁区切り"/>
    <tableColumn id="15" xr3:uid="{DF32AC78-EA4E-4840-8295-1FAA20709610}" name="法人／構成比" dataDxfId="119"/>
    <tableColumn id="16" xr3:uid="{3EE42DEF-4F15-451E-999E-30C195A21849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4022EE6-95BB-43DC-AAC9-6010B4256231}" name="M_TABLE_08203" displayName="M_TABLE_08203" ref="B23:I43" totalsRowShown="0">
  <autoFilter ref="B23:I43" xr:uid="{D4022EE6-95BB-43DC-AAC9-6010B4256231}"/>
  <tableColumns count="8">
    <tableColumn id="9" xr3:uid="{A2697AC9-CB77-4B38-96AF-56B68967B213}" name="産業中分類上位２０"/>
    <tableColumn id="10" xr3:uid="{4BC270F2-308F-4A81-B747-9F064ED95328}" name="総数／事業所数" dataCellStyle="桁区切り"/>
    <tableColumn id="11" xr3:uid="{7B67830B-25FA-4C7E-A757-47B2025D6088}" name="総数／構成比" dataDxfId="579"/>
    <tableColumn id="12" xr3:uid="{EB689633-C5BE-45E7-AFDE-5B335B9EC84B}" name="個人／事業所数" dataCellStyle="桁区切り"/>
    <tableColumn id="13" xr3:uid="{889B5E4C-1506-4A54-B9D8-94F3DB761BF9}" name="個人／構成比" dataDxfId="578"/>
    <tableColumn id="14" xr3:uid="{2A236418-8FFE-4095-991E-E2F6D78F9AA8}" name="法人／事業所数" dataCellStyle="桁区切り"/>
    <tableColumn id="15" xr3:uid="{E6108149-2684-49A8-B082-3425734C0C41}" name="法人／構成比" dataDxfId="577"/>
    <tableColumn id="16" xr3:uid="{D200A156-A0D2-48F6-8F42-D1AEBCA414A0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2F0306E6-BADF-4E16-9887-BCC6C8BE3FBC}" name="M_TABLE_08341" displayName="M_TABLE_08341" ref="B23:I48" totalsRowShown="0">
  <autoFilter ref="B23:I48" xr:uid="{2F0306E6-BADF-4E16-9887-BCC6C8BE3FBC}"/>
  <tableColumns count="8">
    <tableColumn id="9" xr3:uid="{A7A24CBF-546F-4227-B36D-06344A486D46}" name="産業中分類上位２０"/>
    <tableColumn id="10" xr3:uid="{BFC87C77-4E9A-4722-94D8-EB44CC3E5259}" name="総数／事業所数" dataCellStyle="桁区切り"/>
    <tableColumn id="11" xr3:uid="{DE564F4E-7D05-48CF-B221-C6B7F5FAD8FF}" name="総数／構成比" dataDxfId="117"/>
    <tableColumn id="12" xr3:uid="{F398B3F4-8909-4B5A-B5F4-41A83F6C45F8}" name="個人／事業所数" dataCellStyle="桁区切り"/>
    <tableColumn id="13" xr3:uid="{3313DB6D-8BB9-498C-900E-DE78ACE1A823}" name="個人／構成比" dataDxfId="116"/>
    <tableColumn id="14" xr3:uid="{3B04C335-50E4-4D7D-9BA8-9BB611D44399}" name="法人／事業所数" dataCellStyle="桁区切り"/>
    <tableColumn id="15" xr3:uid="{E7C805DD-4443-43E6-BA3A-5F1177A6257E}" name="法人／構成比" dataDxfId="115"/>
    <tableColumn id="16" xr3:uid="{901BA30D-6277-4F8F-979D-76556C098F01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B16130B5-2194-4CE2-95C7-D88E64301794}" name="S_TABLE_08341" displayName="S_TABLE_08341" ref="B51:I75" totalsRowShown="0">
  <autoFilter ref="B51:I75" xr:uid="{B16130B5-2194-4CE2-95C7-D88E64301794}"/>
  <tableColumns count="8">
    <tableColumn id="9" xr3:uid="{80215F85-C83C-4686-B7B0-4D03A203054F}" name="産業小分類上位２０"/>
    <tableColumn id="10" xr3:uid="{783509FC-6673-4440-A025-018178C6A751}" name="総数／事業所数" dataCellStyle="桁区切り"/>
    <tableColumn id="11" xr3:uid="{997EA9BD-92D3-4E61-B9FC-79AB72B02847}" name="総数／構成比" dataDxfId="114"/>
    <tableColumn id="12" xr3:uid="{2544138A-C6D8-4445-A085-8B57CC1975A2}" name="個人／事業所数" dataCellStyle="桁区切り"/>
    <tableColumn id="13" xr3:uid="{F6F703AB-8C32-43B4-BC36-FED0CA93CC9D}" name="個人／構成比" dataDxfId="113"/>
    <tableColumn id="14" xr3:uid="{640C5CAC-3CF8-4DA0-802D-3536F266B810}" name="法人／事業所数" dataCellStyle="桁区切り"/>
    <tableColumn id="15" xr3:uid="{5487322D-3D88-4568-9A43-04B7168E27DE}" name="法人／構成比" dataDxfId="112"/>
    <tableColumn id="16" xr3:uid="{4DBD7EFD-749E-4AB0-8E14-9312FC02ED16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3E01A82D-1581-4384-82DD-3F121B133CA5}" name="LTBL_08364" displayName="LTBL_08364" ref="B4:I20" totalsRowCount="1">
  <autoFilter ref="B4:I19" xr:uid="{3E01A82D-1581-4384-82DD-3F121B133CA5}"/>
  <tableColumns count="8">
    <tableColumn id="9" xr3:uid="{86C4F355-2915-4895-92D8-C18C72EBCDCF}" name="産業大分類" totalsRowLabel="合計" totalsRowDxfId="111"/>
    <tableColumn id="10" xr3:uid="{65E149C8-C979-4675-866F-5CE344A47B4A}" name="総数／事業所数" totalsRowFunction="custom" totalsRowDxfId="110" dataCellStyle="桁区切り" totalsRowCellStyle="桁区切り">
      <totalsRowFormula>SUM(LTBL_08364[総数／事業所数])</totalsRowFormula>
    </tableColumn>
    <tableColumn id="11" xr3:uid="{B2B7CC53-1BA4-49FB-B7C2-AB056AC39BE2}" name="総数／構成比" dataDxfId="109"/>
    <tableColumn id="12" xr3:uid="{57579D18-83EC-4B80-AAA9-463E64D2BE76}" name="個人／事業所数" totalsRowFunction="sum" totalsRowDxfId="108" dataCellStyle="桁区切り" totalsRowCellStyle="桁区切り"/>
    <tableColumn id="13" xr3:uid="{23AD158A-2459-45D1-B410-E60673BCF872}" name="個人／構成比" dataDxfId="107"/>
    <tableColumn id="14" xr3:uid="{11632F4E-B4A7-4FB6-AD7D-DA584E14DE57}" name="法人／事業所数" totalsRowFunction="sum" totalsRowDxfId="106" dataCellStyle="桁区切り" totalsRowCellStyle="桁区切り"/>
    <tableColumn id="15" xr3:uid="{E6614458-AE4E-42B2-8E38-BB15EC5898C8}" name="法人／構成比" dataDxfId="105"/>
    <tableColumn id="16" xr3:uid="{581C8DC0-72D3-4963-9D6E-E7E94A7DB6A5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3DC6A6EA-A627-4ECF-BDF8-66FC7E241EE7}" name="M_TABLE_08364" displayName="M_TABLE_08364" ref="B23:I46" totalsRowShown="0">
  <autoFilter ref="B23:I46" xr:uid="{3DC6A6EA-A627-4ECF-BDF8-66FC7E241EE7}"/>
  <tableColumns count="8">
    <tableColumn id="9" xr3:uid="{03A8C9B4-22EB-4D94-AA06-18F55DD48D16}" name="産業中分類上位２０"/>
    <tableColumn id="10" xr3:uid="{AC29E779-2560-42FE-92EA-1AC6D26617A4}" name="総数／事業所数" dataCellStyle="桁区切り"/>
    <tableColumn id="11" xr3:uid="{B564322B-45C7-4A75-9752-50F370507075}" name="総数／構成比" dataDxfId="103"/>
    <tableColumn id="12" xr3:uid="{10B1BD15-2683-4177-B5C1-AD31B6714F87}" name="個人／事業所数" dataCellStyle="桁区切り"/>
    <tableColumn id="13" xr3:uid="{49EE64A3-1AD1-4439-B6B3-B62AC5F7B0E5}" name="個人／構成比" dataDxfId="102"/>
    <tableColumn id="14" xr3:uid="{E512B818-8E6A-4D31-90A2-1008A05334B1}" name="法人／事業所数" dataCellStyle="桁区切り"/>
    <tableColumn id="15" xr3:uid="{BA752982-2402-40B7-8E01-2DCDDDA5CA4D}" name="法人／構成比" dataDxfId="101"/>
    <tableColumn id="16" xr3:uid="{81FE2353-D08F-4102-883D-86F0F6370926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3EDCE915-075D-4125-98F4-D42FF61490A5}" name="S_TABLE_08364" displayName="S_TABLE_08364" ref="B49:I69" totalsRowShown="0">
  <autoFilter ref="B49:I69" xr:uid="{3EDCE915-075D-4125-98F4-D42FF61490A5}"/>
  <tableColumns count="8">
    <tableColumn id="9" xr3:uid="{02591FA4-49CD-4761-84E8-D6215A23A21D}" name="産業小分類上位２０"/>
    <tableColumn id="10" xr3:uid="{491E52E4-C186-4A82-9362-ADD0DAA2CEB6}" name="総数／事業所数" dataCellStyle="桁区切り"/>
    <tableColumn id="11" xr3:uid="{29F3DDBB-1060-4528-872C-7A99BF529A5C}" name="総数／構成比" dataDxfId="100"/>
    <tableColumn id="12" xr3:uid="{2090703D-3E45-42D9-B2B1-20ED81F02784}" name="個人／事業所数" dataCellStyle="桁区切り"/>
    <tableColumn id="13" xr3:uid="{34CB3302-3218-4CE4-A332-E17BF9610E4A}" name="個人／構成比" dataDxfId="99"/>
    <tableColumn id="14" xr3:uid="{4265EF55-A113-4705-9F3F-6E4C1AABBBFB}" name="法人／事業所数" dataCellStyle="桁区切り"/>
    <tableColumn id="15" xr3:uid="{14B7C3D4-A1AE-4F1A-9725-A1052353B6B7}" name="法人／構成比" dataDxfId="98"/>
    <tableColumn id="16" xr3:uid="{0D9525F7-6A3C-46D6-BB2B-B1E7B5BB7D8E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2B7A8CD7-4AA4-47AF-A66F-98498EFF5CCB}" name="LTBL_08442" displayName="LTBL_08442" ref="B4:I20" totalsRowCount="1">
  <autoFilter ref="B4:I19" xr:uid="{2B7A8CD7-4AA4-47AF-A66F-98498EFF5CCB}"/>
  <tableColumns count="8">
    <tableColumn id="9" xr3:uid="{B6D5EB63-9B7A-4A09-A89B-96E52CC799F4}" name="産業大分類" totalsRowLabel="合計" totalsRowDxfId="97"/>
    <tableColumn id="10" xr3:uid="{113CDE64-0971-4F85-B304-4B0E0B73C84C}" name="総数／事業所数" totalsRowFunction="custom" totalsRowDxfId="96" dataCellStyle="桁区切り" totalsRowCellStyle="桁区切り">
      <totalsRowFormula>SUM(LTBL_08442[総数／事業所数])</totalsRowFormula>
    </tableColumn>
    <tableColumn id="11" xr3:uid="{B6872F90-8499-42A0-998A-CC19C1264991}" name="総数／構成比" dataDxfId="95"/>
    <tableColumn id="12" xr3:uid="{95FB5F05-A12E-41A9-81DA-0AE9488A94BF}" name="個人／事業所数" totalsRowFunction="sum" totalsRowDxfId="94" dataCellStyle="桁区切り" totalsRowCellStyle="桁区切り"/>
    <tableColumn id="13" xr3:uid="{DD2E8028-0C47-4FFC-8A38-F7947A2032AB}" name="個人／構成比" dataDxfId="93"/>
    <tableColumn id="14" xr3:uid="{57F18E89-C829-421A-AAF8-179B04848C91}" name="法人／事業所数" totalsRowFunction="sum" totalsRowDxfId="92" dataCellStyle="桁区切り" totalsRowCellStyle="桁区切り"/>
    <tableColumn id="15" xr3:uid="{0EA10EF7-586A-4CFB-93E1-B12C3BD971A7}" name="法人／構成比" dataDxfId="91"/>
    <tableColumn id="16" xr3:uid="{DE85816A-2245-4695-B70B-CC2FB4C628D8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B29D23BF-0A86-478A-A8AD-615C6573DBFC}" name="M_TABLE_08442" displayName="M_TABLE_08442" ref="B23:I44" totalsRowShown="0">
  <autoFilter ref="B23:I44" xr:uid="{B29D23BF-0A86-478A-A8AD-615C6573DBFC}"/>
  <tableColumns count="8">
    <tableColumn id="9" xr3:uid="{439FC3B1-8795-48D4-82C0-8D9E36884349}" name="産業中分類上位２０"/>
    <tableColumn id="10" xr3:uid="{2481BF4A-D3F8-4DB4-915E-A3DACADA591B}" name="総数／事業所数" dataCellStyle="桁区切り"/>
    <tableColumn id="11" xr3:uid="{FF93A866-1854-45A3-9240-DC459C48A5EB}" name="総数／構成比" dataDxfId="89"/>
    <tableColumn id="12" xr3:uid="{6F7304CF-4E90-45E0-97FE-E39B945FEF43}" name="個人／事業所数" dataCellStyle="桁区切り"/>
    <tableColumn id="13" xr3:uid="{7B44D5CA-0FF7-482F-A17B-9213634FC4F9}" name="個人／構成比" dataDxfId="88"/>
    <tableColumn id="14" xr3:uid="{3B1A3BDC-F522-4111-B603-10DA62CBB30C}" name="法人／事業所数" dataCellStyle="桁区切り"/>
    <tableColumn id="15" xr3:uid="{C54CFF87-0F72-44DF-B8ED-646C8EBC588E}" name="法人／構成比" dataDxfId="87"/>
    <tableColumn id="16" xr3:uid="{BBAB977A-2942-4A55-B6C9-490B677244B2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4BD6AD9-5534-419F-AB14-83D781203799}" name="S_TABLE_08442" displayName="S_TABLE_08442" ref="B47:I75" totalsRowShown="0">
  <autoFilter ref="B47:I75" xr:uid="{74BD6AD9-5534-419F-AB14-83D781203799}"/>
  <tableColumns count="8">
    <tableColumn id="9" xr3:uid="{3478BDE0-9DEA-4D03-A96E-8442DF460C06}" name="産業小分類上位２０"/>
    <tableColumn id="10" xr3:uid="{388357B6-F1E5-4489-82A6-120E1A2C9BC2}" name="総数／事業所数" dataCellStyle="桁区切り"/>
    <tableColumn id="11" xr3:uid="{65F188ED-B2C4-4AFC-BDE1-C90AC3E2FCAA}" name="総数／構成比" dataDxfId="86"/>
    <tableColumn id="12" xr3:uid="{F6F5F669-847F-40A8-AB43-7E7473E0E5C5}" name="個人／事業所数" dataCellStyle="桁区切り"/>
    <tableColumn id="13" xr3:uid="{43BF5A02-A557-46E3-AD5C-E0803B933C8B}" name="個人／構成比" dataDxfId="85"/>
    <tableColumn id="14" xr3:uid="{E08F16CE-F18D-4DBB-BE03-29B22FC4A8AB}" name="法人／事業所数" dataCellStyle="桁区切り"/>
    <tableColumn id="15" xr3:uid="{7AF9D059-EB6D-4455-B563-64BEC4821691}" name="法人／構成比" dataDxfId="84"/>
    <tableColumn id="16" xr3:uid="{DCCF9027-1EF6-40CD-958E-F2762861AFA1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C3009AB-035B-43CC-AA52-A4C830EC20DA}" name="LTBL_08443" displayName="LTBL_08443" ref="B4:I20" totalsRowCount="1">
  <autoFilter ref="B4:I19" xr:uid="{9C3009AB-035B-43CC-AA52-A4C830EC20DA}"/>
  <tableColumns count="8">
    <tableColumn id="9" xr3:uid="{CD132B4F-BBE6-40DB-98FB-29155E2056AB}" name="産業大分類" totalsRowLabel="合計" totalsRowDxfId="83"/>
    <tableColumn id="10" xr3:uid="{AF6BB169-58CB-4715-8001-7234547D138D}" name="総数／事業所数" totalsRowFunction="custom" totalsRowDxfId="82" dataCellStyle="桁区切り" totalsRowCellStyle="桁区切り">
      <totalsRowFormula>SUM(LTBL_08443[総数／事業所数])</totalsRowFormula>
    </tableColumn>
    <tableColumn id="11" xr3:uid="{9586CC77-B46F-4CB5-A984-4901CDCD5576}" name="総数／構成比" dataDxfId="81"/>
    <tableColumn id="12" xr3:uid="{7E480E43-C708-469C-9E98-FAB160AA751E}" name="個人／事業所数" totalsRowFunction="sum" totalsRowDxfId="80" dataCellStyle="桁区切り" totalsRowCellStyle="桁区切り"/>
    <tableColumn id="13" xr3:uid="{9C33F1AD-26B7-4C97-961F-09D30BA15A6B}" name="個人／構成比" dataDxfId="79"/>
    <tableColumn id="14" xr3:uid="{330637E9-EE84-4068-A0B5-EEA299715A1B}" name="法人／事業所数" totalsRowFunction="sum" totalsRowDxfId="78" dataCellStyle="桁区切り" totalsRowCellStyle="桁区切り"/>
    <tableColumn id="15" xr3:uid="{AFD86085-0520-42C6-8074-55C6D059772B}" name="法人／構成比" dataDxfId="77"/>
    <tableColumn id="16" xr3:uid="{DA272309-F711-4EED-9DED-CDF4AB2C660B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9641CACB-1060-4D1D-B70C-9A34253873BA}" name="M_TABLE_08443" displayName="M_TABLE_08443" ref="B23:I43" totalsRowShown="0">
  <autoFilter ref="B23:I43" xr:uid="{9641CACB-1060-4D1D-B70C-9A34253873BA}"/>
  <tableColumns count="8">
    <tableColumn id="9" xr3:uid="{90EB37A4-152F-4A18-AC01-B509B2798F7D}" name="産業中分類上位２０"/>
    <tableColumn id="10" xr3:uid="{76286362-259B-48F1-90C6-B42835D0121C}" name="総数／事業所数" dataCellStyle="桁区切り"/>
    <tableColumn id="11" xr3:uid="{B1FF860D-6C34-4CCA-876A-1B834B714BE5}" name="総数／構成比" dataDxfId="75"/>
    <tableColumn id="12" xr3:uid="{00853436-AA93-4AA0-8478-A3FD32BC3460}" name="個人／事業所数" dataCellStyle="桁区切り"/>
    <tableColumn id="13" xr3:uid="{FEC70343-6838-4F3D-8D7D-21B3A0AD1C25}" name="個人／構成比" dataDxfId="74"/>
    <tableColumn id="14" xr3:uid="{5311FB49-019F-4F40-A3C1-60EDAF637EC7}" name="法人／事業所数" dataCellStyle="桁区切り"/>
    <tableColumn id="15" xr3:uid="{CC9EFFE4-2ADD-4B4D-AC05-A6C114F4CCDA}" name="法人／構成比" dataDxfId="73"/>
    <tableColumn id="16" xr3:uid="{0A9D68D1-627C-471E-9FF7-B0CA3E802E25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F43D2EA-46D2-4664-98B4-C0CC6E19713D}" name="S_TABLE_08203" displayName="S_TABLE_08203" ref="B46:I66" totalsRowShown="0">
  <autoFilter ref="B46:I66" xr:uid="{BF43D2EA-46D2-4664-98B4-C0CC6E19713D}"/>
  <tableColumns count="8">
    <tableColumn id="9" xr3:uid="{C567830A-95FB-4A20-8F1F-AF356CEF23F0}" name="産業小分類上位２０"/>
    <tableColumn id="10" xr3:uid="{C6175CDC-C1FC-47EB-8DC1-77D4B421B145}" name="総数／事業所数" dataCellStyle="桁区切り"/>
    <tableColumn id="11" xr3:uid="{0713E647-41A6-4961-B3A6-1E77A580A0CB}" name="総数／構成比" dataDxfId="576"/>
    <tableColumn id="12" xr3:uid="{A1BAD377-7064-4E9B-B13B-889453CE69F4}" name="個人／事業所数" dataCellStyle="桁区切り"/>
    <tableColumn id="13" xr3:uid="{A8781E50-7F4C-4131-9AB5-C507EAAC9E66}" name="個人／構成比" dataDxfId="575"/>
    <tableColumn id="14" xr3:uid="{9DB8975F-623D-4C1E-94B8-F1FAB78BC607}" name="法人／事業所数" dataCellStyle="桁区切り"/>
    <tableColumn id="15" xr3:uid="{5B0551DC-D443-45D9-8DDF-6678D2C9A190}" name="法人／構成比" dataDxfId="574"/>
    <tableColumn id="16" xr3:uid="{E94F02C8-BA4D-4FB4-AB94-ACB7E2002BBC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C79EBB53-BC7D-45AD-99D6-58820ACA86A0}" name="S_TABLE_08443" displayName="S_TABLE_08443" ref="B46:I66" totalsRowShown="0">
  <autoFilter ref="B46:I66" xr:uid="{C79EBB53-BC7D-45AD-99D6-58820ACA86A0}"/>
  <tableColumns count="8">
    <tableColumn id="9" xr3:uid="{688503C4-B33E-4568-B175-95CD21DAD9F9}" name="産業小分類上位２０"/>
    <tableColumn id="10" xr3:uid="{E88CEAA7-1EAF-46DE-AB10-FD36353BFAFD}" name="総数／事業所数" dataCellStyle="桁区切り"/>
    <tableColumn id="11" xr3:uid="{76B0F6FE-60D6-439B-A5E0-60FB1BBCD7A8}" name="総数／構成比" dataDxfId="72"/>
    <tableColumn id="12" xr3:uid="{6BE61E78-ADD8-4A04-A1B6-160A14429B81}" name="個人／事業所数" dataCellStyle="桁区切り"/>
    <tableColumn id="13" xr3:uid="{CD982E74-37EF-4C55-BB88-6406A8A18282}" name="個人／構成比" dataDxfId="71"/>
    <tableColumn id="14" xr3:uid="{5821556A-A4FC-448A-A0B7-48A4A61BCBE2}" name="法人／事業所数" dataCellStyle="桁区切り"/>
    <tableColumn id="15" xr3:uid="{0B87408B-3AD3-41B7-A966-45BEB447A1CD}" name="法人／構成比" dataDxfId="70"/>
    <tableColumn id="16" xr3:uid="{AC3FD152-420E-4997-87CB-AD1A9FBA5580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5210A51-78AD-438A-A4EB-7CDBC07796C1}" name="LTBL_08447" displayName="LTBL_08447" ref="B4:I20" totalsRowCount="1">
  <autoFilter ref="B4:I19" xr:uid="{E5210A51-78AD-438A-A4EB-7CDBC07796C1}"/>
  <tableColumns count="8">
    <tableColumn id="9" xr3:uid="{93AC91FF-23CF-4915-B459-E7F13E4DD948}" name="産業大分類" totalsRowLabel="合計" totalsRowDxfId="69"/>
    <tableColumn id="10" xr3:uid="{DFAA5589-4506-43A6-9C98-59DFE9FB09C4}" name="総数／事業所数" totalsRowFunction="custom" totalsRowDxfId="68" dataCellStyle="桁区切り" totalsRowCellStyle="桁区切り">
      <totalsRowFormula>SUM(LTBL_08447[総数／事業所数])</totalsRowFormula>
    </tableColumn>
    <tableColumn id="11" xr3:uid="{2A42DCE6-0087-4E7C-B02C-D7AF56C55B08}" name="総数／構成比" dataDxfId="67"/>
    <tableColumn id="12" xr3:uid="{089A17E4-AE16-46F1-9120-9F4A9E39292C}" name="個人／事業所数" totalsRowFunction="sum" totalsRowDxfId="66" dataCellStyle="桁区切り" totalsRowCellStyle="桁区切り"/>
    <tableColumn id="13" xr3:uid="{6DCBBC03-83F7-4EFD-9B02-F19676A66779}" name="個人／構成比" dataDxfId="65"/>
    <tableColumn id="14" xr3:uid="{E4D624A9-BD99-48E8-A9DB-2643B258C6E6}" name="法人／事業所数" totalsRowFunction="sum" totalsRowDxfId="64" dataCellStyle="桁区切り" totalsRowCellStyle="桁区切り"/>
    <tableColumn id="15" xr3:uid="{78E9B42C-6908-41B1-A298-74084A771E23}" name="法人／構成比" dataDxfId="63"/>
    <tableColumn id="16" xr3:uid="{1B089549-9CFD-4CE8-83AC-E1A467C6C16C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74530A6-95CF-42D1-9BF7-336CDAC63DA6}" name="M_TABLE_08447" displayName="M_TABLE_08447" ref="B23:I52" totalsRowShown="0">
  <autoFilter ref="B23:I52" xr:uid="{774530A6-95CF-42D1-9BF7-336CDAC63DA6}"/>
  <tableColumns count="8">
    <tableColumn id="9" xr3:uid="{85F8AEB6-C088-4075-AA38-E53E99DDB552}" name="産業中分類上位２０"/>
    <tableColumn id="10" xr3:uid="{1BEEF9CC-2CE0-4246-B1FA-4F249E84368A}" name="総数／事業所数" dataCellStyle="桁区切り"/>
    <tableColumn id="11" xr3:uid="{51844F97-2A61-44C8-B18D-7820F91DA972}" name="総数／構成比" dataDxfId="61"/>
    <tableColumn id="12" xr3:uid="{ADBB765D-DE9A-46A5-B26D-9538AAF1A77A}" name="個人／事業所数" dataCellStyle="桁区切り"/>
    <tableColumn id="13" xr3:uid="{F0B64E8D-C3A8-4D64-9BB8-5147278D9A71}" name="個人／構成比" dataDxfId="60"/>
    <tableColumn id="14" xr3:uid="{47BD483E-1D84-490F-AA7F-74AB18D32774}" name="法人／事業所数" dataCellStyle="桁区切り"/>
    <tableColumn id="15" xr3:uid="{AB8F7A44-ACD0-4330-BDFE-7373BCB78776}" name="法人／構成比" dataDxfId="59"/>
    <tableColumn id="16" xr3:uid="{A94B3EB5-222C-4F32-9096-A1F6DF2DF3A6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8E68E73E-C9D3-4104-93CC-69BFE2C260C8}" name="S_TABLE_08447" displayName="S_TABLE_08447" ref="B55:I78" totalsRowShown="0">
  <autoFilter ref="B55:I78" xr:uid="{8E68E73E-C9D3-4104-93CC-69BFE2C260C8}"/>
  <tableColumns count="8">
    <tableColumn id="9" xr3:uid="{AD352910-43B2-41D5-A26A-DB0631514335}" name="産業小分類上位２０"/>
    <tableColumn id="10" xr3:uid="{D907AE18-9DF1-4A89-8324-33573B186BE9}" name="総数／事業所数" dataCellStyle="桁区切り"/>
    <tableColumn id="11" xr3:uid="{45B660C0-5F82-4509-90C7-1A45FD9677CA}" name="総数／構成比" dataDxfId="58"/>
    <tableColumn id="12" xr3:uid="{C796D63E-9EFE-4F12-8243-F5F3BE69831A}" name="個人／事業所数" dataCellStyle="桁区切り"/>
    <tableColumn id="13" xr3:uid="{2636E634-9091-45EB-BBB1-E16C0AC3FF97}" name="個人／構成比" dataDxfId="57"/>
    <tableColumn id="14" xr3:uid="{77705D0B-6C37-4251-99D8-FFD0CE8E2F9D}" name="法人／事業所数" dataCellStyle="桁区切り"/>
    <tableColumn id="15" xr3:uid="{1C051D53-B73F-4373-AC31-74337EBBE9B0}" name="法人／構成比" dataDxfId="56"/>
    <tableColumn id="16" xr3:uid="{C6A437AC-22AC-4EEA-822D-950688004FFA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178E848-706D-41FE-8996-C1B52AD981BF}" name="LTBL_08521" displayName="LTBL_08521" ref="B4:I20" totalsRowCount="1">
  <autoFilter ref="B4:I19" xr:uid="{8178E848-706D-41FE-8996-C1B52AD981BF}"/>
  <tableColumns count="8">
    <tableColumn id="9" xr3:uid="{1ACE2403-B1D7-48C9-9B88-889EAFD714FA}" name="産業大分類" totalsRowLabel="合計" totalsRowDxfId="55"/>
    <tableColumn id="10" xr3:uid="{2B523DFE-5A5B-4DCB-AB68-DB1096A23C95}" name="総数／事業所数" totalsRowFunction="custom" totalsRowDxfId="54" dataCellStyle="桁区切り" totalsRowCellStyle="桁区切り">
      <totalsRowFormula>SUM(LTBL_08521[総数／事業所数])</totalsRowFormula>
    </tableColumn>
    <tableColumn id="11" xr3:uid="{3480EFAC-9431-4011-B18C-96E426C0616D}" name="総数／構成比" dataDxfId="53"/>
    <tableColumn id="12" xr3:uid="{AFAAA940-4347-424E-8B72-C3C2373B1B18}" name="個人／事業所数" totalsRowFunction="sum" totalsRowDxfId="52" dataCellStyle="桁区切り" totalsRowCellStyle="桁区切り"/>
    <tableColumn id="13" xr3:uid="{944EA812-A059-46F2-8993-67B3FA759242}" name="個人／構成比" dataDxfId="51"/>
    <tableColumn id="14" xr3:uid="{2453A554-9CF6-43D1-8E30-69EDD91BE837}" name="法人／事業所数" totalsRowFunction="sum" totalsRowDxfId="50" dataCellStyle="桁区切り" totalsRowCellStyle="桁区切り"/>
    <tableColumn id="15" xr3:uid="{383D3E61-F06F-4528-854E-5AED24AC15B1}" name="法人／構成比" dataDxfId="49"/>
    <tableColumn id="16" xr3:uid="{897818A8-1796-40F3-BB41-074F6A37E7C2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F17CABF9-D4D5-41A0-9924-98B464E63416}" name="M_TABLE_08521" displayName="M_TABLE_08521" ref="B23:I43" totalsRowShown="0">
  <autoFilter ref="B23:I43" xr:uid="{F17CABF9-D4D5-41A0-9924-98B464E63416}"/>
  <tableColumns count="8">
    <tableColumn id="9" xr3:uid="{CFFB1260-5A90-4640-93CA-2AFF7D74C5E0}" name="産業中分類上位２０"/>
    <tableColumn id="10" xr3:uid="{E58C5B6B-7075-4495-B1CE-7471623FE1FC}" name="総数／事業所数" dataCellStyle="桁区切り"/>
    <tableColumn id="11" xr3:uid="{A083BCC3-8ABC-487A-9842-E5A10CD6382E}" name="総数／構成比" dataDxfId="47"/>
    <tableColumn id="12" xr3:uid="{51101A02-FD53-4EA7-883E-92D221A997AE}" name="個人／事業所数" dataCellStyle="桁区切り"/>
    <tableColumn id="13" xr3:uid="{41CC7F4B-BFB9-48F7-8B1A-1745DB2C8291}" name="個人／構成比" dataDxfId="46"/>
    <tableColumn id="14" xr3:uid="{BAAF7102-F0AD-4A20-A651-A0493663EA5C}" name="法人／事業所数" dataCellStyle="桁区切り"/>
    <tableColumn id="15" xr3:uid="{D3239F04-DBE7-41DC-A81D-0CD8535DBC46}" name="法人／構成比" dataDxfId="45"/>
    <tableColumn id="16" xr3:uid="{89D2AB3E-33F2-4EDF-985D-73ABD85833C8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2F9480FD-4649-49ED-81F6-2033E9CEEEDB}" name="S_TABLE_08521" displayName="S_TABLE_08521" ref="B46:I68" totalsRowShown="0">
  <autoFilter ref="B46:I68" xr:uid="{2F9480FD-4649-49ED-81F6-2033E9CEEEDB}"/>
  <tableColumns count="8">
    <tableColumn id="9" xr3:uid="{8753FF36-EA8C-47B0-AE5E-462287899EC7}" name="産業小分類上位２０"/>
    <tableColumn id="10" xr3:uid="{08AD723F-26AE-4F82-A0B0-F2276D8ACC2F}" name="総数／事業所数" dataCellStyle="桁区切り"/>
    <tableColumn id="11" xr3:uid="{0EC53134-CD51-4917-B4C3-113C239A6CE3}" name="総数／構成比" dataDxfId="44"/>
    <tableColumn id="12" xr3:uid="{3240BB9F-ED71-4153-B67D-B0116A9AFA02}" name="個人／事業所数" dataCellStyle="桁区切り"/>
    <tableColumn id="13" xr3:uid="{859003DA-32AF-46FC-8FBA-522EAC7F7C91}" name="個人／構成比" dataDxfId="43"/>
    <tableColumn id="14" xr3:uid="{DD246B2B-A54D-4B5A-82C7-4CB07928449A}" name="法人／事業所数" dataCellStyle="桁区切り"/>
    <tableColumn id="15" xr3:uid="{08051738-750D-4768-8A2F-482BE48613BB}" name="法人／構成比" dataDxfId="42"/>
    <tableColumn id="16" xr3:uid="{24999F3C-824D-4F9C-8560-7B77044E9567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DC754702-78D9-420D-BA79-89DC9C3921C6}" name="LTBL_08542" displayName="LTBL_08542" ref="B4:I20" totalsRowCount="1">
  <autoFilter ref="B4:I19" xr:uid="{DC754702-78D9-420D-BA79-89DC9C3921C6}"/>
  <tableColumns count="8">
    <tableColumn id="9" xr3:uid="{FAD6F2EF-5B96-40FA-8455-6934C7B16E0D}" name="産業大分類" totalsRowLabel="合計" totalsRowDxfId="41"/>
    <tableColumn id="10" xr3:uid="{40A823C3-E4C0-4377-B144-F2E16ED8CC2A}" name="総数／事業所数" totalsRowFunction="custom" totalsRowDxfId="40" dataCellStyle="桁区切り" totalsRowCellStyle="桁区切り">
      <totalsRowFormula>SUM(LTBL_08542[総数／事業所数])</totalsRowFormula>
    </tableColumn>
    <tableColumn id="11" xr3:uid="{8F658CD5-DCD8-48B1-877D-92A200947541}" name="総数／構成比" dataDxfId="39"/>
    <tableColumn id="12" xr3:uid="{9A3B2113-C183-4665-9E9F-A2C90F946228}" name="個人／事業所数" totalsRowFunction="sum" totalsRowDxfId="38" dataCellStyle="桁区切り" totalsRowCellStyle="桁区切り"/>
    <tableColumn id="13" xr3:uid="{5C46B116-D7E1-4832-A72B-35EE89F83650}" name="個人／構成比" dataDxfId="37"/>
    <tableColumn id="14" xr3:uid="{821371A7-EB4F-432C-A76F-2CE0B03C8A2B}" name="法人／事業所数" totalsRowFunction="sum" totalsRowDxfId="36" dataCellStyle="桁区切り" totalsRowCellStyle="桁区切り"/>
    <tableColumn id="15" xr3:uid="{C0408747-18EB-4000-ADC8-EC2E9FD34B2A}" name="法人／構成比" dataDxfId="35"/>
    <tableColumn id="16" xr3:uid="{84E73CF6-A749-4324-9849-B33A0C0136C8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2919C4B-C625-4C85-954D-E94F80056F12}" name="M_TABLE_08542" displayName="M_TABLE_08542" ref="B23:I44" totalsRowShown="0">
  <autoFilter ref="B23:I44" xr:uid="{22919C4B-C625-4C85-954D-E94F80056F12}"/>
  <tableColumns count="8">
    <tableColumn id="9" xr3:uid="{CDD89033-3705-4187-9BE0-2AC7D1B4C19B}" name="産業中分類上位２０"/>
    <tableColumn id="10" xr3:uid="{FB48EFE7-F575-4D27-BB79-51069A160246}" name="総数／事業所数" dataCellStyle="桁区切り"/>
    <tableColumn id="11" xr3:uid="{2C787827-0B41-4F15-AAFE-9C95991C34E6}" name="総数／構成比" dataDxfId="33"/>
    <tableColumn id="12" xr3:uid="{C7579DF7-B672-4C45-812F-D9BC102B1ED2}" name="個人／事業所数" dataCellStyle="桁区切り"/>
    <tableColumn id="13" xr3:uid="{BB264763-69F3-434B-BAB5-EA03E504B563}" name="個人／構成比" dataDxfId="32"/>
    <tableColumn id="14" xr3:uid="{69D83962-799F-41A3-94C9-A2CA2931827C}" name="法人／事業所数" dataCellStyle="桁区切り"/>
    <tableColumn id="15" xr3:uid="{1B0C8BEF-9DE1-4889-B246-25D315ADBD5A}" name="法人／構成比" dataDxfId="31"/>
    <tableColumn id="16" xr3:uid="{930C6FEB-7B56-4A90-8801-70F4C5CBED47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63E461E2-08DA-49D1-AD9B-6A2438F84EB9}" name="S_TABLE_08542" displayName="S_TABLE_08542" ref="B47:I68" totalsRowShown="0">
  <autoFilter ref="B47:I68" xr:uid="{63E461E2-08DA-49D1-AD9B-6A2438F84EB9}"/>
  <tableColumns count="8">
    <tableColumn id="9" xr3:uid="{79C6FEEE-7D39-44CC-8F14-2088643830FB}" name="産業小分類上位２０"/>
    <tableColumn id="10" xr3:uid="{EBBB8A3E-38FA-4F4B-BBA6-A0307AE70B18}" name="総数／事業所数" dataCellStyle="桁区切り"/>
    <tableColumn id="11" xr3:uid="{9D2D8A3A-75A3-4664-83AD-E5541246B353}" name="総数／構成比" dataDxfId="30"/>
    <tableColumn id="12" xr3:uid="{11AAE7C2-2E7F-430C-B76D-78DB143897C0}" name="個人／事業所数" dataCellStyle="桁区切り"/>
    <tableColumn id="13" xr3:uid="{D95FAC84-EA79-439E-9EE3-A76D9D5EEC39}" name="個人／構成比" dataDxfId="29"/>
    <tableColumn id="14" xr3:uid="{DF996A5A-9266-4AF9-B489-C6799A67D590}" name="法人／事業所数" dataCellStyle="桁区切り"/>
    <tableColumn id="15" xr3:uid="{F478B403-AA53-4972-A523-E2FE6ACAB48E}" name="法人／構成比" dataDxfId="28"/>
    <tableColumn id="16" xr3:uid="{F0E29224-B8E6-43C0-A9EA-6233516AE0FC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99F1DB4-D993-4D63-9BFE-AFCBB210E5D5}" name="LTBL_08204" displayName="LTBL_08204" ref="B4:I20" totalsRowCount="1">
  <autoFilter ref="B4:I19" xr:uid="{299F1DB4-D993-4D63-9BFE-AFCBB210E5D5}"/>
  <tableColumns count="8">
    <tableColumn id="9" xr3:uid="{9867C12C-6F07-4F8E-BA96-830381B4ABA0}" name="産業大分類" totalsRowLabel="合計" totalsRowDxfId="573"/>
    <tableColumn id="10" xr3:uid="{973DB3BC-A1B5-4C3A-ADB3-AE0E2D1EEE80}" name="総数／事業所数" totalsRowFunction="custom" totalsRowDxfId="572" dataCellStyle="桁区切り" totalsRowCellStyle="桁区切り">
      <totalsRowFormula>SUM(LTBL_08204[総数／事業所数])</totalsRowFormula>
    </tableColumn>
    <tableColumn id="11" xr3:uid="{7CB449BE-2215-490F-942A-3EE608376F60}" name="総数／構成比" dataDxfId="571"/>
    <tableColumn id="12" xr3:uid="{0A48AA7B-B624-4FEE-A0E2-FF292F2A3D43}" name="個人／事業所数" totalsRowFunction="sum" totalsRowDxfId="570" dataCellStyle="桁区切り" totalsRowCellStyle="桁区切り"/>
    <tableColumn id="13" xr3:uid="{CF62BD27-8C2A-49A0-A4E6-0D6FA80AAA7C}" name="個人／構成比" dataDxfId="569"/>
    <tableColumn id="14" xr3:uid="{58C57E8F-24E7-4F84-9AC1-8DD35A7180C4}" name="法人／事業所数" totalsRowFunction="sum" totalsRowDxfId="568" dataCellStyle="桁区切り" totalsRowCellStyle="桁区切り"/>
    <tableColumn id="15" xr3:uid="{6C9DA73B-DC18-41B2-8738-63200F1047FE}" name="法人／構成比" dataDxfId="567"/>
    <tableColumn id="16" xr3:uid="{D61DB817-2067-4373-9824-19E37F412FED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5901C8B-0CC1-4996-804F-149F8ECFCAFC}" name="LTBL_08546" displayName="LTBL_08546" ref="B4:I20" totalsRowCount="1">
  <autoFilter ref="B4:I19" xr:uid="{05901C8B-0CC1-4996-804F-149F8ECFCAFC}"/>
  <tableColumns count="8">
    <tableColumn id="9" xr3:uid="{71805BE6-211A-43C1-BBED-C962991EFEA3}" name="産業大分類" totalsRowLabel="合計" totalsRowDxfId="27"/>
    <tableColumn id="10" xr3:uid="{2AC4749D-FF84-4C6D-B4BE-E2522894D8F5}" name="総数／事業所数" totalsRowFunction="custom" totalsRowDxfId="26" dataCellStyle="桁区切り" totalsRowCellStyle="桁区切り">
      <totalsRowFormula>SUM(LTBL_08546[総数／事業所数])</totalsRowFormula>
    </tableColumn>
    <tableColumn id="11" xr3:uid="{1449053B-5E69-4384-9269-F5A4F42F1229}" name="総数／構成比" dataDxfId="25"/>
    <tableColumn id="12" xr3:uid="{7E931611-BC89-47AD-8CA1-7EC5777AE87C}" name="個人／事業所数" totalsRowFunction="sum" totalsRowDxfId="24" dataCellStyle="桁区切り" totalsRowCellStyle="桁区切り"/>
    <tableColumn id="13" xr3:uid="{9395B225-AC06-47D9-9C3E-FA75D20EE61C}" name="個人／構成比" dataDxfId="23"/>
    <tableColumn id="14" xr3:uid="{58694F2E-16CE-4D2B-A9F4-81C34FFA2EA9}" name="法人／事業所数" totalsRowFunction="sum" totalsRowDxfId="22" dataCellStyle="桁区切り" totalsRowCellStyle="桁区切り"/>
    <tableColumn id="15" xr3:uid="{1CE515FA-16E3-43F2-A05E-202C85C7F1FD}" name="法人／構成比" dataDxfId="21"/>
    <tableColumn id="16" xr3:uid="{2F133EA1-D868-4D81-807F-15E5917AB91D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E62E3317-A2F0-49F0-8F37-595D5CF72318}" name="M_TABLE_08546" displayName="M_TABLE_08546" ref="B23:I45" totalsRowShown="0">
  <autoFilter ref="B23:I45" xr:uid="{E62E3317-A2F0-49F0-8F37-595D5CF72318}"/>
  <tableColumns count="8">
    <tableColumn id="9" xr3:uid="{57CDE199-1AA3-44B5-98D3-5126A656CED9}" name="産業中分類上位２０"/>
    <tableColumn id="10" xr3:uid="{8D8059DE-5AA3-48D4-BDF5-354D16FD0017}" name="総数／事業所数" dataCellStyle="桁区切り"/>
    <tableColumn id="11" xr3:uid="{B969A8CB-5C17-414C-BED4-FA6447C6ABE5}" name="総数／構成比" dataDxfId="19"/>
    <tableColumn id="12" xr3:uid="{599399C6-CE6B-4033-8353-E29F2B34D8FF}" name="個人／事業所数" dataCellStyle="桁区切り"/>
    <tableColumn id="13" xr3:uid="{448C3622-C675-4C29-8C34-074636C102D5}" name="個人／構成比" dataDxfId="18"/>
    <tableColumn id="14" xr3:uid="{E5006F2F-32CF-4034-BBFF-EF6415ABB547}" name="法人／事業所数" dataCellStyle="桁区切り"/>
    <tableColumn id="15" xr3:uid="{AC92BE0B-41CF-4D29-9A05-00ACC32D0F9E}" name="法人／構成比" dataDxfId="17"/>
    <tableColumn id="16" xr3:uid="{528741AD-4FCD-4B1F-BAE3-FEE9EC7F4593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EE9F8D59-B0E8-4274-84F5-D464112E068E}" name="S_TABLE_08546" displayName="S_TABLE_08546" ref="B48:I70" totalsRowShown="0">
  <autoFilter ref="B48:I70" xr:uid="{EE9F8D59-B0E8-4274-84F5-D464112E068E}"/>
  <tableColumns count="8">
    <tableColumn id="9" xr3:uid="{5C70E19D-86D0-4080-9E80-29389B00E2F9}" name="産業小分類上位２０"/>
    <tableColumn id="10" xr3:uid="{6B473883-B275-4966-9275-67484DF27FDA}" name="総数／事業所数" dataCellStyle="桁区切り"/>
    <tableColumn id="11" xr3:uid="{006B6B93-17C0-4E5C-859C-5CD268627342}" name="総数／構成比" dataDxfId="16"/>
    <tableColumn id="12" xr3:uid="{0144D78F-251E-463B-BBEF-BA68B7873E4A}" name="個人／事業所数" dataCellStyle="桁区切り"/>
    <tableColumn id="13" xr3:uid="{A2C46CE3-6D90-4520-AF46-A0D0C4D8ECFB}" name="個人／構成比" dataDxfId="15"/>
    <tableColumn id="14" xr3:uid="{0FAD32A3-5874-482D-BCE9-571632F91257}" name="法人／事業所数" dataCellStyle="桁区切り"/>
    <tableColumn id="15" xr3:uid="{25101FC9-B4A4-4F6E-A594-629D117917A6}" name="法人／構成比" dataDxfId="14"/>
    <tableColumn id="16" xr3:uid="{3A8D080A-CDDB-4E42-B01B-0FDE232BB316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C3482EE5-56DD-422A-BC41-EA975AE43C90}" name="LTBL_08564" displayName="LTBL_08564" ref="B4:I20" totalsRowCount="1">
  <autoFilter ref="B4:I19" xr:uid="{C3482EE5-56DD-422A-BC41-EA975AE43C90}"/>
  <tableColumns count="8">
    <tableColumn id="9" xr3:uid="{2F513DC2-58CF-4219-A5A6-236E19910BB5}" name="産業大分類" totalsRowLabel="合計" totalsRowDxfId="13"/>
    <tableColumn id="10" xr3:uid="{D37A4DDD-0F0A-4422-A99C-9C4EC8C80C4D}" name="総数／事業所数" totalsRowFunction="custom" totalsRowDxfId="12" dataCellStyle="桁区切り" totalsRowCellStyle="桁区切り">
      <totalsRowFormula>SUM(LTBL_08564[総数／事業所数])</totalsRowFormula>
    </tableColumn>
    <tableColumn id="11" xr3:uid="{A0D22188-2826-4804-AD61-CAE08F128A85}" name="総数／構成比" dataDxfId="11"/>
    <tableColumn id="12" xr3:uid="{04957215-4D30-405F-A9D6-079896C7A204}" name="個人／事業所数" totalsRowFunction="sum" totalsRowDxfId="10" dataCellStyle="桁区切り" totalsRowCellStyle="桁区切り"/>
    <tableColumn id="13" xr3:uid="{5884050C-5399-42EA-94BD-37BBA067C43F}" name="個人／構成比" dataDxfId="9"/>
    <tableColumn id="14" xr3:uid="{27736F95-7B9A-4229-A515-8F69C4B14915}" name="法人／事業所数" totalsRowFunction="sum" totalsRowDxfId="8" dataCellStyle="桁区切り" totalsRowCellStyle="桁区切り"/>
    <tableColumn id="15" xr3:uid="{1D8FAF73-5FAC-4279-8799-06D1A7563205}" name="法人／構成比" dataDxfId="7"/>
    <tableColumn id="16" xr3:uid="{D26F2C1F-BE05-4069-BF98-F2926EF6D450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3F7DDC25-767A-4192-BC7A-A90852BADDA7}" name="M_TABLE_08564" displayName="M_TABLE_08564" ref="B23:I45" totalsRowShown="0">
  <autoFilter ref="B23:I45" xr:uid="{3F7DDC25-767A-4192-BC7A-A90852BADDA7}"/>
  <tableColumns count="8">
    <tableColumn id="9" xr3:uid="{7F2CB244-E295-4DD1-8FD6-71DD365105C7}" name="産業中分類上位２０"/>
    <tableColumn id="10" xr3:uid="{2D3CB005-63A2-45F1-BB7D-F1946ABDC11C}" name="総数／事業所数" dataCellStyle="桁区切り"/>
    <tableColumn id="11" xr3:uid="{AB8D8D0D-FA99-4FF6-9B6B-4B4568F38FF7}" name="総数／構成比" dataDxfId="5"/>
    <tableColumn id="12" xr3:uid="{609922B5-9D31-4FA8-811C-AD69D5354D72}" name="個人／事業所数" dataCellStyle="桁区切り"/>
    <tableColumn id="13" xr3:uid="{B07A58A1-9D03-4E8F-AC5C-0E69C32BAE25}" name="個人／構成比" dataDxfId="4"/>
    <tableColumn id="14" xr3:uid="{E4111F32-4934-4EBB-958F-0E526D11E120}" name="法人／事業所数" dataCellStyle="桁区切り"/>
    <tableColumn id="15" xr3:uid="{58FD2FE2-FA33-4819-8414-D38DC91713B5}" name="法人／構成比" dataDxfId="3"/>
    <tableColumn id="16" xr3:uid="{90DCC16A-342C-47B0-B45D-C880D47F7EC0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82FB0F0-7370-49E0-9D83-2B2E34CC55B2}" name="S_TABLE_08564" displayName="S_TABLE_08564" ref="B48:I71" totalsRowShown="0">
  <autoFilter ref="B48:I71" xr:uid="{082FB0F0-7370-49E0-9D83-2B2E34CC55B2}"/>
  <tableColumns count="8">
    <tableColumn id="9" xr3:uid="{8C41F1EF-7D39-4870-8728-08033D9DD67E}" name="産業小分類上位２０"/>
    <tableColumn id="10" xr3:uid="{DCBBFECB-963E-41A9-BE82-F0BAB4F31DD9}" name="総数／事業所数" dataCellStyle="桁区切り"/>
    <tableColumn id="11" xr3:uid="{8C78DA9E-C775-4814-872D-CADC1567EBC4}" name="総数／構成比" dataDxfId="2"/>
    <tableColumn id="12" xr3:uid="{C6EECCF4-FC75-4A03-A936-6B76EF484A14}" name="個人／事業所数" dataCellStyle="桁区切り"/>
    <tableColumn id="13" xr3:uid="{9900CB41-5611-44E1-92F7-B580BE4EE67D}" name="個人／構成比" dataDxfId="1"/>
    <tableColumn id="14" xr3:uid="{1B005FB5-ED1F-4EDB-B188-6248EC772EB3}" name="法人／事業所数" dataCellStyle="桁区切り"/>
    <tableColumn id="15" xr3:uid="{21D444C8-AD27-4827-A9E1-C20113BA2B04}" name="法人／構成比" dataDxfId="0"/>
    <tableColumn id="16" xr3:uid="{80CEA648-B3A4-4690-8699-993F45E1DB73}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1CBBCC2-BE33-40E7-9DAC-92F7FC5CAB3A}" name="M_TABLE_08204" displayName="M_TABLE_08204" ref="B23:I45" totalsRowShown="0">
  <autoFilter ref="B23:I45" xr:uid="{21CBBCC2-BE33-40E7-9DAC-92F7FC5CAB3A}"/>
  <tableColumns count="8">
    <tableColumn id="9" xr3:uid="{210D6C8B-E50C-4311-AE17-774B0970C62E}" name="産業中分類上位２０"/>
    <tableColumn id="10" xr3:uid="{A13FAF3A-B509-4BA2-A995-674F8BF2AAC5}" name="総数／事業所数" dataCellStyle="桁区切り"/>
    <tableColumn id="11" xr3:uid="{EFF34EE8-F885-479E-BAB5-70925F32ECEA}" name="総数／構成比" dataDxfId="565"/>
    <tableColumn id="12" xr3:uid="{129240FB-CFCD-4488-B91F-050BDF144F4F}" name="個人／事業所数" dataCellStyle="桁区切り"/>
    <tableColumn id="13" xr3:uid="{1C865517-E829-49DE-AA15-51F26FF206C2}" name="個人／構成比" dataDxfId="564"/>
    <tableColumn id="14" xr3:uid="{87E85816-0307-45D3-BF4B-E77C1F47948D}" name="法人／事業所数" dataCellStyle="桁区切り"/>
    <tableColumn id="15" xr3:uid="{8AD43249-CCBC-4AB6-B552-FF68502A2125}" name="法人／構成比" dataDxfId="563"/>
    <tableColumn id="16" xr3:uid="{0F36ED8B-E7FD-4E4F-8735-5ECE8C916BED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353D5F6-9B5A-4DF4-AE75-4E96C5DBD1A8}" name="S_TABLE_08204" displayName="S_TABLE_08204" ref="B48:I68" totalsRowShown="0">
  <autoFilter ref="B48:I68" xr:uid="{3353D5F6-9B5A-4DF4-AE75-4E96C5DBD1A8}"/>
  <tableColumns count="8">
    <tableColumn id="9" xr3:uid="{B4749542-3348-49A5-96A1-39A70C913507}" name="産業小分類上位２０"/>
    <tableColumn id="10" xr3:uid="{1C91D6BA-6041-4166-BD88-06BC6E1E2DCC}" name="総数／事業所数" dataCellStyle="桁区切り"/>
    <tableColumn id="11" xr3:uid="{63EA0A45-4A0F-4919-94ED-B04D6AFB95FB}" name="総数／構成比" dataDxfId="562"/>
    <tableColumn id="12" xr3:uid="{5CCEDABF-91F7-4645-BF12-2EC07F10EB0C}" name="個人／事業所数" dataCellStyle="桁区切り"/>
    <tableColumn id="13" xr3:uid="{1C61AE33-70F5-4213-8A9D-37D8F6D2E63C}" name="個人／構成比" dataDxfId="561"/>
    <tableColumn id="14" xr3:uid="{C5352663-084F-4159-88CF-00DE166876E4}" name="法人／事業所数" dataCellStyle="桁区切り"/>
    <tableColumn id="15" xr3:uid="{3A44F53D-2F99-4053-A865-6D74727F6BB9}" name="法人／構成比" dataDxfId="560"/>
    <tableColumn id="16" xr3:uid="{D5DC1E83-6A94-41C7-9C4F-E20212D175BD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D2182F4-DE6C-44A2-9887-3AA5C3B75CCD}" name="LTBL_08205" displayName="LTBL_08205" ref="B4:I20" totalsRowCount="1">
  <autoFilter ref="B4:I19" xr:uid="{ED2182F4-DE6C-44A2-9887-3AA5C3B75CCD}"/>
  <tableColumns count="8">
    <tableColumn id="9" xr3:uid="{B67A64D5-B306-4F27-AB6A-5DD531E8F850}" name="産業大分類" totalsRowLabel="合計" totalsRowDxfId="559"/>
    <tableColumn id="10" xr3:uid="{099990DB-5EE4-4117-B49E-AD808A5FE8EA}" name="総数／事業所数" totalsRowFunction="custom" totalsRowDxfId="558" dataCellStyle="桁区切り" totalsRowCellStyle="桁区切り">
      <totalsRowFormula>SUM(LTBL_08205[総数／事業所数])</totalsRowFormula>
    </tableColumn>
    <tableColumn id="11" xr3:uid="{24D9A5DE-54EC-4757-A923-2BBB8EBE1CF5}" name="総数／構成比" dataDxfId="557"/>
    <tableColumn id="12" xr3:uid="{1765CCD7-ACD6-4254-8F90-F814248D70F0}" name="個人／事業所数" totalsRowFunction="sum" totalsRowDxfId="556" dataCellStyle="桁区切り" totalsRowCellStyle="桁区切り"/>
    <tableColumn id="13" xr3:uid="{2F3B101A-A697-4ADE-A372-E4497A59C7A3}" name="個人／構成比" dataDxfId="555"/>
    <tableColumn id="14" xr3:uid="{3C161C34-B030-49C2-AB3D-2DB919DB3F1E}" name="法人／事業所数" totalsRowFunction="sum" totalsRowDxfId="554" dataCellStyle="桁区切り" totalsRowCellStyle="桁区切り"/>
    <tableColumn id="15" xr3:uid="{7660C5B9-9959-4B28-AEC6-D5ABABAA48F8}" name="法人／構成比" dataDxfId="553"/>
    <tableColumn id="16" xr3:uid="{F4E1C9B7-9365-4565-A62F-C7224A15AD71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25F6B56-A001-4BE8-A88D-DA1586A9A1C6}" name="M_TABLE_08205" displayName="M_TABLE_08205" ref="B23:I44" totalsRowShown="0">
  <autoFilter ref="B23:I44" xr:uid="{725F6B56-A001-4BE8-A88D-DA1586A9A1C6}"/>
  <tableColumns count="8">
    <tableColumn id="9" xr3:uid="{9F6F9624-DF2D-469E-A6E7-D99AB6EAD3BE}" name="産業中分類上位２０"/>
    <tableColumn id="10" xr3:uid="{47EA6E1E-5881-443B-BE9D-1D9BFFA14D27}" name="総数／事業所数" dataCellStyle="桁区切り"/>
    <tableColumn id="11" xr3:uid="{F99F9D23-DDD8-463F-8DCC-06E0E96D6CA9}" name="総数／構成比" dataDxfId="551"/>
    <tableColumn id="12" xr3:uid="{984AEB8F-FC07-43E5-8A8F-BDBDC0CCB134}" name="個人／事業所数" dataCellStyle="桁区切り"/>
    <tableColumn id="13" xr3:uid="{E60495AF-33F8-490E-A94A-D4A12D997E95}" name="個人／構成比" dataDxfId="550"/>
    <tableColumn id="14" xr3:uid="{1AE99E87-90B3-4057-822B-D14482DCE902}" name="法人／事業所数" dataCellStyle="桁区切り"/>
    <tableColumn id="15" xr3:uid="{A082F479-0200-44E3-8524-22CCD4DC1BDA}" name="法人／構成比" dataDxfId="549"/>
    <tableColumn id="16" xr3:uid="{B1D47DB1-94C1-4FAC-B27A-2C62F790980E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19D4B05-9F50-43E4-BF48-C8A7629269DB}" name="S_TABLE_08205" displayName="S_TABLE_08205" ref="B47:I67" totalsRowShown="0">
  <autoFilter ref="B47:I67" xr:uid="{119D4B05-9F50-43E4-BF48-C8A7629269DB}"/>
  <tableColumns count="8">
    <tableColumn id="9" xr3:uid="{2D42756C-9B5E-45D9-AD12-EF9D8507C73E}" name="産業小分類上位２０"/>
    <tableColumn id="10" xr3:uid="{3A28665A-89C1-49DF-8412-314F8B3D2CB5}" name="総数／事業所数" dataCellStyle="桁区切り"/>
    <tableColumn id="11" xr3:uid="{F042D61E-4682-4D58-A489-43A3E3F3E29F}" name="総数／構成比" dataDxfId="548"/>
    <tableColumn id="12" xr3:uid="{9D9472FE-3196-4B63-B7DC-356A0AAF4391}" name="個人／事業所数" dataCellStyle="桁区切り"/>
    <tableColumn id="13" xr3:uid="{4746D8BD-3CCE-4D48-9B16-841A09EA3858}" name="個人／構成比" dataDxfId="547"/>
    <tableColumn id="14" xr3:uid="{77D79C06-6A73-42CE-AA30-F887CFE48C18}" name="法人／事業所数" dataCellStyle="桁区切り"/>
    <tableColumn id="15" xr3:uid="{6981CF00-0E6A-4FEE-BDE6-DC961EBE5212}" name="法人／構成比" dataDxfId="546"/>
    <tableColumn id="16" xr3:uid="{473E883D-F50F-4DD7-9599-1A03E7D41A60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52D5885-F15C-4CB5-9726-99022BCC2D44}" name="LTBL_08207" displayName="LTBL_08207" ref="B4:I20" totalsRowCount="1">
  <autoFilter ref="B4:I19" xr:uid="{F52D5885-F15C-4CB5-9726-99022BCC2D44}"/>
  <tableColumns count="8">
    <tableColumn id="9" xr3:uid="{AAFF1877-8026-4555-9C47-01EF804184EE}" name="産業大分類" totalsRowLabel="合計" totalsRowDxfId="545"/>
    <tableColumn id="10" xr3:uid="{537C76C6-2A2B-4663-81E9-2287FF62437A}" name="総数／事業所数" totalsRowFunction="custom" totalsRowDxfId="544" dataCellStyle="桁区切り" totalsRowCellStyle="桁区切り">
      <totalsRowFormula>SUM(LTBL_08207[総数／事業所数])</totalsRowFormula>
    </tableColumn>
    <tableColumn id="11" xr3:uid="{4BDBFBD0-D7B8-4042-B3E2-C8E84483B7CA}" name="総数／構成比" dataDxfId="543"/>
    <tableColumn id="12" xr3:uid="{AAE330BF-AE94-42D4-9CD5-66544BEE958C}" name="個人／事業所数" totalsRowFunction="sum" totalsRowDxfId="542" dataCellStyle="桁区切り" totalsRowCellStyle="桁区切り"/>
    <tableColumn id="13" xr3:uid="{F38C9B01-9E0E-4750-AF32-240B87C6294E}" name="個人／構成比" dataDxfId="541"/>
    <tableColumn id="14" xr3:uid="{B2A758C9-8291-4AEF-964B-CA00D61385EA}" name="法人／事業所数" totalsRowFunction="sum" totalsRowDxfId="540" dataCellStyle="桁区切り" totalsRowCellStyle="桁区切り"/>
    <tableColumn id="15" xr3:uid="{A3E7A81D-629B-4441-8AB5-DB9E2BA7A768}" name="法人／構成比" dataDxfId="539"/>
    <tableColumn id="16" xr3:uid="{76C1CB1A-95B0-4CFF-9936-8E8CFA4EA366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6FC292-5AB2-456B-A7F4-B9789CA2B384}" name="M_TABLE_08000" displayName="M_TABLE_08000" ref="B23:I43" totalsRowShown="0">
  <autoFilter ref="B23:I43" xr:uid="{596FC292-5AB2-456B-A7F4-B9789CA2B384}"/>
  <tableColumns count="8">
    <tableColumn id="9" xr3:uid="{3924CF90-7E79-4A8D-A04E-0D0134170F50}" name="産業中分類上位２０"/>
    <tableColumn id="10" xr3:uid="{962FDC60-FE0D-4810-B7CB-8DE77C89FE35}" name="総数／事業所数" dataCellStyle="桁区切り"/>
    <tableColumn id="11" xr3:uid="{77C58C9B-B9FB-46E1-8D19-FB252B227DCA}" name="総数／構成比" dataDxfId="621"/>
    <tableColumn id="12" xr3:uid="{518F2D3E-C9D1-44D2-AF5F-F43C3A22B4EB}" name="個人／事業所数" dataCellStyle="桁区切り"/>
    <tableColumn id="13" xr3:uid="{43B66428-4B01-4DB8-82A7-0E4E5D7CD450}" name="個人／構成比" dataDxfId="620"/>
    <tableColumn id="14" xr3:uid="{0364D276-8DBB-4263-8B06-36D7B0CBB6B9}" name="法人／事業所数" dataCellStyle="桁区切り"/>
    <tableColumn id="15" xr3:uid="{2FF5FB80-3BEC-4902-8D60-C6BD7CE65AB9}" name="法人／構成比" dataDxfId="619"/>
    <tableColumn id="16" xr3:uid="{56E63820-0892-4B1C-B4B7-D0946D0D2370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F121D68-D01B-47E7-B9BF-4D1835B5FBA6}" name="M_TABLE_08207" displayName="M_TABLE_08207" ref="B23:I43" totalsRowShown="0">
  <autoFilter ref="B23:I43" xr:uid="{8F121D68-D01B-47E7-B9BF-4D1835B5FBA6}"/>
  <tableColumns count="8">
    <tableColumn id="9" xr3:uid="{08DC9CA0-82D3-48C6-9EAB-29FCE7139B8E}" name="産業中分類上位２０"/>
    <tableColumn id="10" xr3:uid="{D711F0BF-1FAB-4FD1-AC36-B1A31EF9A898}" name="総数／事業所数" dataCellStyle="桁区切り"/>
    <tableColumn id="11" xr3:uid="{05B79BFF-9087-463F-955A-3CA30F30C01E}" name="総数／構成比" dataDxfId="537"/>
    <tableColumn id="12" xr3:uid="{57C10188-FACD-4439-A6C5-54A86443576F}" name="個人／事業所数" dataCellStyle="桁区切り"/>
    <tableColumn id="13" xr3:uid="{E9007C9B-423D-4778-BD1D-8736F4208462}" name="個人／構成比" dataDxfId="536"/>
    <tableColumn id="14" xr3:uid="{892BAFF1-398F-4770-A47F-12927FB3A060}" name="法人／事業所数" dataCellStyle="桁区切り"/>
    <tableColumn id="15" xr3:uid="{E1B790BD-60AA-4598-BBC8-88A6B5E9BC45}" name="法人／構成比" dataDxfId="535"/>
    <tableColumn id="16" xr3:uid="{088F7C56-2728-4D17-B7FA-D9C84F3D3B27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D3794A3-8920-4604-ACE0-45EB247ABA35}" name="S_TABLE_08207" displayName="S_TABLE_08207" ref="B46:I66" totalsRowShown="0">
  <autoFilter ref="B46:I66" xr:uid="{CD3794A3-8920-4604-ACE0-45EB247ABA35}"/>
  <tableColumns count="8">
    <tableColumn id="9" xr3:uid="{6962CCB5-0887-4FC6-81D3-B7AA25EBD34B}" name="産業小分類上位２０"/>
    <tableColumn id="10" xr3:uid="{9C1E7AA3-A9F0-4E57-B355-1FAF5086976F}" name="総数／事業所数" dataCellStyle="桁区切り"/>
    <tableColumn id="11" xr3:uid="{86636E63-2122-4655-9F11-97709B1596FC}" name="総数／構成比" dataDxfId="534"/>
    <tableColumn id="12" xr3:uid="{390CB480-627F-496A-B395-7D7694D2A576}" name="個人／事業所数" dataCellStyle="桁区切り"/>
    <tableColumn id="13" xr3:uid="{F6987691-D0B5-4E40-976F-0E1CA8C4FDA2}" name="個人／構成比" dataDxfId="533"/>
    <tableColumn id="14" xr3:uid="{E62F2F99-4049-4E31-8070-BE5F920BF5C7}" name="法人／事業所数" dataCellStyle="桁区切り"/>
    <tableColumn id="15" xr3:uid="{0141FE76-31E2-4007-82FE-23A80DD9B595}" name="法人／構成比" dataDxfId="532"/>
    <tableColumn id="16" xr3:uid="{AC41CD72-5D88-4AE3-8630-6EECDE88A8FB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285F612-BA01-49AB-9C4D-24986E84DCFA}" name="LTBL_08208" displayName="LTBL_08208" ref="B4:I20" totalsRowCount="1">
  <autoFilter ref="B4:I19" xr:uid="{4285F612-BA01-49AB-9C4D-24986E84DCFA}"/>
  <tableColumns count="8">
    <tableColumn id="9" xr3:uid="{59C4227D-2132-49CC-98E0-C8BBAFF67931}" name="産業大分類" totalsRowLabel="合計" totalsRowDxfId="531"/>
    <tableColumn id="10" xr3:uid="{ECB9812A-FE69-46B3-B339-E680C5440DDB}" name="総数／事業所数" totalsRowFunction="custom" totalsRowDxfId="530" dataCellStyle="桁区切り" totalsRowCellStyle="桁区切り">
      <totalsRowFormula>SUM(LTBL_08208[総数／事業所数])</totalsRowFormula>
    </tableColumn>
    <tableColumn id="11" xr3:uid="{8EB6F280-4F5F-4AC0-9F9B-ABB6C8668C53}" name="総数／構成比" dataDxfId="529"/>
    <tableColumn id="12" xr3:uid="{651E5109-6737-4FB2-9908-2A54218210D0}" name="個人／事業所数" totalsRowFunction="sum" totalsRowDxfId="528" dataCellStyle="桁区切り" totalsRowCellStyle="桁区切り"/>
    <tableColumn id="13" xr3:uid="{01D49D48-A994-43CF-B787-8AC97547A4E0}" name="個人／構成比" dataDxfId="527"/>
    <tableColumn id="14" xr3:uid="{0D5782E0-C851-4F08-B809-BA275E19FE83}" name="法人／事業所数" totalsRowFunction="sum" totalsRowDxfId="526" dataCellStyle="桁区切り" totalsRowCellStyle="桁区切り"/>
    <tableColumn id="15" xr3:uid="{55558D0A-6D73-4F9D-880C-7E88F6A61648}" name="法人／構成比" dataDxfId="525"/>
    <tableColumn id="16" xr3:uid="{A9158574-706F-40B7-83AD-727ECEEA0C09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B1A1AD4-6F64-4FCC-8F5E-396759BD86DA}" name="M_TABLE_08208" displayName="M_TABLE_08208" ref="B23:I43" totalsRowShown="0">
  <autoFilter ref="B23:I43" xr:uid="{4B1A1AD4-6F64-4FCC-8F5E-396759BD86DA}"/>
  <tableColumns count="8">
    <tableColumn id="9" xr3:uid="{FF67ACB7-E282-4086-B58E-6F7101785755}" name="産業中分類上位２０"/>
    <tableColumn id="10" xr3:uid="{44891DF1-80A2-4B81-887D-83AF371F92F6}" name="総数／事業所数" dataCellStyle="桁区切り"/>
    <tableColumn id="11" xr3:uid="{BE684023-95F9-4E88-9613-E0682B68957D}" name="総数／構成比" dataDxfId="523"/>
    <tableColumn id="12" xr3:uid="{17DF3F59-B03F-4334-855D-1FC195129C2B}" name="個人／事業所数" dataCellStyle="桁区切り"/>
    <tableColumn id="13" xr3:uid="{09A01386-5350-4463-8225-734061714E09}" name="個人／構成比" dataDxfId="522"/>
    <tableColumn id="14" xr3:uid="{DD7EB681-153E-4F1B-A552-B01BF23488B9}" name="法人／事業所数" dataCellStyle="桁区切り"/>
    <tableColumn id="15" xr3:uid="{BE869DC8-F6CD-49CA-A596-AE504F62DC45}" name="法人／構成比" dataDxfId="521"/>
    <tableColumn id="16" xr3:uid="{0BDA2348-C81A-4F36-867F-8B964E2FD58E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7EFFAD3-A663-4523-A7C8-A84F5B016D1C}" name="S_TABLE_08208" displayName="S_TABLE_08208" ref="B46:I69" totalsRowShown="0">
  <autoFilter ref="B46:I69" xr:uid="{07EFFAD3-A663-4523-A7C8-A84F5B016D1C}"/>
  <tableColumns count="8">
    <tableColumn id="9" xr3:uid="{501777FD-A670-4B59-9B3C-BF1CF5A19AA1}" name="産業小分類上位２０"/>
    <tableColumn id="10" xr3:uid="{A6FAB4CF-7434-451E-9202-49776C7A8345}" name="総数／事業所数" dataCellStyle="桁区切り"/>
    <tableColumn id="11" xr3:uid="{D417F5BA-6334-475B-9313-B8A625F4869D}" name="総数／構成比" dataDxfId="520"/>
    <tableColumn id="12" xr3:uid="{BF75E61C-B953-449B-AD4E-D4C7BF2A6244}" name="個人／事業所数" dataCellStyle="桁区切り"/>
    <tableColumn id="13" xr3:uid="{24147DCD-3E69-4E26-9E5E-8788A55E6ABD}" name="個人／構成比" dataDxfId="519"/>
    <tableColumn id="14" xr3:uid="{477B480B-5EC6-40A1-AA9D-5B4882E0ABD8}" name="法人／事業所数" dataCellStyle="桁区切り"/>
    <tableColumn id="15" xr3:uid="{EA5C1D9D-5C31-4C1C-886A-9B05201EF482}" name="法人／構成比" dataDxfId="518"/>
    <tableColumn id="16" xr3:uid="{E7F95449-8103-44CB-8963-D6A612B00DAF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C1D0948-4801-4AF0-8D9B-EA316A36082E}" name="LTBL_08210" displayName="LTBL_08210" ref="B4:I20" totalsRowCount="1">
  <autoFilter ref="B4:I19" xr:uid="{7C1D0948-4801-4AF0-8D9B-EA316A36082E}"/>
  <tableColumns count="8">
    <tableColumn id="9" xr3:uid="{7ACD0307-8287-42B7-8AE0-9D9F9F44FC0D}" name="産業大分類" totalsRowLabel="合計" totalsRowDxfId="517"/>
    <tableColumn id="10" xr3:uid="{A258F97C-0617-46EC-8DCD-16E968B17066}" name="総数／事業所数" totalsRowFunction="custom" totalsRowDxfId="516" dataCellStyle="桁区切り" totalsRowCellStyle="桁区切り">
      <totalsRowFormula>SUM(LTBL_08210[総数／事業所数])</totalsRowFormula>
    </tableColumn>
    <tableColumn id="11" xr3:uid="{5ED25974-20A7-42E5-895C-16291E434D49}" name="総数／構成比" dataDxfId="515"/>
    <tableColumn id="12" xr3:uid="{F0A26C35-93C6-4E77-9161-58E13C14B6DF}" name="個人／事業所数" totalsRowFunction="sum" totalsRowDxfId="514" dataCellStyle="桁区切り" totalsRowCellStyle="桁区切り"/>
    <tableColumn id="13" xr3:uid="{A0F06084-B489-4447-89BF-F7AACA7A2380}" name="個人／構成比" dataDxfId="513"/>
    <tableColumn id="14" xr3:uid="{4251BDDF-A3E6-402D-9FD2-73BD6847F6F1}" name="法人／事業所数" totalsRowFunction="sum" totalsRowDxfId="512" dataCellStyle="桁区切り" totalsRowCellStyle="桁区切り"/>
    <tableColumn id="15" xr3:uid="{5255BF75-0851-409D-902D-DC566C4464BA}" name="法人／構成比" dataDxfId="511"/>
    <tableColumn id="16" xr3:uid="{2424FBB3-2D70-4CB8-8675-C4FB40194CB2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44CB856-A15A-4B36-8BF0-7DE73E3BC9C7}" name="M_TABLE_08210" displayName="M_TABLE_08210" ref="B23:I43" totalsRowShown="0">
  <autoFilter ref="B23:I43" xr:uid="{E44CB856-A15A-4B36-8BF0-7DE73E3BC9C7}"/>
  <tableColumns count="8">
    <tableColumn id="9" xr3:uid="{4A72CD5B-96A7-44E0-B5D2-8FA1EFC7B16D}" name="産業中分類上位２０"/>
    <tableColumn id="10" xr3:uid="{70886BBC-B98A-4C27-9C57-7D40EC326BC0}" name="総数／事業所数" dataCellStyle="桁区切り"/>
    <tableColumn id="11" xr3:uid="{8B990EBC-C6E4-4F06-B4D1-6B5B2F0DCCE5}" name="総数／構成比" dataDxfId="509"/>
    <tableColumn id="12" xr3:uid="{57BF5222-AC3F-4FD7-83CD-CDC0C3EC21C2}" name="個人／事業所数" dataCellStyle="桁区切り"/>
    <tableColumn id="13" xr3:uid="{1AE88673-771B-48D4-9ADE-ADFFB1364232}" name="個人／構成比" dataDxfId="508"/>
    <tableColumn id="14" xr3:uid="{B8D12882-5821-4502-ABF1-DA68AA8865CD}" name="法人／事業所数" dataCellStyle="桁区切り"/>
    <tableColumn id="15" xr3:uid="{8E925410-A90B-4E03-A057-8AB98DBB31E2}" name="法人／構成比" dataDxfId="507"/>
    <tableColumn id="16" xr3:uid="{17630F05-B893-4C40-B7E5-097335FB1B19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9F2252F-865B-4C31-BAAC-B0F374E127B0}" name="S_TABLE_08210" displayName="S_TABLE_08210" ref="B46:I66" totalsRowShown="0">
  <autoFilter ref="B46:I66" xr:uid="{99F2252F-865B-4C31-BAAC-B0F374E127B0}"/>
  <tableColumns count="8">
    <tableColumn id="9" xr3:uid="{779F95EC-9B93-41D7-A2BF-5322D0FF9464}" name="産業小分類上位２０"/>
    <tableColumn id="10" xr3:uid="{5B3AAB66-800A-4D3F-8BA8-0EA3AA0DFF30}" name="総数／事業所数" dataCellStyle="桁区切り"/>
    <tableColumn id="11" xr3:uid="{340C58EB-0F85-482A-BD63-A0126F5E1E31}" name="総数／構成比" dataDxfId="506"/>
    <tableColumn id="12" xr3:uid="{1A46AF26-0A96-4D89-97FD-6F44D45B5D3B}" name="個人／事業所数" dataCellStyle="桁区切り"/>
    <tableColumn id="13" xr3:uid="{A144526F-A9B2-4687-99E5-25B4F277CC5C}" name="個人／構成比" dataDxfId="505"/>
    <tableColumn id="14" xr3:uid="{0BCAF2A8-DECD-45D7-AA73-8464FE8BF930}" name="法人／事業所数" dataCellStyle="桁区切り"/>
    <tableColumn id="15" xr3:uid="{6B373031-42AF-43AC-AAE2-6EE1754F15B7}" name="法人／構成比" dataDxfId="504"/>
    <tableColumn id="16" xr3:uid="{66F5FC28-2627-47E2-85C5-013DB4ECEE0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5B1581A-C04B-4543-B23D-D1AE56815E57}" name="LTBL_08211" displayName="LTBL_08211" ref="B4:I20" totalsRowCount="1">
  <autoFilter ref="B4:I19" xr:uid="{E5B1581A-C04B-4543-B23D-D1AE56815E57}"/>
  <tableColumns count="8">
    <tableColumn id="9" xr3:uid="{6ADCB902-0664-4D80-BBBB-2F1CBBE083DE}" name="産業大分類" totalsRowLabel="合計" totalsRowDxfId="503"/>
    <tableColumn id="10" xr3:uid="{7E4DB4F1-584B-4381-897E-E7DE7DAAA7CA}" name="総数／事業所数" totalsRowFunction="custom" totalsRowDxfId="502" dataCellStyle="桁区切り" totalsRowCellStyle="桁区切り">
      <totalsRowFormula>SUM(LTBL_08211[総数／事業所数])</totalsRowFormula>
    </tableColumn>
    <tableColumn id="11" xr3:uid="{A528A5EA-50F6-48DC-9A31-F8C3D712EB8D}" name="総数／構成比" dataDxfId="501"/>
    <tableColumn id="12" xr3:uid="{8E9D8A61-63E6-49BC-9FED-AD1DE138EBA5}" name="個人／事業所数" totalsRowFunction="sum" totalsRowDxfId="500" dataCellStyle="桁区切り" totalsRowCellStyle="桁区切り"/>
    <tableColumn id="13" xr3:uid="{985F801D-7E13-47C5-B88A-27C61C6B14B7}" name="個人／構成比" dataDxfId="499"/>
    <tableColumn id="14" xr3:uid="{F85FBB1D-B7C1-4725-A928-602BA53D8353}" name="法人／事業所数" totalsRowFunction="sum" totalsRowDxfId="498" dataCellStyle="桁区切り" totalsRowCellStyle="桁区切り"/>
    <tableColumn id="15" xr3:uid="{D2C6B18C-9E66-4327-A8CF-48E03352B791}" name="法人／構成比" dataDxfId="497"/>
    <tableColumn id="16" xr3:uid="{4BC2958A-FC8B-4541-B8ED-195F9DC5B3EA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1C561A8-D984-4E0F-808D-F33EF69DAF3C}" name="M_TABLE_08211" displayName="M_TABLE_08211" ref="B23:I45" totalsRowShown="0">
  <autoFilter ref="B23:I45" xr:uid="{F1C561A8-D984-4E0F-808D-F33EF69DAF3C}"/>
  <tableColumns count="8">
    <tableColumn id="9" xr3:uid="{6D7F5E49-DF76-4441-930D-27ADD6CCD393}" name="産業中分類上位２０"/>
    <tableColumn id="10" xr3:uid="{3643D2F9-A1DB-4F32-A51E-7D8212C68151}" name="総数／事業所数" dataCellStyle="桁区切り"/>
    <tableColumn id="11" xr3:uid="{06659661-41D4-4BAA-9D54-3911FF35709B}" name="総数／構成比" dataDxfId="495"/>
    <tableColumn id="12" xr3:uid="{12E414F5-5524-4BE5-A0A5-6055E6B931D7}" name="個人／事業所数" dataCellStyle="桁区切り"/>
    <tableColumn id="13" xr3:uid="{24E13BC7-7801-4146-B9D7-7BECFE6F80C6}" name="個人／構成比" dataDxfId="494"/>
    <tableColumn id="14" xr3:uid="{A8299810-FDD8-4633-A5F6-C8763D191549}" name="法人／事業所数" dataCellStyle="桁区切り"/>
    <tableColumn id="15" xr3:uid="{53F8CADE-F2F7-4659-BECB-5B4FED53BB69}" name="法人／構成比" dataDxfId="493"/>
    <tableColumn id="16" xr3:uid="{2FA67C7B-B5B6-4EFE-A104-CD20D1971254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1022BFA-48D4-4A6F-AA0D-7904AE710E81}" name="S_TABLE_08000" displayName="S_TABLE_08000" ref="B46:I66" totalsRowShown="0">
  <autoFilter ref="B46:I66" xr:uid="{81022BFA-48D4-4A6F-AA0D-7904AE710E81}"/>
  <tableColumns count="8">
    <tableColumn id="9" xr3:uid="{B9307B50-33EC-4409-B7DA-B92F95B38B02}" name="産業小分類上位２０"/>
    <tableColumn id="10" xr3:uid="{C4B313A8-2D56-46EF-85AC-B7A033CB6236}" name="総数／事業所数" dataCellStyle="桁区切り"/>
    <tableColumn id="11" xr3:uid="{00ED3A80-E8F8-40BD-A5EB-15EB1A630093}" name="総数／構成比" dataDxfId="618"/>
    <tableColumn id="12" xr3:uid="{6B6743D0-8BAD-4D52-A1BD-1552E0D5A612}" name="個人／事業所数" dataCellStyle="桁区切り"/>
    <tableColumn id="13" xr3:uid="{D0F8FDE4-5942-4D13-9232-E76006C5F21E}" name="個人／構成比" dataDxfId="617"/>
    <tableColumn id="14" xr3:uid="{52B40783-F127-4ED8-A728-CD08E3862E92}" name="法人／事業所数" dataCellStyle="桁区切り"/>
    <tableColumn id="15" xr3:uid="{934A9E7A-F72A-4D34-91C9-C3E91C6A4678}" name="法人／構成比" dataDxfId="616"/>
    <tableColumn id="16" xr3:uid="{22E387C0-2AE7-47F1-8758-0B8C6E4E1E4D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AE8E181-7ED1-4ADE-A918-663DB16E7B72}" name="S_TABLE_08211" displayName="S_TABLE_08211" ref="B48:I68" totalsRowShown="0">
  <autoFilter ref="B48:I68" xr:uid="{BAE8E181-7ED1-4ADE-A918-663DB16E7B72}"/>
  <tableColumns count="8">
    <tableColumn id="9" xr3:uid="{DB10A41F-B143-41CF-A16D-7800F99AE35D}" name="産業小分類上位２０"/>
    <tableColumn id="10" xr3:uid="{259B05F8-21AA-4A85-A995-89D466F85C2A}" name="総数／事業所数" dataCellStyle="桁区切り"/>
    <tableColumn id="11" xr3:uid="{50C58401-7B62-4278-A108-60F322EDB0B0}" name="総数／構成比" dataDxfId="492"/>
    <tableColumn id="12" xr3:uid="{5006CC30-0B38-444F-88E9-9405272C4811}" name="個人／事業所数" dataCellStyle="桁区切り"/>
    <tableColumn id="13" xr3:uid="{7EB959EC-4B32-412F-A236-8F48ED6C52C8}" name="個人／構成比" dataDxfId="491"/>
    <tableColumn id="14" xr3:uid="{BF8102AD-5CF6-4286-85F7-5E933BC47524}" name="法人／事業所数" dataCellStyle="桁区切り"/>
    <tableColumn id="15" xr3:uid="{C4AA9647-1292-4AB5-AFD2-D05D9F3F1B58}" name="法人／構成比" dataDxfId="490"/>
    <tableColumn id="16" xr3:uid="{DB71220A-03F0-4B11-BED6-797EA1CFEA39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81D2876-643E-458A-9A76-EB25017F02EB}" name="LTBL_08212" displayName="LTBL_08212" ref="B4:I20" totalsRowCount="1">
  <autoFilter ref="B4:I19" xr:uid="{C81D2876-643E-458A-9A76-EB25017F02EB}"/>
  <tableColumns count="8">
    <tableColumn id="9" xr3:uid="{C7A3890B-BF3C-4573-A235-748B728A121D}" name="産業大分類" totalsRowLabel="合計" totalsRowDxfId="489"/>
    <tableColumn id="10" xr3:uid="{4B970878-1C76-4ACE-B24D-A51C9970FECE}" name="総数／事業所数" totalsRowFunction="custom" totalsRowDxfId="488" dataCellStyle="桁区切り" totalsRowCellStyle="桁区切り">
      <totalsRowFormula>SUM(LTBL_08212[総数／事業所数])</totalsRowFormula>
    </tableColumn>
    <tableColumn id="11" xr3:uid="{697B1289-88BA-4EEE-ABE1-8A9938376A9A}" name="総数／構成比" dataDxfId="487"/>
    <tableColumn id="12" xr3:uid="{04E3F352-77D2-435D-89DA-6154F0C84B70}" name="個人／事業所数" totalsRowFunction="sum" totalsRowDxfId="486" dataCellStyle="桁区切り" totalsRowCellStyle="桁区切り"/>
    <tableColumn id="13" xr3:uid="{185973E8-4205-49A0-87BC-63D21706AF11}" name="個人／構成比" dataDxfId="485"/>
    <tableColumn id="14" xr3:uid="{7DAB73A1-850A-4CD4-B2A9-DC286140740D}" name="法人／事業所数" totalsRowFunction="sum" totalsRowDxfId="484" dataCellStyle="桁区切り" totalsRowCellStyle="桁区切り"/>
    <tableColumn id="15" xr3:uid="{4F9CB481-F17B-455B-A317-EECE4B203721}" name="法人／構成比" dataDxfId="483"/>
    <tableColumn id="16" xr3:uid="{801428FE-693C-42DE-B962-8496AA47D877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E506C2D-1EC1-4A62-9C2D-988810D5BE81}" name="M_TABLE_08212" displayName="M_TABLE_08212" ref="B23:I43" totalsRowShown="0">
  <autoFilter ref="B23:I43" xr:uid="{0E506C2D-1EC1-4A62-9C2D-988810D5BE81}"/>
  <tableColumns count="8">
    <tableColumn id="9" xr3:uid="{8298870D-5E59-4AAA-BE7B-69055D0F724D}" name="産業中分類上位２０"/>
    <tableColumn id="10" xr3:uid="{51EDDA00-358A-4656-A5B4-B176344C4D11}" name="総数／事業所数" dataCellStyle="桁区切り"/>
    <tableColumn id="11" xr3:uid="{67D02D0B-03D8-488A-AF4B-A7091CF2FFEE}" name="総数／構成比" dataDxfId="481"/>
    <tableColumn id="12" xr3:uid="{B5E9A767-7E8D-402C-A797-D2B578402B08}" name="個人／事業所数" dataCellStyle="桁区切り"/>
    <tableColumn id="13" xr3:uid="{A6695F7C-03DE-4801-87D0-BDDCFE71F6BE}" name="個人／構成比" dataDxfId="480"/>
    <tableColumn id="14" xr3:uid="{CF75A4AB-D65F-45A3-9546-B58E65A82AB5}" name="法人／事業所数" dataCellStyle="桁区切り"/>
    <tableColumn id="15" xr3:uid="{4FBCADB5-C004-4990-AF56-D49D1F01C1F7}" name="法人／構成比" dataDxfId="479"/>
    <tableColumn id="16" xr3:uid="{F6BD4169-C11F-4E9A-A166-E24B8E4E909F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9156A14-0EF1-4B86-B362-F9748C79923F}" name="S_TABLE_08212" displayName="S_TABLE_08212" ref="B46:I66" totalsRowShown="0">
  <autoFilter ref="B46:I66" xr:uid="{29156A14-0EF1-4B86-B362-F9748C79923F}"/>
  <tableColumns count="8">
    <tableColumn id="9" xr3:uid="{401D4DF4-2639-478F-BED4-35C2F37F4C8B}" name="産業小分類上位２０"/>
    <tableColumn id="10" xr3:uid="{FACC8051-2C53-446B-8C81-5742D8D8495C}" name="総数／事業所数" dataCellStyle="桁区切り"/>
    <tableColumn id="11" xr3:uid="{8F7606FF-1890-4B75-994C-E8C822965F19}" name="総数／構成比" dataDxfId="478"/>
    <tableColumn id="12" xr3:uid="{BFAAF799-63D6-475F-9E41-2A586268CA2E}" name="個人／事業所数" dataCellStyle="桁区切り"/>
    <tableColumn id="13" xr3:uid="{DDB99B6F-DABA-471B-9076-40CA6AD417F8}" name="個人／構成比" dataDxfId="477"/>
    <tableColumn id="14" xr3:uid="{38C6FB4D-FB55-4248-9B3A-BE53817E8BA8}" name="法人／事業所数" dataCellStyle="桁区切り"/>
    <tableColumn id="15" xr3:uid="{D4BAD49F-1EFC-4192-AB53-A250B4D9832A}" name="法人／構成比" dataDxfId="476"/>
    <tableColumn id="16" xr3:uid="{8F57A678-D421-4197-A89E-BBFCB142687F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08E3CCE-1D27-4463-B2B8-070E4AF4846F}" name="LTBL_08214" displayName="LTBL_08214" ref="B4:I20" totalsRowCount="1">
  <autoFilter ref="B4:I19" xr:uid="{A08E3CCE-1D27-4463-B2B8-070E4AF4846F}"/>
  <tableColumns count="8">
    <tableColumn id="9" xr3:uid="{2B390E3A-08B7-4D03-8756-7852B0A4116A}" name="産業大分類" totalsRowLabel="合計" totalsRowDxfId="475"/>
    <tableColumn id="10" xr3:uid="{D02BDBE7-742C-494A-AFAA-C084C7876591}" name="総数／事業所数" totalsRowFunction="custom" totalsRowDxfId="474" dataCellStyle="桁区切り" totalsRowCellStyle="桁区切り">
      <totalsRowFormula>SUM(LTBL_08214[総数／事業所数])</totalsRowFormula>
    </tableColumn>
    <tableColumn id="11" xr3:uid="{42EECF81-593E-4A1B-9120-FE51650463EC}" name="総数／構成比" dataDxfId="473"/>
    <tableColumn id="12" xr3:uid="{536A4502-F00D-454E-BB37-6CCBFBA36710}" name="個人／事業所数" totalsRowFunction="sum" totalsRowDxfId="472" dataCellStyle="桁区切り" totalsRowCellStyle="桁区切り"/>
    <tableColumn id="13" xr3:uid="{5CC8C830-D675-402E-9A4F-B283CC7FA948}" name="個人／構成比" dataDxfId="471"/>
    <tableColumn id="14" xr3:uid="{973FFD0A-2111-43E7-9DF3-B7B3604C7E3A}" name="法人／事業所数" totalsRowFunction="sum" totalsRowDxfId="470" dataCellStyle="桁区切り" totalsRowCellStyle="桁区切り"/>
    <tableColumn id="15" xr3:uid="{5FF59B62-1653-446D-BCFF-BDFAE967D5E2}" name="法人／構成比" dataDxfId="469"/>
    <tableColumn id="16" xr3:uid="{5636607F-A193-4BA1-A060-241091C7ED1B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6B1B61E-0C07-4444-B6BB-8CCF95135542}" name="M_TABLE_08214" displayName="M_TABLE_08214" ref="B23:I43" totalsRowShown="0">
  <autoFilter ref="B23:I43" xr:uid="{96B1B61E-0C07-4444-B6BB-8CCF95135542}"/>
  <tableColumns count="8">
    <tableColumn id="9" xr3:uid="{F8827C1F-C90C-4507-BCDD-AB0413111F8A}" name="産業中分類上位２０"/>
    <tableColumn id="10" xr3:uid="{B24F6778-54B5-4193-AC87-72BC30287036}" name="総数／事業所数" dataCellStyle="桁区切り"/>
    <tableColumn id="11" xr3:uid="{A644F9DD-437C-474A-961C-E13BB3EDD893}" name="総数／構成比" dataDxfId="467"/>
    <tableColumn id="12" xr3:uid="{4C2A2A1B-79CC-4215-838E-AA2677D86827}" name="個人／事業所数" dataCellStyle="桁区切り"/>
    <tableColumn id="13" xr3:uid="{AD73CBF9-7A8C-4A1A-B6FA-956AEA270790}" name="個人／構成比" dataDxfId="466"/>
    <tableColumn id="14" xr3:uid="{AEBE8AE0-BA7D-4F29-BAAC-358DA03F200D}" name="法人／事業所数" dataCellStyle="桁区切り"/>
    <tableColumn id="15" xr3:uid="{FF8DA060-07A5-41C7-8D06-BCAC00F2C5BD}" name="法人／構成比" dataDxfId="465"/>
    <tableColumn id="16" xr3:uid="{4608F15C-9A2C-4B91-9B5B-68DE2F3DFAAF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B8E9366-A73C-4A6F-8BBD-527D4349926D}" name="S_TABLE_08214" displayName="S_TABLE_08214" ref="B46:I67" totalsRowShown="0">
  <autoFilter ref="B46:I67" xr:uid="{EB8E9366-A73C-4A6F-8BBD-527D4349926D}"/>
  <tableColumns count="8">
    <tableColumn id="9" xr3:uid="{1A6152B9-F183-4C81-A7AF-AB0DFD11B3EC}" name="産業小分類上位２０"/>
    <tableColumn id="10" xr3:uid="{D6DB6777-D58C-44CF-B9C7-1D575F6B8731}" name="総数／事業所数" dataCellStyle="桁区切り"/>
    <tableColumn id="11" xr3:uid="{AA254328-1FA6-4A4B-9DCB-7F96EDA82BD6}" name="総数／構成比" dataDxfId="464"/>
    <tableColumn id="12" xr3:uid="{CBD30475-6E92-4856-B617-2CDBCD86B921}" name="個人／事業所数" dataCellStyle="桁区切り"/>
    <tableColumn id="13" xr3:uid="{52AAD969-87FA-4948-966A-505A635620E2}" name="個人／構成比" dataDxfId="463"/>
    <tableColumn id="14" xr3:uid="{7BE8BB96-1C8F-4AB2-B614-76313013CFE3}" name="法人／事業所数" dataCellStyle="桁区切り"/>
    <tableColumn id="15" xr3:uid="{F637B44D-D9DF-422F-886A-164BE6603119}" name="法人／構成比" dataDxfId="462"/>
    <tableColumn id="16" xr3:uid="{A7C65CD1-857B-44E2-95D8-43B55F75BEE6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5A1FD80-AEA2-470A-8712-E5806934AFF7}" name="LTBL_08215" displayName="LTBL_08215" ref="B4:I20" totalsRowCount="1">
  <autoFilter ref="B4:I19" xr:uid="{F5A1FD80-AEA2-470A-8712-E5806934AFF7}"/>
  <tableColumns count="8">
    <tableColumn id="9" xr3:uid="{1180AAF2-9AB6-401C-B1ED-0DD9D5713ECF}" name="産業大分類" totalsRowLabel="合計" totalsRowDxfId="461"/>
    <tableColumn id="10" xr3:uid="{B6F4F649-4810-42CB-B7C6-228512E1485F}" name="総数／事業所数" totalsRowFunction="custom" totalsRowDxfId="460" dataCellStyle="桁区切り" totalsRowCellStyle="桁区切り">
      <totalsRowFormula>SUM(LTBL_08215[総数／事業所数])</totalsRowFormula>
    </tableColumn>
    <tableColumn id="11" xr3:uid="{CE2260AF-FB21-42A3-9DFD-6E5ADD928C68}" name="総数／構成比" dataDxfId="459"/>
    <tableColumn id="12" xr3:uid="{DD38425C-EF42-4BBE-B8A5-E8AD5E6BDAF6}" name="個人／事業所数" totalsRowFunction="sum" totalsRowDxfId="458" dataCellStyle="桁区切り" totalsRowCellStyle="桁区切り"/>
    <tableColumn id="13" xr3:uid="{D7981A08-53F0-475A-8CD6-F2764A4495A0}" name="個人／構成比" dataDxfId="457"/>
    <tableColumn id="14" xr3:uid="{61AE6E6F-6983-4038-94BA-BE99DF38BC89}" name="法人／事業所数" totalsRowFunction="sum" totalsRowDxfId="456" dataCellStyle="桁区切り" totalsRowCellStyle="桁区切り"/>
    <tableColumn id="15" xr3:uid="{2FE552A9-A3C5-49A8-A121-2588AC5194BE}" name="法人／構成比" dataDxfId="455"/>
    <tableColumn id="16" xr3:uid="{3340AC3A-1E52-4AEF-A556-836FF0CBF7C8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0A75058-CF8C-410D-9FCB-EAD2670F9741}" name="M_TABLE_08215" displayName="M_TABLE_08215" ref="B23:I43" totalsRowShown="0">
  <autoFilter ref="B23:I43" xr:uid="{B0A75058-CF8C-410D-9FCB-EAD2670F9741}"/>
  <tableColumns count="8">
    <tableColumn id="9" xr3:uid="{50756539-C794-41E1-B1F5-BD33E507CD21}" name="産業中分類上位２０"/>
    <tableColumn id="10" xr3:uid="{9F029BF8-A4BA-4FAF-B709-7BE8EC71927B}" name="総数／事業所数" dataCellStyle="桁区切り"/>
    <tableColumn id="11" xr3:uid="{2C576C14-DDAA-4C27-86E2-EC23CD525A0C}" name="総数／構成比" dataDxfId="453"/>
    <tableColumn id="12" xr3:uid="{CE7C618D-9EDF-49E8-A107-05CB1AC855CF}" name="個人／事業所数" dataCellStyle="桁区切り"/>
    <tableColumn id="13" xr3:uid="{8DD3748C-902D-4CE4-9B32-24A8A51C7F57}" name="個人／構成比" dataDxfId="452"/>
    <tableColumn id="14" xr3:uid="{61B1CD4A-5B06-4594-9224-07661AC1F87E}" name="法人／事業所数" dataCellStyle="桁区切り"/>
    <tableColumn id="15" xr3:uid="{835C6C0B-CB14-439D-8545-BB0A7BBE6849}" name="法人／構成比" dataDxfId="451"/>
    <tableColumn id="16" xr3:uid="{DE7C3531-D72E-4188-819F-282322410FB9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B33AF90-CB5F-4AF3-8AA5-857206A4D9C3}" name="S_TABLE_08215" displayName="S_TABLE_08215" ref="B46:I67" totalsRowShown="0">
  <autoFilter ref="B46:I67" xr:uid="{8B33AF90-CB5F-4AF3-8AA5-857206A4D9C3}"/>
  <tableColumns count="8">
    <tableColumn id="9" xr3:uid="{676A00CB-1070-42AB-BC8E-289B834C09DE}" name="産業小分類上位２０"/>
    <tableColumn id="10" xr3:uid="{441C1617-0CB2-44A5-9DED-B64493866470}" name="総数／事業所数" dataCellStyle="桁区切り"/>
    <tableColumn id="11" xr3:uid="{5D798407-A9C0-4116-BB2C-358917F8C4DA}" name="総数／構成比" dataDxfId="450"/>
    <tableColumn id="12" xr3:uid="{C843E9D3-18DC-41D3-8F28-C7DA453ABF84}" name="個人／事業所数" dataCellStyle="桁区切り"/>
    <tableColumn id="13" xr3:uid="{54CE347F-F0CA-40F8-A4AB-DB4250059A83}" name="個人／構成比" dataDxfId="449"/>
    <tableColumn id="14" xr3:uid="{718E370F-9BBF-42C6-9E73-2847CCAD068F}" name="法人／事業所数" dataCellStyle="桁区切り"/>
    <tableColumn id="15" xr3:uid="{80F31430-39BE-4B1B-AE8F-FECFE258FF04}" name="法人／構成比" dataDxfId="448"/>
    <tableColumn id="16" xr3:uid="{CDF7DE3D-F5A8-4188-BA31-F1D13F0E5092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AACD03-A9B0-4323-ABBF-BCCB3257E232}" name="LTBL_08201" displayName="LTBL_08201" ref="B4:I20" totalsRowCount="1">
  <autoFilter ref="B4:I19" xr:uid="{16AACD03-A9B0-4323-ABBF-BCCB3257E232}"/>
  <tableColumns count="8">
    <tableColumn id="9" xr3:uid="{BDCBDBD2-5562-4E6E-8EFB-F45D1B95DAC4}" name="産業大分類" totalsRowLabel="合計" totalsRowDxfId="615"/>
    <tableColumn id="10" xr3:uid="{D4F0A555-D3BA-4949-A302-39789417A4BD}" name="総数／事業所数" totalsRowFunction="custom" totalsRowDxfId="614" dataCellStyle="桁区切り" totalsRowCellStyle="桁区切り">
      <totalsRowFormula>SUM(LTBL_08201[総数／事業所数])</totalsRowFormula>
    </tableColumn>
    <tableColumn id="11" xr3:uid="{66F47D39-719D-4258-9988-0AE02128B0BD}" name="総数／構成比" dataDxfId="613"/>
    <tableColumn id="12" xr3:uid="{24DE7213-8A34-4D7D-8338-EF0C56C5397A}" name="個人／事業所数" totalsRowFunction="sum" totalsRowDxfId="612" dataCellStyle="桁区切り" totalsRowCellStyle="桁区切り"/>
    <tableColumn id="13" xr3:uid="{57396E40-0C95-4F9B-8477-576D7FE7CC57}" name="個人／構成比" dataDxfId="611"/>
    <tableColumn id="14" xr3:uid="{02176D5F-742C-4E55-8E93-2367147BCE61}" name="法人／事業所数" totalsRowFunction="sum" totalsRowDxfId="610" dataCellStyle="桁区切り" totalsRowCellStyle="桁区切り"/>
    <tableColumn id="15" xr3:uid="{062D222D-C4D0-4011-B43D-F210869DC6BC}" name="法人／構成比" dataDxfId="609"/>
    <tableColumn id="16" xr3:uid="{59F0A1C0-9B57-45CE-8666-65E58BD04175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649027A-40BA-4725-9B55-69D80DFF619D}" name="LTBL_08216" displayName="LTBL_08216" ref="B4:I20" totalsRowCount="1">
  <autoFilter ref="B4:I19" xr:uid="{9649027A-40BA-4725-9B55-69D80DFF619D}"/>
  <tableColumns count="8">
    <tableColumn id="9" xr3:uid="{1896ABCD-070E-4105-8932-2317E36FE944}" name="産業大分類" totalsRowLabel="合計" totalsRowDxfId="447"/>
    <tableColumn id="10" xr3:uid="{17ED1BC4-AE5D-4276-AF1F-1093CB3A556A}" name="総数／事業所数" totalsRowFunction="custom" totalsRowDxfId="446" dataCellStyle="桁区切り" totalsRowCellStyle="桁区切り">
      <totalsRowFormula>SUM(LTBL_08216[総数／事業所数])</totalsRowFormula>
    </tableColumn>
    <tableColumn id="11" xr3:uid="{E5C3EB16-A694-4DFA-ABA5-F73B4DFDF6E7}" name="総数／構成比" dataDxfId="445"/>
    <tableColumn id="12" xr3:uid="{9AFC5D2C-7312-4553-A33B-E285199C2767}" name="個人／事業所数" totalsRowFunction="sum" totalsRowDxfId="444" dataCellStyle="桁区切り" totalsRowCellStyle="桁区切り"/>
    <tableColumn id="13" xr3:uid="{BCBE4BF2-C1B2-48C3-9397-9E10DE91EB8F}" name="個人／構成比" dataDxfId="443"/>
    <tableColumn id="14" xr3:uid="{E1E38F3B-4B5E-4566-BD63-5CA55AFC030A}" name="法人／事業所数" totalsRowFunction="sum" totalsRowDxfId="442" dataCellStyle="桁区切り" totalsRowCellStyle="桁区切り"/>
    <tableColumn id="15" xr3:uid="{131FA901-A0B1-4008-BDFC-F67C63BAD900}" name="法人／構成比" dataDxfId="441"/>
    <tableColumn id="16" xr3:uid="{3AAF9229-443E-406C-ACFF-31A46AC6AE8C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B23E290-ACB6-475B-8A01-38D567096286}" name="M_TABLE_08216" displayName="M_TABLE_08216" ref="B23:I44" totalsRowShown="0">
  <autoFilter ref="B23:I44" xr:uid="{7B23E290-ACB6-475B-8A01-38D567096286}"/>
  <tableColumns count="8">
    <tableColumn id="9" xr3:uid="{711E4054-1834-4059-A9B4-B9464CE89DC5}" name="産業中分類上位２０"/>
    <tableColumn id="10" xr3:uid="{39263E04-3AA5-4B83-8B4A-24F3622E1803}" name="総数／事業所数" dataCellStyle="桁区切り"/>
    <tableColumn id="11" xr3:uid="{EEE063FC-5EAE-4122-9C96-E512FA2A7866}" name="総数／構成比" dataDxfId="439"/>
    <tableColumn id="12" xr3:uid="{A0290187-BDDF-49E9-A4B5-10EEB4C29484}" name="個人／事業所数" dataCellStyle="桁区切り"/>
    <tableColumn id="13" xr3:uid="{3E444A8E-0678-479C-A310-63FCF9281290}" name="個人／構成比" dataDxfId="438"/>
    <tableColumn id="14" xr3:uid="{82895F94-27DE-4494-9168-B8B14769DA59}" name="法人／事業所数" dataCellStyle="桁区切り"/>
    <tableColumn id="15" xr3:uid="{90DDEB58-0FD1-4FA8-89D5-947E909A5611}" name="法人／構成比" dataDxfId="437"/>
    <tableColumn id="16" xr3:uid="{F77CA495-9B28-4385-ADB1-FB85EEA3201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E631825-191C-43D0-A31F-008BD53FB671}" name="S_TABLE_08216" displayName="S_TABLE_08216" ref="B47:I67" totalsRowShown="0">
  <autoFilter ref="B47:I67" xr:uid="{EE631825-191C-43D0-A31F-008BD53FB671}"/>
  <tableColumns count="8">
    <tableColumn id="9" xr3:uid="{1BEC16BE-E35F-45C2-A9B5-24B2D5F70EEA}" name="産業小分類上位２０"/>
    <tableColumn id="10" xr3:uid="{22B27A8C-5478-48D6-9834-30E2324C426A}" name="総数／事業所数" dataCellStyle="桁区切り"/>
    <tableColumn id="11" xr3:uid="{FB5E153B-4F63-4CC2-BBB9-93698A7A65DB}" name="総数／構成比" dataDxfId="436"/>
    <tableColumn id="12" xr3:uid="{0B6A1A07-E4BA-4D93-9448-A06F39361305}" name="個人／事業所数" dataCellStyle="桁区切り"/>
    <tableColumn id="13" xr3:uid="{BFDCD817-D570-4468-A24D-AEC3820B090A}" name="個人／構成比" dataDxfId="435"/>
    <tableColumn id="14" xr3:uid="{3014A6F1-7986-4E6C-8F19-D20DD7C03590}" name="法人／事業所数" dataCellStyle="桁区切り"/>
    <tableColumn id="15" xr3:uid="{2CB8A299-A7D9-4488-97FA-8A088367AACD}" name="法人／構成比" dataDxfId="434"/>
    <tableColumn id="16" xr3:uid="{79DE35C7-7A3A-4622-BD66-8E073C66508C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C721FF8-65D5-43DB-BC90-8FC1E10EF86A}" name="LTBL_08217" displayName="LTBL_08217" ref="B4:I20" totalsRowCount="1">
  <autoFilter ref="B4:I19" xr:uid="{1C721FF8-65D5-43DB-BC90-8FC1E10EF86A}"/>
  <tableColumns count="8">
    <tableColumn id="9" xr3:uid="{3F5C7A90-75F9-4EE5-B8D7-8D32B5C421CB}" name="産業大分類" totalsRowLabel="合計" totalsRowDxfId="433"/>
    <tableColumn id="10" xr3:uid="{34390973-DE4C-4173-9373-55B6634E27CB}" name="総数／事業所数" totalsRowFunction="custom" totalsRowDxfId="432" dataCellStyle="桁区切り" totalsRowCellStyle="桁区切り">
      <totalsRowFormula>SUM(LTBL_08217[総数／事業所数])</totalsRowFormula>
    </tableColumn>
    <tableColumn id="11" xr3:uid="{16EA164F-8843-4685-AB49-0D911CC55E93}" name="総数／構成比" dataDxfId="431"/>
    <tableColumn id="12" xr3:uid="{384390D2-4702-41A3-B89C-06746323DFDD}" name="個人／事業所数" totalsRowFunction="sum" totalsRowDxfId="430" dataCellStyle="桁区切り" totalsRowCellStyle="桁区切り"/>
    <tableColumn id="13" xr3:uid="{2A598F17-4547-43C9-92BC-5603C47F7CBD}" name="個人／構成比" dataDxfId="429"/>
    <tableColumn id="14" xr3:uid="{F01E39F9-05A7-44BA-8603-2842F8858AFD}" name="法人／事業所数" totalsRowFunction="sum" totalsRowDxfId="428" dataCellStyle="桁区切り" totalsRowCellStyle="桁区切り"/>
    <tableColumn id="15" xr3:uid="{28E10C7D-2421-49D3-A819-82CA2C0D7ED0}" name="法人／構成比" dataDxfId="427"/>
    <tableColumn id="16" xr3:uid="{1F27C2C6-8B5C-4FF7-A282-6FED697A168C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A73E6BC-CFA7-488A-91EC-06AFDD90F613}" name="M_TABLE_08217" displayName="M_TABLE_08217" ref="B23:I43" totalsRowShown="0">
  <autoFilter ref="B23:I43" xr:uid="{AA73E6BC-CFA7-488A-91EC-06AFDD90F613}"/>
  <tableColumns count="8">
    <tableColumn id="9" xr3:uid="{BE0CC545-FC7F-4DA6-95C7-C586ED1DF0EB}" name="産業中分類上位２０"/>
    <tableColumn id="10" xr3:uid="{59A8D23D-1A48-4F09-A8A2-4CF6247EE5D8}" name="総数／事業所数" dataCellStyle="桁区切り"/>
    <tableColumn id="11" xr3:uid="{452D8EC2-81C3-4055-B209-EFB8637B46FD}" name="総数／構成比" dataDxfId="425"/>
    <tableColumn id="12" xr3:uid="{A3A24B46-CA66-4199-A554-89CBF82B1B1C}" name="個人／事業所数" dataCellStyle="桁区切り"/>
    <tableColumn id="13" xr3:uid="{DB47D081-BCF1-4BA0-8DB1-3D2A2C71CB87}" name="個人／構成比" dataDxfId="424"/>
    <tableColumn id="14" xr3:uid="{C050D41E-2D61-47D2-8CBB-BAA2E3550A0E}" name="法人／事業所数" dataCellStyle="桁区切り"/>
    <tableColumn id="15" xr3:uid="{A2E96343-2C4A-4AD4-AF7B-B52D1BDE55DE}" name="法人／構成比" dataDxfId="423"/>
    <tableColumn id="16" xr3:uid="{B16F0173-AD23-489B-A028-F4D5E769487F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B593745-893C-4B01-9CE9-EF8055E495F7}" name="S_TABLE_08217" displayName="S_TABLE_08217" ref="B46:I67" totalsRowShown="0">
  <autoFilter ref="B46:I67" xr:uid="{6B593745-893C-4B01-9CE9-EF8055E495F7}"/>
  <tableColumns count="8">
    <tableColumn id="9" xr3:uid="{E1122D0D-64D3-42CF-9525-4271AAE77C87}" name="産業小分類上位２０"/>
    <tableColumn id="10" xr3:uid="{86AC2687-DFD8-4749-872A-0AA98905CA24}" name="総数／事業所数" dataCellStyle="桁区切り"/>
    <tableColumn id="11" xr3:uid="{701915DC-F765-4509-917C-AB779F9AAA92}" name="総数／構成比" dataDxfId="422"/>
    <tableColumn id="12" xr3:uid="{FA1DB023-28D7-419F-ADFB-64F039981746}" name="個人／事業所数" dataCellStyle="桁区切り"/>
    <tableColumn id="13" xr3:uid="{A6831664-FFAC-41FD-A675-01A23E1BA992}" name="個人／構成比" dataDxfId="421"/>
    <tableColumn id="14" xr3:uid="{15C8268D-A6C5-4572-9E50-4995028D103C}" name="法人／事業所数" dataCellStyle="桁区切り"/>
    <tableColumn id="15" xr3:uid="{E3743CF8-CCF5-45D2-9880-CB1495C12ADF}" name="法人／構成比" dataDxfId="420"/>
    <tableColumn id="16" xr3:uid="{CB93567C-4F07-4F99-B208-DDA45EF366B5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A49A0DB-3778-43F6-A67E-969473C00886}" name="LTBL_08219" displayName="LTBL_08219" ref="B4:I20" totalsRowCount="1">
  <autoFilter ref="B4:I19" xr:uid="{EA49A0DB-3778-43F6-A67E-969473C00886}"/>
  <tableColumns count="8">
    <tableColumn id="9" xr3:uid="{A8493542-4720-4DBF-92A2-8AE0DC965887}" name="産業大分類" totalsRowLabel="合計" totalsRowDxfId="419"/>
    <tableColumn id="10" xr3:uid="{A02281E2-28C2-477E-A5A1-DA75E1BE13A0}" name="総数／事業所数" totalsRowFunction="custom" totalsRowDxfId="418" dataCellStyle="桁区切り" totalsRowCellStyle="桁区切り">
      <totalsRowFormula>SUM(LTBL_08219[総数／事業所数])</totalsRowFormula>
    </tableColumn>
    <tableColumn id="11" xr3:uid="{49F8AE0D-6416-4D7F-9B7E-BAE64C0D8DA1}" name="総数／構成比" dataDxfId="417"/>
    <tableColumn id="12" xr3:uid="{747D91EA-2C2E-4596-B01A-1DECAABFD429}" name="個人／事業所数" totalsRowFunction="sum" totalsRowDxfId="416" dataCellStyle="桁区切り" totalsRowCellStyle="桁区切り"/>
    <tableColumn id="13" xr3:uid="{27329719-BBA6-4223-AB2B-374B354FF93F}" name="個人／構成比" dataDxfId="415"/>
    <tableColumn id="14" xr3:uid="{6D0F3754-E3E9-49CF-ABDC-D341B43E48FB}" name="法人／事業所数" totalsRowFunction="sum" totalsRowDxfId="414" dataCellStyle="桁区切り" totalsRowCellStyle="桁区切り"/>
    <tableColumn id="15" xr3:uid="{44113304-BC8F-408B-8C85-BD4690C9DB7B}" name="法人／構成比" dataDxfId="413"/>
    <tableColumn id="16" xr3:uid="{CC68449F-5E98-47EF-B6FD-27F25A36090C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80408692-8401-4506-8FCA-A4B022F37F0F}" name="M_TABLE_08219" displayName="M_TABLE_08219" ref="B23:I43" totalsRowShown="0">
  <autoFilter ref="B23:I43" xr:uid="{80408692-8401-4506-8FCA-A4B022F37F0F}"/>
  <tableColumns count="8">
    <tableColumn id="9" xr3:uid="{561CAC8C-8AA2-4651-A41B-8B858122DFB8}" name="産業中分類上位２０"/>
    <tableColumn id="10" xr3:uid="{2FCD33DB-3048-4CBC-ABF9-1E208AB2FFC4}" name="総数／事業所数" dataCellStyle="桁区切り"/>
    <tableColumn id="11" xr3:uid="{1B97DD16-A1CB-4183-BB11-5F42CC504EB5}" name="総数／構成比" dataDxfId="411"/>
    <tableColumn id="12" xr3:uid="{3EB53C63-342F-4603-A9DE-036544DD4262}" name="個人／事業所数" dataCellStyle="桁区切り"/>
    <tableColumn id="13" xr3:uid="{FD4C6AED-9CBD-4B12-8050-6E7FFD4F1A12}" name="個人／構成比" dataDxfId="410"/>
    <tableColumn id="14" xr3:uid="{1AF431E1-443F-4F59-BF19-E2F64339E5AC}" name="法人／事業所数" dataCellStyle="桁区切り"/>
    <tableColumn id="15" xr3:uid="{57F7CF41-957C-41E8-94C8-9AB6E29A60D1}" name="法人／構成比" dataDxfId="409"/>
    <tableColumn id="16" xr3:uid="{C1126736-7E9D-4FB6-BEB6-569A07942589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9BAF8F2-C8CE-433C-9758-8F95540099FD}" name="S_TABLE_08219" displayName="S_TABLE_08219" ref="B46:I67" totalsRowShown="0">
  <autoFilter ref="B46:I67" xr:uid="{E9BAF8F2-C8CE-433C-9758-8F95540099FD}"/>
  <tableColumns count="8">
    <tableColumn id="9" xr3:uid="{9E0B19A8-B9B3-448F-9010-023CCE90D31F}" name="産業小分類上位２０"/>
    <tableColumn id="10" xr3:uid="{1623ECEB-3F1A-4A60-AF40-FE9343D78A64}" name="総数／事業所数" dataCellStyle="桁区切り"/>
    <tableColumn id="11" xr3:uid="{713BD788-7421-465E-9824-F93BEF4E6959}" name="総数／構成比" dataDxfId="408"/>
    <tableColumn id="12" xr3:uid="{B9F4ACF4-6E62-47B7-931F-8B9E5D714FD6}" name="個人／事業所数" dataCellStyle="桁区切り"/>
    <tableColumn id="13" xr3:uid="{73D34C3D-FA7B-49B8-9B31-B08A6B8A46E0}" name="個人／構成比" dataDxfId="407"/>
    <tableColumn id="14" xr3:uid="{1FD7F927-2E34-4A14-8DC0-59FE1AE21F8A}" name="法人／事業所数" dataCellStyle="桁区切り"/>
    <tableColumn id="15" xr3:uid="{7F2D4643-C94A-42F8-B25B-7F5AE346AF7D}" name="法人／構成比" dataDxfId="406"/>
    <tableColumn id="16" xr3:uid="{A8D91DA9-AB91-49C4-B0DE-511A55E7EE4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C71DADD-66FF-40FB-BFC5-8FA851896095}" name="LTBL_08220" displayName="LTBL_08220" ref="B4:I20" totalsRowCount="1">
  <autoFilter ref="B4:I19" xr:uid="{CC71DADD-66FF-40FB-BFC5-8FA851896095}"/>
  <tableColumns count="8">
    <tableColumn id="9" xr3:uid="{2AA741BB-143E-4E84-8DBD-1D9C94D37DC4}" name="産業大分類" totalsRowLabel="合計" totalsRowDxfId="405"/>
    <tableColumn id="10" xr3:uid="{4F459369-F48D-49F6-BEA2-FCF21287144E}" name="総数／事業所数" totalsRowFunction="custom" totalsRowDxfId="404" dataCellStyle="桁区切り" totalsRowCellStyle="桁区切り">
      <totalsRowFormula>SUM(LTBL_08220[総数／事業所数])</totalsRowFormula>
    </tableColumn>
    <tableColumn id="11" xr3:uid="{1C697C1A-55DF-4F6F-88EF-CB77324A34BB}" name="総数／構成比" dataDxfId="403"/>
    <tableColumn id="12" xr3:uid="{EF788B63-AD0E-4E19-93C0-C669388F772A}" name="個人／事業所数" totalsRowFunction="sum" totalsRowDxfId="402" dataCellStyle="桁区切り" totalsRowCellStyle="桁区切り"/>
    <tableColumn id="13" xr3:uid="{A1F03EE0-9ABF-477B-A508-6386DD440C05}" name="個人／構成比" dataDxfId="401"/>
    <tableColumn id="14" xr3:uid="{15CC9937-4BFD-4EEA-95F1-9FDC0A1873B9}" name="法人／事業所数" totalsRowFunction="sum" totalsRowDxfId="400" dataCellStyle="桁区切り" totalsRowCellStyle="桁区切り"/>
    <tableColumn id="15" xr3:uid="{5624D1C5-A23B-44A2-9A49-D87D5D42AB9F}" name="法人／構成比" dataDxfId="399"/>
    <tableColumn id="16" xr3:uid="{35034020-0D94-455E-9604-E2B1C8105140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41C68E-3462-4F12-BEBD-1377480919DE}" name="M_TABLE_08201" displayName="M_TABLE_08201" ref="B23:I43" totalsRowShown="0">
  <autoFilter ref="B23:I43" xr:uid="{6641C68E-3462-4F12-BEBD-1377480919DE}"/>
  <tableColumns count="8">
    <tableColumn id="9" xr3:uid="{7BDCE49C-9C72-4016-B32F-ABE5C25C35D8}" name="産業中分類上位２０"/>
    <tableColumn id="10" xr3:uid="{F89D7317-C796-4343-97CD-4FFDF78171E9}" name="総数／事業所数" dataCellStyle="桁区切り"/>
    <tableColumn id="11" xr3:uid="{BAD9B88D-A14F-40CB-A452-C79EBE86A891}" name="総数／構成比" dataDxfId="607"/>
    <tableColumn id="12" xr3:uid="{ACDD618C-35A1-4812-963B-2409386B48BD}" name="個人／事業所数" dataCellStyle="桁区切り"/>
    <tableColumn id="13" xr3:uid="{398272F8-86B4-413E-B3CE-2AF2607E1AF9}" name="個人／構成比" dataDxfId="606"/>
    <tableColumn id="14" xr3:uid="{E90DF1CF-D5B8-4A09-ADD2-C7AD63E1324F}" name="法人／事業所数" dataCellStyle="桁区切り"/>
    <tableColumn id="15" xr3:uid="{1774A6DB-1924-4F1B-8FA7-56DF9A974DBA}" name="法人／構成比" dataDxfId="605"/>
    <tableColumn id="16" xr3:uid="{E05847B8-5F46-4367-A0D6-C36378A83C4F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DD7D639-CBCC-40DE-AA88-D072428AA301}" name="M_TABLE_08220" displayName="M_TABLE_08220" ref="B23:I44" totalsRowShown="0">
  <autoFilter ref="B23:I44" xr:uid="{4DD7D639-CBCC-40DE-AA88-D072428AA301}"/>
  <tableColumns count="8">
    <tableColumn id="9" xr3:uid="{AA07549F-0FF0-4F45-89F6-72779F48F5CC}" name="産業中分類上位２０"/>
    <tableColumn id="10" xr3:uid="{E1C34DF2-9C09-4D86-87A7-DD56B07F01B8}" name="総数／事業所数" dataCellStyle="桁区切り"/>
    <tableColumn id="11" xr3:uid="{2C2987DB-0683-4BEB-842D-17C2AD0C892A}" name="総数／構成比" dataDxfId="397"/>
    <tableColumn id="12" xr3:uid="{78999AD4-1F36-4AC3-8AE9-3CAD396D7166}" name="個人／事業所数" dataCellStyle="桁区切り"/>
    <tableColumn id="13" xr3:uid="{75BD98BF-84AC-4D36-8156-351CED01F344}" name="個人／構成比" dataDxfId="396"/>
    <tableColumn id="14" xr3:uid="{30F832E4-96A5-4796-8132-0B8003E1EA25}" name="法人／事業所数" dataCellStyle="桁区切り"/>
    <tableColumn id="15" xr3:uid="{1111C80E-4201-453B-B8A7-20974FE19D95}" name="法人／構成比" dataDxfId="395"/>
    <tableColumn id="16" xr3:uid="{16975E29-A9F7-4A6E-99EE-005597DE31EE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DA822AB-2256-4E93-B109-78A70BCC75D2}" name="S_TABLE_08220" displayName="S_TABLE_08220" ref="B47:I67" totalsRowShown="0">
  <autoFilter ref="B47:I67" xr:uid="{1DA822AB-2256-4E93-B109-78A70BCC75D2}"/>
  <tableColumns count="8">
    <tableColumn id="9" xr3:uid="{B91B53FE-E117-4D86-BAC9-7E1B410940F6}" name="産業小分類上位２０"/>
    <tableColumn id="10" xr3:uid="{2E3D5CEA-F19F-43E9-A856-CDEF51D61ED0}" name="総数／事業所数" dataCellStyle="桁区切り"/>
    <tableColumn id="11" xr3:uid="{B888EA21-4017-4055-89FF-ECBF1A1EA956}" name="総数／構成比" dataDxfId="394"/>
    <tableColumn id="12" xr3:uid="{D8A94C7B-804B-4CF7-9D43-870BB9E97240}" name="個人／事業所数" dataCellStyle="桁区切り"/>
    <tableColumn id="13" xr3:uid="{D8E1A2B5-CD58-4093-8561-4EF212178EA7}" name="個人／構成比" dataDxfId="393"/>
    <tableColumn id="14" xr3:uid="{BD9E6843-DA57-4051-80CD-44234CEF4017}" name="法人／事業所数" dataCellStyle="桁区切り"/>
    <tableColumn id="15" xr3:uid="{26786B40-C0CA-4FAC-83BC-76D3EB0CBAC0}" name="法人／構成比" dataDxfId="392"/>
    <tableColumn id="16" xr3:uid="{93A96947-CFE1-4D29-BABC-5400C9A40901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8712BCA-68F9-46E4-BFCA-15BEF32F8374}" name="LTBL_08221" displayName="LTBL_08221" ref="B4:I20" totalsRowCount="1">
  <autoFilter ref="B4:I19" xr:uid="{68712BCA-68F9-46E4-BFCA-15BEF32F8374}"/>
  <tableColumns count="8">
    <tableColumn id="9" xr3:uid="{90740066-B7AB-4E12-A30B-888FBA7BDEC2}" name="産業大分類" totalsRowLabel="合計" totalsRowDxfId="391"/>
    <tableColumn id="10" xr3:uid="{581DB424-3625-4D4B-A6A4-BE0B6BBF87DA}" name="総数／事業所数" totalsRowFunction="custom" totalsRowDxfId="390" dataCellStyle="桁区切り" totalsRowCellStyle="桁区切り">
      <totalsRowFormula>SUM(LTBL_08221[総数／事業所数])</totalsRowFormula>
    </tableColumn>
    <tableColumn id="11" xr3:uid="{92DD8366-0321-451A-80B5-EBF95DDD1E9F}" name="総数／構成比" dataDxfId="389"/>
    <tableColumn id="12" xr3:uid="{6C6B2AF5-EBDA-4B1A-97CD-56AACC74D85F}" name="個人／事業所数" totalsRowFunction="sum" totalsRowDxfId="388" dataCellStyle="桁区切り" totalsRowCellStyle="桁区切り"/>
    <tableColumn id="13" xr3:uid="{906393C0-E661-44AA-AD6D-EA56D1119A0E}" name="個人／構成比" dataDxfId="387"/>
    <tableColumn id="14" xr3:uid="{422F542A-25DA-4A3F-9D8E-38A5663FE0C3}" name="法人／事業所数" totalsRowFunction="sum" totalsRowDxfId="386" dataCellStyle="桁区切り" totalsRowCellStyle="桁区切り"/>
    <tableColumn id="15" xr3:uid="{5FC4C7AC-965E-447E-82D1-7A1721610723}" name="法人／構成比" dataDxfId="385"/>
    <tableColumn id="16" xr3:uid="{0A60AB72-B4E6-44E2-BBC2-1C9D3EB3241E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FB92C549-7FBD-4B9B-BF80-FF012D844CDD}" name="M_TABLE_08221" displayName="M_TABLE_08221" ref="B23:I43" totalsRowShown="0">
  <autoFilter ref="B23:I43" xr:uid="{FB92C549-7FBD-4B9B-BF80-FF012D844CDD}"/>
  <tableColumns count="8">
    <tableColumn id="9" xr3:uid="{7C547550-F14E-4105-8D7E-D0ED71B0FFF9}" name="産業中分類上位２０"/>
    <tableColumn id="10" xr3:uid="{617889D6-B33B-4601-9AF8-843B3E5FB9B2}" name="総数／事業所数" dataCellStyle="桁区切り"/>
    <tableColumn id="11" xr3:uid="{15576A1A-8BE6-4773-8E3F-2C1244D853BB}" name="総数／構成比" dataDxfId="383"/>
    <tableColumn id="12" xr3:uid="{68D9C159-E13D-4947-B412-8E40F2D70DD3}" name="個人／事業所数" dataCellStyle="桁区切り"/>
    <tableColumn id="13" xr3:uid="{6171D2D4-91A8-457F-9950-C7E7BEB37514}" name="個人／構成比" dataDxfId="382"/>
    <tableColumn id="14" xr3:uid="{E3C9EF26-875B-411C-B51D-C76EEA406A91}" name="法人／事業所数" dataCellStyle="桁区切り"/>
    <tableColumn id="15" xr3:uid="{E1F24BDA-E714-4A35-B753-3B8DEA1E34F1}" name="法人／構成比" dataDxfId="381"/>
    <tableColumn id="16" xr3:uid="{E2E90223-E911-4E4A-BFA1-E563214E66AD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B048558-7E95-4FD1-9F76-F1921BDD2CC6}" name="S_TABLE_08221" displayName="S_TABLE_08221" ref="B46:I66" totalsRowShown="0">
  <autoFilter ref="B46:I66" xr:uid="{6B048558-7E95-4FD1-9F76-F1921BDD2CC6}"/>
  <tableColumns count="8">
    <tableColumn id="9" xr3:uid="{92A64C4B-10F0-44AC-AA51-2A55EA0C2C5A}" name="産業小分類上位２０"/>
    <tableColumn id="10" xr3:uid="{D6508216-4277-41C2-B226-19BD4265C4C7}" name="総数／事業所数" dataCellStyle="桁区切り"/>
    <tableColumn id="11" xr3:uid="{23C48C7B-15F1-4B51-A421-FE6C495F771D}" name="総数／構成比" dataDxfId="380"/>
    <tableColumn id="12" xr3:uid="{281AE75D-202B-4FE4-A886-EAAB2334DFED}" name="個人／事業所数" dataCellStyle="桁区切り"/>
    <tableColumn id="13" xr3:uid="{57CAA12F-98C5-43B7-8894-3ABEF4A878EB}" name="個人／構成比" dataDxfId="379"/>
    <tableColumn id="14" xr3:uid="{D74F7BDC-396E-4D58-9F6E-ABE5450F955B}" name="法人／事業所数" dataCellStyle="桁区切り"/>
    <tableColumn id="15" xr3:uid="{62061127-0ED0-43EB-B627-3ECD46E4F699}" name="法人／構成比" dataDxfId="378"/>
    <tableColumn id="16" xr3:uid="{89F3109F-2320-4FDD-80C2-6952481F59AD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DEE5F52-7694-47A1-841F-2110E6E6A9AE}" name="LTBL_08222" displayName="LTBL_08222" ref="B4:I20" totalsRowCount="1">
  <autoFilter ref="B4:I19" xr:uid="{6DEE5F52-7694-47A1-841F-2110E6E6A9AE}"/>
  <tableColumns count="8">
    <tableColumn id="9" xr3:uid="{7E107210-43D7-42D6-86DE-F8BED557C25B}" name="産業大分類" totalsRowLabel="合計" totalsRowDxfId="377"/>
    <tableColumn id="10" xr3:uid="{483C4D44-3209-41B5-9158-D96BF0C82E52}" name="総数／事業所数" totalsRowFunction="custom" totalsRowDxfId="376" dataCellStyle="桁区切り" totalsRowCellStyle="桁区切り">
      <totalsRowFormula>SUM(LTBL_08222[総数／事業所数])</totalsRowFormula>
    </tableColumn>
    <tableColumn id="11" xr3:uid="{56A495B5-BEBF-4DE1-8CB4-8E8EA39CBD83}" name="総数／構成比" dataDxfId="375"/>
    <tableColumn id="12" xr3:uid="{59B16BD5-7DED-4489-8867-3A07CC78736C}" name="個人／事業所数" totalsRowFunction="sum" totalsRowDxfId="374" dataCellStyle="桁区切り" totalsRowCellStyle="桁区切り"/>
    <tableColumn id="13" xr3:uid="{5BC82857-A5D7-43C3-B4F9-F62BE2AD286C}" name="個人／構成比" dataDxfId="373"/>
    <tableColumn id="14" xr3:uid="{42CC173E-009B-4207-BCF0-780087B48A98}" name="法人／事業所数" totalsRowFunction="sum" totalsRowDxfId="372" dataCellStyle="桁区切り" totalsRowCellStyle="桁区切り"/>
    <tableColumn id="15" xr3:uid="{A68925E1-EEA4-439F-99D1-58BFEA2691AE}" name="法人／構成比" dataDxfId="371"/>
    <tableColumn id="16" xr3:uid="{F51B1845-04F7-47FA-A382-0C4EDE71FA88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58ABC7A-A8EA-4FF3-94F8-DE47D4683BFE}" name="M_TABLE_08222" displayName="M_TABLE_08222" ref="B23:I43" totalsRowShown="0">
  <autoFilter ref="B23:I43" xr:uid="{B58ABC7A-A8EA-4FF3-94F8-DE47D4683BFE}"/>
  <tableColumns count="8">
    <tableColumn id="9" xr3:uid="{E6303859-AFAC-4F29-8B8E-19EDE1446A66}" name="産業中分類上位２０"/>
    <tableColumn id="10" xr3:uid="{54A20D27-5C32-4FB8-A3F8-81DC73F136D0}" name="総数／事業所数" dataCellStyle="桁区切り"/>
    <tableColumn id="11" xr3:uid="{F94010A2-63D1-4F39-A95C-D716DBC42263}" name="総数／構成比" dataDxfId="369"/>
    <tableColumn id="12" xr3:uid="{FD9D1B43-8255-4F79-BF27-6755A34819EF}" name="個人／事業所数" dataCellStyle="桁区切り"/>
    <tableColumn id="13" xr3:uid="{B4A289D5-FABC-4349-A756-20079191F0D5}" name="個人／構成比" dataDxfId="368"/>
    <tableColumn id="14" xr3:uid="{D757E331-270D-4707-80B2-9F881127C06F}" name="法人／事業所数" dataCellStyle="桁区切り"/>
    <tableColumn id="15" xr3:uid="{3A104C85-8BC9-4E0F-A4B0-CFD81FDF5870}" name="法人／構成比" dataDxfId="367"/>
    <tableColumn id="16" xr3:uid="{7F3C6573-225B-4D15-9550-139168972A91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5AC55F9-43D4-4A46-8334-285821351CCE}" name="S_TABLE_08222" displayName="S_TABLE_08222" ref="B46:I66" totalsRowShown="0">
  <autoFilter ref="B46:I66" xr:uid="{95AC55F9-43D4-4A46-8334-285821351CCE}"/>
  <tableColumns count="8">
    <tableColumn id="9" xr3:uid="{8E921C56-5507-4B6A-9BD2-00E3DA2054FC}" name="産業小分類上位２０"/>
    <tableColumn id="10" xr3:uid="{F148025C-FB3B-4564-AD61-7F838BCBA909}" name="総数／事業所数" dataCellStyle="桁区切り"/>
    <tableColumn id="11" xr3:uid="{762AA42B-9C69-43E1-A7FF-5F0757420F7F}" name="総数／構成比" dataDxfId="366"/>
    <tableColumn id="12" xr3:uid="{09199A2F-DC9A-449F-8E47-CE96CEAF212C}" name="個人／事業所数" dataCellStyle="桁区切り"/>
    <tableColumn id="13" xr3:uid="{04DA0691-93AF-4C9D-A343-D1E6D52431DB}" name="個人／構成比" dataDxfId="365"/>
    <tableColumn id="14" xr3:uid="{41622E46-4D8E-49CF-9F79-FEB0E8AA221A}" name="法人／事業所数" dataCellStyle="桁区切り"/>
    <tableColumn id="15" xr3:uid="{DD3F1F2E-666B-4FD1-8B11-301BC5EA8336}" name="法人／構成比" dataDxfId="364"/>
    <tableColumn id="16" xr3:uid="{F548DF28-422B-4569-9E64-A59F0A41A0BD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318F37-DAD9-4D24-8750-6F461E42F0CF}" name="LTBL_08223" displayName="LTBL_08223" ref="B4:I20" totalsRowCount="1">
  <autoFilter ref="B4:I19" xr:uid="{08318F37-DAD9-4D24-8750-6F461E42F0CF}"/>
  <tableColumns count="8">
    <tableColumn id="9" xr3:uid="{3352AEE7-D95B-48B9-A69F-94DA17644568}" name="産業大分類" totalsRowLabel="合計" totalsRowDxfId="363"/>
    <tableColumn id="10" xr3:uid="{08E85557-ADD8-4343-94A4-9563EF6C2ED1}" name="総数／事業所数" totalsRowFunction="custom" totalsRowDxfId="362" dataCellStyle="桁区切り" totalsRowCellStyle="桁区切り">
      <totalsRowFormula>SUM(LTBL_08223[総数／事業所数])</totalsRowFormula>
    </tableColumn>
    <tableColumn id="11" xr3:uid="{B27A6C41-3DC5-4CCD-88FE-38CF04737068}" name="総数／構成比" dataDxfId="361"/>
    <tableColumn id="12" xr3:uid="{76CC6A53-CAD8-4040-81E0-7BD3441F3959}" name="個人／事業所数" totalsRowFunction="sum" totalsRowDxfId="360" dataCellStyle="桁区切り" totalsRowCellStyle="桁区切り"/>
    <tableColumn id="13" xr3:uid="{6759C781-831B-42C9-8BBF-198BB5004452}" name="個人／構成比" dataDxfId="359"/>
    <tableColumn id="14" xr3:uid="{93352C0F-8912-4AE4-9DF7-F8BDD4FAE811}" name="法人／事業所数" totalsRowFunction="sum" totalsRowDxfId="358" dataCellStyle="桁区切り" totalsRowCellStyle="桁区切り"/>
    <tableColumn id="15" xr3:uid="{57DD9436-42CC-4887-9B0F-710F580EB8BA}" name="法人／構成比" dataDxfId="357"/>
    <tableColumn id="16" xr3:uid="{0C77C683-B51D-460F-A55D-E16EABAC6E95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D464918-C7E7-488D-91F7-9B1665DB7A7B}" name="M_TABLE_08223" displayName="M_TABLE_08223" ref="B23:I43" totalsRowShown="0">
  <autoFilter ref="B23:I43" xr:uid="{3D464918-C7E7-488D-91F7-9B1665DB7A7B}"/>
  <tableColumns count="8">
    <tableColumn id="9" xr3:uid="{EA53D791-78FE-4BAD-A6DF-3ADB662B037C}" name="産業中分類上位２０"/>
    <tableColumn id="10" xr3:uid="{8AFD7A7F-3EB1-4843-A92A-413DE8B7117E}" name="総数／事業所数" dataCellStyle="桁区切り"/>
    <tableColumn id="11" xr3:uid="{86360E5B-BA43-4D33-8A8C-86103C83A45E}" name="総数／構成比" dataDxfId="355"/>
    <tableColumn id="12" xr3:uid="{92B5498C-5B84-401F-95F3-33C6ACCDB5B1}" name="個人／事業所数" dataCellStyle="桁区切り"/>
    <tableColumn id="13" xr3:uid="{62D57B37-12D5-4755-8176-23362989B1B3}" name="個人／構成比" dataDxfId="354"/>
    <tableColumn id="14" xr3:uid="{A2A3E14D-9D0F-4B03-80F9-FDA0F9C95380}" name="法人／事業所数" dataCellStyle="桁区切り"/>
    <tableColumn id="15" xr3:uid="{9EFE8B94-ED93-4267-B405-6DCAF27E55DE}" name="法人／構成比" dataDxfId="353"/>
    <tableColumn id="16" xr3:uid="{2D704D98-43A6-42C6-8630-88831C8F186F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817270-C6E5-4256-AE51-3048014FF7FD}" name="S_TABLE_08201" displayName="S_TABLE_08201" ref="B46:I66" totalsRowShown="0">
  <autoFilter ref="B46:I66" xr:uid="{E7817270-C6E5-4256-AE51-3048014FF7FD}"/>
  <tableColumns count="8">
    <tableColumn id="9" xr3:uid="{9B8E9C51-7A2C-4E68-BDD2-820E067DBE87}" name="産業小分類上位２０"/>
    <tableColumn id="10" xr3:uid="{37A8DA51-1974-4D54-9305-31571DC15A2C}" name="総数／事業所数" dataCellStyle="桁区切り"/>
    <tableColumn id="11" xr3:uid="{013FC832-A3D7-48DF-A8DA-E841B51F4D4D}" name="総数／構成比" dataDxfId="604"/>
    <tableColumn id="12" xr3:uid="{CC0EC2E3-148D-466A-BD0C-4035D67703DD}" name="個人／事業所数" dataCellStyle="桁区切り"/>
    <tableColumn id="13" xr3:uid="{147BA0E9-177D-4316-8BA5-2C5F17E089FB}" name="個人／構成比" dataDxfId="603"/>
    <tableColumn id="14" xr3:uid="{5B58F892-711C-4256-B2B6-021635377494}" name="法人／事業所数" dataCellStyle="桁区切り"/>
    <tableColumn id="15" xr3:uid="{EE388B76-00FA-4084-9DCB-05B4ABE4174C}" name="法人／構成比" dataDxfId="602"/>
    <tableColumn id="16" xr3:uid="{61E94254-D052-4D2B-B4B2-2C43632ADA10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87E2A77-98CC-4375-B87B-43629991C514}" name="S_TABLE_08223" displayName="S_TABLE_08223" ref="B46:I68" totalsRowShown="0">
  <autoFilter ref="B46:I68" xr:uid="{E87E2A77-98CC-4375-B87B-43629991C514}"/>
  <tableColumns count="8">
    <tableColumn id="9" xr3:uid="{7A899D89-84D4-4FC3-84D5-F55D11C6C710}" name="産業小分類上位２０"/>
    <tableColumn id="10" xr3:uid="{0F755CBC-E08A-4ACD-95D5-272A295FEF68}" name="総数／事業所数" dataCellStyle="桁区切り"/>
    <tableColumn id="11" xr3:uid="{E930161F-8B98-403F-8532-BDC6BBA556D8}" name="総数／構成比" dataDxfId="352"/>
    <tableColumn id="12" xr3:uid="{432A2AC6-65B7-4FB7-93E6-5C4B1FDDE4A0}" name="個人／事業所数" dataCellStyle="桁区切り"/>
    <tableColumn id="13" xr3:uid="{819EE593-BDD8-4A5F-9FB3-9C9875EA0268}" name="個人／構成比" dataDxfId="351"/>
    <tableColumn id="14" xr3:uid="{2E91EBE4-766A-46DD-AF79-112362AFCFD7}" name="法人／事業所数" dataCellStyle="桁区切り"/>
    <tableColumn id="15" xr3:uid="{BFB15666-FC4D-40C5-87A2-1A8889E2300F}" name="法人／構成比" dataDxfId="350"/>
    <tableColumn id="16" xr3:uid="{399F5572-C904-45FD-AE03-29DB72D0AE3C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D5D86FA-D779-4E03-8C3E-30E7B5B94057}" name="LTBL_08224" displayName="LTBL_08224" ref="B4:I20" totalsRowCount="1">
  <autoFilter ref="B4:I19" xr:uid="{1D5D86FA-D779-4E03-8C3E-30E7B5B94057}"/>
  <tableColumns count="8">
    <tableColumn id="9" xr3:uid="{CDE526EB-5A1D-478B-8392-8EFD1EB59E5D}" name="産業大分類" totalsRowLabel="合計" totalsRowDxfId="349"/>
    <tableColumn id="10" xr3:uid="{BA7A99F6-31AF-4401-9B6F-1324AC8D186D}" name="総数／事業所数" totalsRowFunction="custom" totalsRowDxfId="348" dataCellStyle="桁区切り" totalsRowCellStyle="桁区切り">
      <totalsRowFormula>SUM(LTBL_08224[総数／事業所数])</totalsRowFormula>
    </tableColumn>
    <tableColumn id="11" xr3:uid="{1753DA69-8CE1-443E-BF24-9670EAA8DC85}" name="総数／構成比" dataDxfId="347"/>
    <tableColumn id="12" xr3:uid="{E4DEE79B-16DE-4FF7-A3FA-1096AF27685B}" name="個人／事業所数" totalsRowFunction="sum" totalsRowDxfId="346" dataCellStyle="桁区切り" totalsRowCellStyle="桁区切り"/>
    <tableColumn id="13" xr3:uid="{1E14E46F-C498-4673-BA8F-3BEBC8D9FF4C}" name="個人／構成比" dataDxfId="345"/>
    <tableColumn id="14" xr3:uid="{02883167-6A2A-4776-95AB-1B933899556E}" name="法人／事業所数" totalsRowFunction="sum" totalsRowDxfId="344" dataCellStyle="桁区切り" totalsRowCellStyle="桁区切り"/>
    <tableColumn id="15" xr3:uid="{965BDEC5-1E5A-42FE-84C8-D15B12870927}" name="法人／構成比" dataDxfId="343"/>
    <tableColumn id="16" xr3:uid="{7096E678-BF8F-422E-A49C-56295E8A79B9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570B85E-804F-4B76-81D9-388A9D5AE137}" name="M_TABLE_08224" displayName="M_TABLE_08224" ref="B23:I43" totalsRowShown="0">
  <autoFilter ref="B23:I43" xr:uid="{B570B85E-804F-4B76-81D9-388A9D5AE137}"/>
  <tableColumns count="8">
    <tableColumn id="9" xr3:uid="{DB22BEAD-9871-453D-81BD-F3E62732AEF8}" name="産業中分類上位２０"/>
    <tableColumn id="10" xr3:uid="{E44CDB9C-25F3-4DDB-9E6F-CEFF69AD68E2}" name="総数／事業所数" dataCellStyle="桁区切り"/>
    <tableColumn id="11" xr3:uid="{43C42997-AD8B-42E4-901F-69415D687D92}" name="総数／構成比" dataDxfId="341"/>
    <tableColumn id="12" xr3:uid="{9A7E641B-194E-46F8-A7B0-774651C3A81E}" name="個人／事業所数" dataCellStyle="桁区切り"/>
    <tableColumn id="13" xr3:uid="{F41A2CFB-724B-4487-AC21-6EBA92F90BA7}" name="個人／構成比" dataDxfId="340"/>
    <tableColumn id="14" xr3:uid="{EA8ECF60-9CDA-4818-A688-3182DF72578D}" name="法人／事業所数" dataCellStyle="桁区切り"/>
    <tableColumn id="15" xr3:uid="{B7377185-E7CE-414E-9FBB-3FD6146B7630}" name="法人／構成比" dataDxfId="339"/>
    <tableColumn id="16" xr3:uid="{95C50F62-E183-465A-96EE-24CD28B5D7AF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186C2DE-8A75-4133-B769-8A2C4F2F0FF7}" name="S_TABLE_08224" displayName="S_TABLE_08224" ref="B46:I68" totalsRowShown="0">
  <autoFilter ref="B46:I68" xr:uid="{D186C2DE-8A75-4133-B769-8A2C4F2F0FF7}"/>
  <tableColumns count="8">
    <tableColumn id="9" xr3:uid="{CF7F3AE8-9B3A-49F6-B9E7-9B6166BF6D1A}" name="産業小分類上位２０"/>
    <tableColumn id="10" xr3:uid="{49EAA91B-1BF6-48F0-9EA1-A939C5CCDE08}" name="総数／事業所数" dataCellStyle="桁区切り"/>
    <tableColumn id="11" xr3:uid="{163C263E-63DB-4C85-B360-D6CC3829BA7F}" name="総数／構成比" dataDxfId="338"/>
    <tableColumn id="12" xr3:uid="{351EDF85-B88C-4C01-B4E5-C83E3B1B0C04}" name="個人／事業所数" dataCellStyle="桁区切り"/>
    <tableColumn id="13" xr3:uid="{6FF739D5-6CD2-430F-998A-1960BE97C177}" name="個人／構成比" dataDxfId="337"/>
    <tableColumn id="14" xr3:uid="{2C84ADDE-EA10-47CC-AF67-49F586F11A33}" name="法人／事業所数" dataCellStyle="桁区切り"/>
    <tableColumn id="15" xr3:uid="{8CFFBEF5-BCC5-41F9-B924-151D3153ECBD}" name="法人／構成比" dataDxfId="336"/>
    <tableColumn id="16" xr3:uid="{9BC00791-1F56-45C3-B311-9A5CFB9C64EA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2F88BD5-9D2B-4F7E-9728-984184A307DD}" name="LTBL_08225" displayName="LTBL_08225" ref="B4:I20" totalsRowCount="1">
  <autoFilter ref="B4:I19" xr:uid="{82F88BD5-9D2B-4F7E-9728-984184A307DD}"/>
  <tableColumns count="8">
    <tableColumn id="9" xr3:uid="{CBF75035-2C46-472E-B455-3B6A5BEA0114}" name="産業大分類" totalsRowLabel="合計" totalsRowDxfId="335"/>
    <tableColumn id="10" xr3:uid="{EEEA26E9-9D6D-4DFB-8FB4-AB566730C188}" name="総数／事業所数" totalsRowFunction="custom" totalsRowDxfId="334" dataCellStyle="桁区切り" totalsRowCellStyle="桁区切り">
      <totalsRowFormula>SUM(LTBL_08225[総数／事業所数])</totalsRowFormula>
    </tableColumn>
    <tableColumn id="11" xr3:uid="{E30AA3E6-37A2-4103-A711-6C7DE69093E7}" name="総数／構成比" dataDxfId="333"/>
    <tableColumn id="12" xr3:uid="{9127EE3F-56F6-4D04-9A05-76FAE264E0A0}" name="個人／事業所数" totalsRowFunction="sum" totalsRowDxfId="332" dataCellStyle="桁区切り" totalsRowCellStyle="桁区切り"/>
    <tableColumn id="13" xr3:uid="{2237CE4A-B2A5-4EAD-9941-E33D5B3B8EE1}" name="個人／構成比" dataDxfId="331"/>
    <tableColumn id="14" xr3:uid="{5CE07F89-B04F-41A9-9E5D-95244CFCEB8E}" name="法人／事業所数" totalsRowFunction="sum" totalsRowDxfId="330" dataCellStyle="桁区切り" totalsRowCellStyle="桁区切り"/>
    <tableColumn id="15" xr3:uid="{5D0715AE-E4CE-4F2D-AB5D-9E4AC36B8A10}" name="法人／構成比" dataDxfId="329"/>
    <tableColumn id="16" xr3:uid="{93C66F7D-D6F7-4E4E-82F1-9534A061176A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FBAB4B7-86BE-44C2-BA0A-CCF209EBFB05}" name="M_TABLE_08225" displayName="M_TABLE_08225" ref="B23:I46" totalsRowShown="0">
  <autoFilter ref="B23:I46" xr:uid="{BFBAB4B7-86BE-44C2-BA0A-CCF209EBFB05}"/>
  <tableColumns count="8">
    <tableColumn id="9" xr3:uid="{F96A4FBD-1925-4822-B2B5-07779D2940D5}" name="産業中分類上位２０"/>
    <tableColumn id="10" xr3:uid="{10698300-D19D-4B2A-89E7-C8A222C77E4E}" name="総数／事業所数" dataCellStyle="桁区切り"/>
    <tableColumn id="11" xr3:uid="{15EF04E8-6007-4038-A3E0-63F38B20B8FA}" name="総数／構成比" dataDxfId="327"/>
    <tableColumn id="12" xr3:uid="{30E46E08-ED32-4C9F-8696-029742B3AD3F}" name="個人／事業所数" dataCellStyle="桁区切り"/>
    <tableColumn id="13" xr3:uid="{B24CCF8C-51B5-48CF-94A5-47B79504802D}" name="個人／構成比" dataDxfId="326"/>
    <tableColumn id="14" xr3:uid="{AD98EA33-AD0F-48BA-B1CF-346474597723}" name="法人／事業所数" dataCellStyle="桁区切り"/>
    <tableColumn id="15" xr3:uid="{C88D100B-CFDA-43DB-A23A-0CCA2F6DF9CB}" name="法人／構成比" dataDxfId="325"/>
    <tableColumn id="16" xr3:uid="{49E0B64F-C16C-4AEE-975C-95B19013B2BE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1140551-34B6-4FB9-9A33-D1870791BD37}" name="S_TABLE_08225" displayName="S_TABLE_08225" ref="B49:I70" totalsRowShown="0">
  <autoFilter ref="B49:I70" xr:uid="{C1140551-34B6-4FB9-9A33-D1870791BD37}"/>
  <tableColumns count="8">
    <tableColumn id="9" xr3:uid="{54BD6AFD-2682-403D-BAFE-8927DDC5C9C6}" name="産業小分類上位２０"/>
    <tableColumn id="10" xr3:uid="{C78F177E-F568-4618-ACC2-2A34586FCFAE}" name="総数／事業所数" dataCellStyle="桁区切り"/>
    <tableColumn id="11" xr3:uid="{DFCC85E9-AD7A-46E5-9C35-940C3371ED05}" name="総数／構成比" dataDxfId="324"/>
    <tableColumn id="12" xr3:uid="{6C2DB160-1486-4957-8988-19806A8E5C59}" name="個人／事業所数" dataCellStyle="桁区切り"/>
    <tableColumn id="13" xr3:uid="{5A3A8737-D012-4BBD-BA8A-565F7C674A81}" name="個人／構成比" dataDxfId="323"/>
    <tableColumn id="14" xr3:uid="{1B76E3EE-C5DB-4990-842B-B3C453519B23}" name="法人／事業所数" dataCellStyle="桁区切り"/>
    <tableColumn id="15" xr3:uid="{FCA037A6-EBEB-44D6-93EA-7C7998E23E76}" name="法人／構成比" dataDxfId="322"/>
    <tableColumn id="16" xr3:uid="{09283AB3-1429-40A2-828F-10922A54CF62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3DF051B-830C-4CB8-A4E4-B580626176F1}" name="LTBL_08226" displayName="LTBL_08226" ref="B4:I20" totalsRowCount="1">
  <autoFilter ref="B4:I19" xr:uid="{A3DF051B-830C-4CB8-A4E4-B580626176F1}"/>
  <tableColumns count="8">
    <tableColumn id="9" xr3:uid="{EDFF6706-C9B7-4F89-899D-FC446B74730B}" name="産業大分類" totalsRowLabel="合計" totalsRowDxfId="321"/>
    <tableColumn id="10" xr3:uid="{1F86A240-DD81-4D9D-8740-DC5F9380A5EE}" name="総数／事業所数" totalsRowFunction="custom" totalsRowDxfId="320" dataCellStyle="桁区切り" totalsRowCellStyle="桁区切り">
      <totalsRowFormula>SUM(LTBL_08226[総数／事業所数])</totalsRowFormula>
    </tableColumn>
    <tableColumn id="11" xr3:uid="{D04DD2BE-460B-41C0-AAD7-3822CA0E3FFB}" name="総数／構成比" dataDxfId="319"/>
    <tableColumn id="12" xr3:uid="{66BCA647-C35D-471E-93E0-A7233AE744F1}" name="個人／事業所数" totalsRowFunction="sum" totalsRowDxfId="318" dataCellStyle="桁区切り" totalsRowCellStyle="桁区切り"/>
    <tableColumn id="13" xr3:uid="{D12EA330-B18F-47AD-A394-C6E0E4CEDBBC}" name="個人／構成比" dataDxfId="317"/>
    <tableColumn id="14" xr3:uid="{81379107-40A0-48FB-95A7-AB160B8A3B9D}" name="法人／事業所数" totalsRowFunction="sum" totalsRowDxfId="316" dataCellStyle="桁区切り" totalsRowCellStyle="桁区切り"/>
    <tableColumn id="15" xr3:uid="{DD2C6447-3263-49DC-AB83-3ACB831537DD}" name="法人／構成比" dataDxfId="315"/>
    <tableColumn id="16" xr3:uid="{320D7550-1EA7-4CF9-BA01-91D299DC4BD1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0075123-E3E4-4595-B4EE-656B7CFBD6A1}" name="M_TABLE_08226" displayName="M_TABLE_08226" ref="B23:I43" totalsRowShown="0">
  <autoFilter ref="B23:I43" xr:uid="{C0075123-E3E4-4595-B4EE-656B7CFBD6A1}"/>
  <tableColumns count="8">
    <tableColumn id="9" xr3:uid="{55063FA3-1D6D-4779-B1D1-B5FAED8045A3}" name="産業中分類上位２０"/>
    <tableColumn id="10" xr3:uid="{375C535F-9D59-43B0-B7D3-EE79A44DBDC4}" name="総数／事業所数" dataCellStyle="桁区切り"/>
    <tableColumn id="11" xr3:uid="{7C0EE1D9-F559-4CCE-8FC1-3A5DFB5D823C}" name="総数／構成比" dataDxfId="313"/>
    <tableColumn id="12" xr3:uid="{4AE925E5-2369-41CF-B4C2-13325205F591}" name="個人／事業所数" dataCellStyle="桁区切り"/>
    <tableColumn id="13" xr3:uid="{0C1F6EC5-B3A7-4475-AEC7-9208058987B0}" name="個人／構成比" dataDxfId="312"/>
    <tableColumn id="14" xr3:uid="{4B52AD0C-0A95-48E3-9E3E-41405420A5F3}" name="法人／事業所数" dataCellStyle="桁区切り"/>
    <tableColumn id="15" xr3:uid="{37BFA8EE-DD74-4557-BCBC-A909BECF1D52}" name="法人／構成比" dataDxfId="311"/>
    <tableColumn id="16" xr3:uid="{848FE0E7-CBA1-4658-8F24-D224CF59C095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9C1EBB8-01C9-4D82-A58F-0B703A96D935}" name="S_TABLE_08226" displayName="S_TABLE_08226" ref="B46:I66" totalsRowShown="0">
  <autoFilter ref="B46:I66" xr:uid="{49C1EBB8-01C9-4D82-A58F-0B703A96D935}"/>
  <tableColumns count="8">
    <tableColumn id="9" xr3:uid="{FD68D7F4-714B-4F54-9326-AA4A089EBBE4}" name="産業小分類上位２０"/>
    <tableColumn id="10" xr3:uid="{3A39414F-ABCD-46E6-8510-8A15ABED4C8B}" name="総数／事業所数" dataCellStyle="桁区切り"/>
    <tableColumn id="11" xr3:uid="{EDB1FB42-BD45-4828-945C-10A93335A2D7}" name="総数／構成比" dataDxfId="310"/>
    <tableColumn id="12" xr3:uid="{0BE5701C-FED5-4F38-97A8-28E4F1F41716}" name="個人／事業所数" dataCellStyle="桁区切り"/>
    <tableColumn id="13" xr3:uid="{1AC0104F-94F7-4208-B8F2-D6B9EC8B81D3}" name="個人／構成比" dataDxfId="309"/>
    <tableColumn id="14" xr3:uid="{FEA0A14D-A6EF-42E1-B798-F58FC9F6C516}" name="法人／事業所数" dataCellStyle="桁区切り"/>
    <tableColumn id="15" xr3:uid="{069F9B3D-318D-4510-B2E2-0225FDEE4A86}" name="法人／構成比" dataDxfId="308"/>
    <tableColumn id="16" xr3:uid="{83FF9C68-8E09-4EC9-B55B-1AF7DC0BE93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A4D00C-E1B9-4125-9E9B-9FA4F7FD77B6}" name="LTBL_08202" displayName="LTBL_08202" ref="B4:I20" totalsRowCount="1">
  <autoFilter ref="B4:I19" xr:uid="{6DA4D00C-E1B9-4125-9E9B-9FA4F7FD77B6}"/>
  <tableColumns count="8">
    <tableColumn id="9" xr3:uid="{4F852F58-8547-4584-80D0-E66155CFCBE5}" name="産業大分類" totalsRowLabel="合計" totalsRowDxfId="601"/>
    <tableColumn id="10" xr3:uid="{CBE27C9E-DA86-4CBB-843A-D2D07717B747}" name="総数／事業所数" totalsRowFunction="custom" totalsRowDxfId="600" dataCellStyle="桁区切り" totalsRowCellStyle="桁区切り">
      <totalsRowFormula>SUM(LTBL_08202[総数／事業所数])</totalsRowFormula>
    </tableColumn>
    <tableColumn id="11" xr3:uid="{A34607AE-0CF8-4FC1-887D-68986C9DF670}" name="総数／構成比" dataDxfId="599"/>
    <tableColumn id="12" xr3:uid="{9F174C6C-F39D-44A4-822A-1EF64005285D}" name="個人／事業所数" totalsRowFunction="sum" totalsRowDxfId="598" dataCellStyle="桁区切り" totalsRowCellStyle="桁区切り"/>
    <tableColumn id="13" xr3:uid="{7D251DB2-6DAB-470A-8AAA-2E127B1118C8}" name="個人／構成比" dataDxfId="597"/>
    <tableColumn id="14" xr3:uid="{D7B72BDA-3D1F-43AD-8460-B007DDCE9CEA}" name="法人／事業所数" totalsRowFunction="sum" totalsRowDxfId="596" dataCellStyle="桁区切り" totalsRowCellStyle="桁区切り"/>
    <tableColumn id="15" xr3:uid="{F000E1C8-7B79-4B54-80E0-E15AD4E6FEC7}" name="法人／構成比" dataDxfId="595"/>
    <tableColumn id="16" xr3:uid="{CC9EB214-1265-424E-BDDE-9A48BB0E8EC0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62852B8-A2C7-4060-BB32-85DF7A0B257A}" name="LTBL_08227" displayName="LTBL_08227" ref="B4:I20" totalsRowCount="1">
  <autoFilter ref="B4:I19" xr:uid="{A62852B8-A2C7-4060-BB32-85DF7A0B257A}"/>
  <tableColumns count="8">
    <tableColumn id="9" xr3:uid="{194C648D-72B9-4388-82EC-9734AFC9CD0C}" name="産業大分類" totalsRowLabel="合計" totalsRowDxfId="307"/>
    <tableColumn id="10" xr3:uid="{E8993DF7-7235-48D6-86E9-3D8123DC6FA6}" name="総数／事業所数" totalsRowFunction="custom" totalsRowDxfId="306" dataCellStyle="桁区切り" totalsRowCellStyle="桁区切り">
      <totalsRowFormula>SUM(LTBL_08227[総数／事業所数])</totalsRowFormula>
    </tableColumn>
    <tableColumn id="11" xr3:uid="{C34E9227-B3CC-4EEE-A6B8-0A35C7D10B63}" name="総数／構成比" dataDxfId="305"/>
    <tableColumn id="12" xr3:uid="{66C8B955-94CF-40AF-90FD-F79EE26BC0C6}" name="個人／事業所数" totalsRowFunction="sum" totalsRowDxfId="304" dataCellStyle="桁区切り" totalsRowCellStyle="桁区切り"/>
    <tableColumn id="13" xr3:uid="{65E6E458-6D9E-40D4-8B6C-217769A2DE9F}" name="個人／構成比" dataDxfId="303"/>
    <tableColumn id="14" xr3:uid="{9BF2B37C-D656-49DD-9405-BC8D383240B3}" name="法人／事業所数" totalsRowFunction="sum" totalsRowDxfId="302" dataCellStyle="桁区切り" totalsRowCellStyle="桁区切り"/>
    <tableColumn id="15" xr3:uid="{F41C580B-E285-49BC-93A9-11EAB42E352C}" name="法人／構成比" dataDxfId="301"/>
    <tableColumn id="16" xr3:uid="{D9E5C1AB-414F-4CF8-B3FF-DB939DB1BF30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B9EDFF6-967F-4066-B1E9-C4628E83FBFB}" name="M_TABLE_08227" displayName="M_TABLE_08227" ref="B23:I43" totalsRowShown="0">
  <autoFilter ref="B23:I43" xr:uid="{5B9EDFF6-967F-4066-B1E9-C4628E83FBFB}"/>
  <tableColumns count="8">
    <tableColumn id="9" xr3:uid="{496506C1-4FFE-4D4E-865F-4DE8F33D5128}" name="産業中分類上位２０"/>
    <tableColumn id="10" xr3:uid="{4A435976-F557-4B23-BC45-B5512D754925}" name="総数／事業所数" dataCellStyle="桁区切り"/>
    <tableColumn id="11" xr3:uid="{03A54D5B-8B77-4665-B00E-9F89BD6FC304}" name="総数／構成比" dataDxfId="299"/>
    <tableColumn id="12" xr3:uid="{9DC34C28-1CAC-4512-AE9D-EB561E476F61}" name="個人／事業所数" dataCellStyle="桁区切り"/>
    <tableColumn id="13" xr3:uid="{4E4DB063-EB5A-487D-A35D-7789134C7216}" name="個人／構成比" dataDxfId="298"/>
    <tableColumn id="14" xr3:uid="{88C43730-C9AE-4D8A-A13B-3C8CFC853C06}" name="法人／事業所数" dataCellStyle="桁区切り"/>
    <tableColumn id="15" xr3:uid="{E965936C-A19C-4BED-9BBD-6790CF813183}" name="法人／構成比" dataDxfId="297"/>
    <tableColumn id="16" xr3:uid="{F6A2C60F-25B6-477A-9225-B233FD07960B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B4D3B02-B1A2-4B09-BBB5-1A44F9273284}" name="S_TABLE_08227" displayName="S_TABLE_08227" ref="B46:I66" totalsRowShown="0">
  <autoFilter ref="B46:I66" xr:uid="{4B4D3B02-B1A2-4B09-BBB5-1A44F9273284}"/>
  <tableColumns count="8">
    <tableColumn id="9" xr3:uid="{78FB0B7C-31EF-4048-9CEA-ADD6F5894E4D}" name="産業小分類上位２０"/>
    <tableColumn id="10" xr3:uid="{02653F7F-9444-4238-A5C0-10D5487B60F5}" name="総数／事業所数" dataCellStyle="桁区切り"/>
    <tableColumn id="11" xr3:uid="{1CD1F269-1718-4E3F-B4AB-52DE57656DE0}" name="総数／構成比" dataDxfId="296"/>
    <tableColumn id="12" xr3:uid="{D4B6335A-B0A1-48D9-8BEB-D03EAE92D5AB}" name="個人／事業所数" dataCellStyle="桁区切り"/>
    <tableColumn id="13" xr3:uid="{137117F1-4B55-4304-9FF2-752071704E81}" name="個人／構成比" dataDxfId="295"/>
    <tableColumn id="14" xr3:uid="{85062476-BD68-455E-96ED-24176F9855EB}" name="法人／事業所数" dataCellStyle="桁区切り"/>
    <tableColumn id="15" xr3:uid="{6CD2B7D1-1A50-4312-8A57-58B1B1E5E273}" name="法人／構成比" dataDxfId="294"/>
    <tableColumn id="16" xr3:uid="{70AC1327-072C-4E44-9913-33E5AE9DAC41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EC44877-F791-4387-81B9-746D2706F4C9}" name="LTBL_08228" displayName="LTBL_08228" ref="B4:I20" totalsRowCount="1">
  <autoFilter ref="B4:I19" xr:uid="{2EC44877-F791-4387-81B9-746D2706F4C9}"/>
  <tableColumns count="8">
    <tableColumn id="9" xr3:uid="{77E7D87B-2C6B-4036-9EE7-80855E3F6693}" name="産業大分類" totalsRowLabel="合計" totalsRowDxfId="293"/>
    <tableColumn id="10" xr3:uid="{87477219-B3AA-4B05-9BF8-33AD204BE746}" name="総数／事業所数" totalsRowFunction="custom" totalsRowDxfId="292" dataCellStyle="桁区切り" totalsRowCellStyle="桁区切り">
      <totalsRowFormula>SUM(LTBL_08228[総数／事業所数])</totalsRowFormula>
    </tableColumn>
    <tableColumn id="11" xr3:uid="{9B8DE4E4-D262-4E52-9FAC-ACA9C911D01F}" name="総数／構成比" dataDxfId="291"/>
    <tableColumn id="12" xr3:uid="{CD1566E0-B495-4853-9C26-A387770509D7}" name="個人／事業所数" totalsRowFunction="sum" totalsRowDxfId="290" dataCellStyle="桁区切り" totalsRowCellStyle="桁区切り"/>
    <tableColumn id="13" xr3:uid="{B2302F4D-ADB9-4864-BAE1-EE63560C0668}" name="個人／構成比" dataDxfId="289"/>
    <tableColumn id="14" xr3:uid="{F96631C6-E190-4702-9928-743BD9F883B2}" name="法人／事業所数" totalsRowFunction="sum" totalsRowDxfId="288" dataCellStyle="桁区切り" totalsRowCellStyle="桁区切り"/>
    <tableColumn id="15" xr3:uid="{55DC92A5-4FE6-4793-9BE0-2DDE8C20883C}" name="法人／構成比" dataDxfId="287"/>
    <tableColumn id="16" xr3:uid="{F0E08BDE-F615-4AE6-BB79-7F4B1B1AFB24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C0104023-1476-4BD9-9E06-216319EBAAAA}" name="M_TABLE_08228" displayName="M_TABLE_08228" ref="B23:I43" totalsRowShown="0">
  <autoFilter ref="B23:I43" xr:uid="{C0104023-1476-4BD9-9E06-216319EBAAAA}"/>
  <tableColumns count="8">
    <tableColumn id="9" xr3:uid="{9FEF2236-CC93-41B0-B670-DF50D7875EEB}" name="産業中分類上位２０"/>
    <tableColumn id="10" xr3:uid="{B689FC38-BC7C-49D3-8B37-7D2A1C2A6AC8}" name="総数／事業所数" dataCellStyle="桁区切り"/>
    <tableColumn id="11" xr3:uid="{5B6F7597-E023-4F7B-9729-F764FA769460}" name="総数／構成比" dataDxfId="285"/>
    <tableColumn id="12" xr3:uid="{06B81003-E43D-44C3-A038-E3F9BA0251F9}" name="個人／事業所数" dataCellStyle="桁区切り"/>
    <tableColumn id="13" xr3:uid="{FB0C4D82-7634-4B3F-ADAC-53F9CD049BE9}" name="個人／構成比" dataDxfId="284"/>
    <tableColumn id="14" xr3:uid="{0EFDFA8E-D2B5-4B67-ABC3-592CC9C7B8DE}" name="法人／事業所数" dataCellStyle="桁区切り"/>
    <tableColumn id="15" xr3:uid="{3EAD5F9E-4BFB-41BD-A6E8-52F4BFE3AE74}" name="法人／構成比" dataDxfId="283"/>
    <tableColumn id="16" xr3:uid="{D1548647-E676-4B5A-9DD8-C91BD6D37A5A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F28131C-3941-4D08-8506-7D3935446FAA}" name="S_TABLE_08228" displayName="S_TABLE_08228" ref="B46:I66" totalsRowShown="0">
  <autoFilter ref="B46:I66" xr:uid="{6F28131C-3941-4D08-8506-7D3935446FAA}"/>
  <tableColumns count="8">
    <tableColumn id="9" xr3:uid="{7C5AC7E2-1D0E-417A-9E3A-37DCA0F05D23}" name="産業小分類上位２０"/>
    <tableColumn id="10" xr3:uid="{6A4BAD12-F148-4B07-8AE2-F00863A80927}" name="総数／事業所数" dataCellStyle="桁区切り"/>
    <tableColumn id="11" xr3:uid="{350DD115-D658-4507-85A9-9AA2E4167C09}" name="総数／構成比" dataDxfId="282"/>
    <tableColumn id="12" xr3:uid="{748E4625-4BFE-4FBC-9E2B-5BD7DBE7B7AF}" name="個人／事業所数" dataCellStyle="桁区切り"/>
    <tableColumn id="13" xr3:uid="{3424A09C-0023-403B-8640-B8DD40CD9A7E}" name="個人／構成比" dataDxfId="281"/>
    <tableColumn id="14" xr3:uid="{A470164F-D1CC-4A80-8D70-8E95DAB62FBE}" name="法人／事業所数" dataCellStyle="桁区切り"/>
    <tableColumn id="15" xr3:uid="{9530EF07-07B8-4B48-B6C8-36650F200CDC}" name="法人／構成比" dataDxfId="280"/>
    <tableColumn id="16" xr3:uid="{3A71B3E7-7BE4-4EAE-B6F0-881DFFFA2AC3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9F633B5-F9C9-4834-A979-2F46F727E158}" name="LTBL_08229" displayName="LTBL_08229" ref="B4:I20" totalsRowCount="1">
  <autoFilter ref="B4:I19" xr:uid="{A9F633B5-F9C9-4834-A979-2F46F727E158}"/>
  <tableColumns count="8">
    <tableColumn id="9" xr3:uid="{10C1E9CE-DBBD-486E-ADAC-7A8E6E8B42E4}" name="産業大分類" totalsRowLabel="合計" totalsRowDxfId="279"/>
    <tableColumn id="10" xr3:uid="{B0B44235-C10E-4594-9C3F-D54F7489AA0A}" name="総数／事業所数" totalsRowFunction="custom" totalsRowDxfId="278" dataCellStyle="桁区切り" totalsRowCellStyle="桁区切り">
      <totalsRowFormula>SUM(LTBL_08229[総数／事業所数])</totalsRowFormula>
    </tableColumn>
    <tableColumn id="11" xr3:uid="{CEDAF20D-944A-4D94-992A-4435CB4494E4}" name="総数／構成比" dataDxfId="277"/>
    <tableColumn id="12" xr3:uid="{2B5D1659-FA77-47C4-A4E4-3E1990D0D2BF}" name="個人／事業所数" totalsRowFunction="sum" totalsRowDxfId="276" dataCellStyle="桁区切り" totalsRowCellStyle="桁区切り"/>
    <tableColumn id="13" xr3:uid="{89ECBCF0-D387-4F99-9302-572B9AA67071}" name="個人／構成比" dataDxfId="275"/>
    <tableColumn id="14" xr3:uid="{3884D9ED-055C-4DAF-8D8A-BB5CDE04AC53}" name="法人／事業所数" totalsRowFunction="sum" totalsRowDxfId="274" dataCellStyle="桁区切り" totalsRowCellStyle="桁区切り"/>
    <tableColumn id="15" xr3:uid="{234F65BA-85B0-41B6-BE7D-1679ACD67408}" name="法人／構成比" dataDxfId="273"/>
    <tableColumn id="16" xr3:uid="{46F9D58A-9D95-4546-8059-E4340053FE82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79856C75-90E0-41BB-9A7F-95FC119AEB6C}" name="M_TABLE_08229" displayName="M_TABLE_08229" ref="B23:I44" totalsRowShown="0">
  <autoFilter ref="B23:I44" xr:uid="{79856C75-90E0-41BB-9A7F-95FC119AEB6C}"/>
  <tableColumns count="8">
    <tableColumn id="9" xr3:uid="{728735D6-7D40-4B97-80FC-9DB140B30C88}" name="産業中分類上位２０"/>
    <tableColumn id="10" xr3:uid="{1FA01527-02CB-46B1-933B-4D1B7E346078}" name="総数／事業所数" dataCellStyle="桁区切り"/>
    <tableColumn id="11" xr3:uid="{B5622733-27E6-4F9D-A922-8EB51B46E285}" name="総数／構成比" dataDxfId="271"/>
    <tableColumn id="12" xr3:uid="{A0BF9E75-DF05-4ABD-B01A-E872CA378B4D}" name="個人／事業所数" dataCellStyle="桁区切り"/>
    <tableColumn id="13" xr3:uid="{98203BF2-D8AE-4B7A-9051-65F8DD22A7F3}" name="個人／構成比" dataDxfId="270"/>
    <tableColumn id="14" xr3:uid="{C8EAB9D6-8115-4A09-A1E7-BE91F3A0B338}" name="法人／事業所数" dataCellStyle="桁区切り"/>
    <tableColumn id="15" xr3:uid="{D526A155-4AD5-43C2-B29E-CDC93E1314B5}" name="法人／構成比" dataDxfId="269"/>
    <tableColumn id="16" xr3:uid="{8A2E3A8A-B950-4BE2-87DB-DA1114C750D7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155F042-77F1-483A-A09E-5871C16F1F5A}" name="S_TABLE_08229" displayName="S_TABLE_08229" ref="B47:I68" totalsRowShown="0">
  <autoFilter ref="B47:I68" xr:uid="{D155F042-77F1-483A-A09E-5871C16F1F5A}"/>
  <tableColumns count="8">
    <tableColumn id="9" xr3:uid="{BF1A1FCB-60FA-4736-BAED-32D277C524FF}" name="産業小分類上位２０"/>
    <tableColumn id="10" xr3:uid="{ED917CD9-ABED-46FA-90E9-9BEDA270097C}" name="総数／事業所数" dataCellStyle="桁区切り"/>
    <tableColumn id="11" xr3:uid="{C0F7E1B8-FC22-4C9C-B46D-263E8F8A5758}" name="総数／構成比" dataDxfId="268"/>
    <tableColumn id="12" xr3:uid="{ADD71FBA-13C7-4363-80FA-F471A7044C76}" name="個人／事業所数" dataCellStyle="桁区切り"/>
    <tableColumn id="13" xr3:uid="{D0075741-4819-4F20-87FA-1530E781421E}" name="個人／構成比" dataDxfId="267"/>
    <tableColumn id="14" xr3:uid="{96D47924-68B2-42DA-98AF-810DD1D67839}" name="法人／事業所数" dataCellStyle="桁区切り"/>
    <tableColumn id="15" xr3:uid="{E32EC5DC-3C08-4042-B893-2542CEBEFFB4}" name="法人／構成比" dataDxfId="266"/>
    <tableColumn id="16" xr3:uid="{F0B42984-4574-4DEB-852B-3AEC9B99D640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A0E20AB2-BFF3-45F0-B3D4-B3F62EF7DA3C}" name="LTBL_08230" displayName="LTBL_08230" ref="B4:I20" totalsRowCount="1">
  <autoFilter ref="B4:I19" xr:uid="{A0E20AB2-BFF3-45F0-B3D4-B3F62EF7DA3C}"/>
  <tableColumns count="8">
    <tableColumn id="9" xr3:uid="{9A32D82A-69C6-4F1A-A61A-7E6BD5A80664}" name="産業大分類" totalsRowLabel="合計" totalsRowDxfId="265"/>
    <tableColumn id="10" xr3:uid="{4F7A0AF0-FBF0-48F2-B304-2B6D81D7908F}" name="総数／事業所数" totalsRowFunction="custom" totalsRowDxfId="264" dataCellStyle="桁区切り" totalsRowCellStyle="桁区切り">
      <totalsRowFormula>SUM(LTBL_08230[総数／事業所数])</totalsRowFormula>
    </tableColumn>
    <tableColumn id="11" xr3:uid="{56A048BC-BCB5-42D9-BEDB-0FFB465EAA5A}" name="総数／構成比" dataDxfId="263"/>
    <tableColumn id="12" xr3:uid="{CC73EB9C-5BB0-4081-A453-C762E831CE8F}" name="個人／事業所数" totalsRowFunction="sum" totalsRowDxfId="262" dataCellStyle="桁区切り" totalsRowCellStyle="桁区切り"/>
    <tableColumn id="13" xr3:uid="{1359624B-C723-4BC6-A9E8-BD519B7C8008}" name="個人／構成比" dataDxfId="261"/>
    <tableColumn id="14" xr3:uid="{6451FA85-2633-4DB6-A850-2E95DB0A4862}" name="法人／事業所数" totalsRowFunction="sum" totalsRowDxfId="260" dataCellStyle="桁区切り" totalsRowCellStyle="桁区切り"/>
    <tableColumn id="15" xr3:uid="{E2A54C22-FB3D-4DF3-A18B-9114CC1C7CAC}" name="法人／構成比" dataDxfId="259"/>
    <tableColumn id="16" xr3:uid="{66A9110D-A25B-41D5-9487-5C3A7609DD2C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B0D912A-836C-4F49-BFA1-B0DBD62F2FF0}" name="M_TABLE_08202" displayName="M_TABLE_08202" ref="B23:I43" totalsRowShown="0">
  <autoFilter ref="B23:I43" xr:uid="{FB0D912A-836C-4F49-BFA1-B0DBD62F2FF0}"/>
  <tableColumns count="8">
    <tableColumn id="9" xr3:uid="{C2E45C41-D3DD-4FFD-AB43-8C8633943176}" name="産業中分類上位２０"/>
    <tableColumn id="10" xr3:uid="{66551ABD-CF6C-4267-95B2-F5A07BE3D84C}" name="総数／事業所数" dataCellStyle="桁区切り"/>
    <tableColumn id="11" xr3:uid="{552FAD8C-63B6-4A42-BC81-B3C5E22309E7}" name="総数／構成比" dataDxfId="593"/>
    <tableColumn id="12" xr3:uid="{076A35D4-CEB8-44F9-855B-D2FF80556A0B}" name="個人／事業所数" dataCellStyle="桁区切り"/>
    <tableColumn id="13" xr3:uid="{C700FC08-94D4-43C3-A863-9C2425B99DCC}" name="個人／構成比" dataDxfId="592"/>
    <tableColumn id="14" xr3:uid="{D352BBB7-D13B-49FB-B090-5ABD0B2AF2F7}" name="法人／事業所数" dataCellStyle="桁区切り"/>
    <tableColumn id="15" xr3:uid="{68F090AC-6D42-48C1-899E-0E806CF87A4C}" name="法人／構成比" dataDxfId="591"/>
    <tableColumn id="16" xr3:uid="{165B5241-BA44-457A-81F4-C7CCA8227F53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1F6103A-9F67-45EE-BAB2-7ABABB5909EB}" name="M_TABLE_08230" displayName="M_TABLE_08230" ref="B23:I46" totalsRowShown="0">
  <autoFilter ref="B23:I46" xr:uid="{01F6103A-9F67-45EE-BAB2-7ABABB5909EB}"/>
  <tableColumns count="8">
    <tableColumn id="9" xr3:uid="{0ED2268E-8135-49B1-881A-E3AFB8D55093}" name="産業中分類上位２０"/>
    <tableColumn id="10" xr3:uid="{B534710C-9E79-480B-BCDE-16EC65B6D6C0}" name="総数／事業所数" dataCellStyle="桁区切り"/>
    <tableColumn id="11" xr3:uid="{DA718107-257C-438A-BF84-6D29C0270EAD}" name="総数／構成比" dataDxfId="257"/>
    <tableColumn id="12" xr3:uid="{815E6BCA-4F2C-47CE-BC5A-F20DC34D0F94}" name="個人／事業所数" dataCellStyle="桁区切り"/>
    <tableColumn id="13" xr3:uid="{5B903313-A5C0-487D-95CA-5A29CD420589}" name="個人／構成比" dataDxfId="256"/>
    <tableColumn id="14" xr3:uid="{C701B7E7-10EB-482D-9D4F-E6453AB4D8D6}" name="法人／事業所数" dataCellStyle="桁区切り"/>
    <tableColumn id="15" xr3:uid="{9C768325-BE52-4411-924D-92E9544E0771}" name="法人／構成比" dataDxfId="255"/>
    <tableColumn id="16" xr3:uid="{C022C97D-6968-4D8E-83BB-93371C47DD4D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29E1FBDA-01C0-42DC-B877-72885C91E507}" name="S_TABLE_08230" displayName="S_TABLE_08230" ref="B49:I70" totalsRowShown="0">
  <autoFilter ref="B49:I70" xr:uid="{29E1FBDA-01C0-42DC-B877-72885C91E507}"/>
  <tableColumns count="8">
    <tableColumn id="9" xr3:uid="{A290D9B1-23AF-41C0-9AB7-05C7FA5240BB}" name="産業小分類上位２０"/>
    <tableColumn id="10" xr3:uid="{72A7CF5C-EEE6-440D-85AF-5CD1AC6B46FB}" name="総数／事業所数" dataCellStyle="桁区切り"/>
    <tableColumn id="11" xr3:uid="{0401E554-7D61-4D9C-87A9-8D3C708FDC8C}" name="総数／構成比" dataDxfId="254"/>
    <tableColumn id="12" xr3:uid="{48E41385-35F1-420B-ACBE-8C006F62260D}" name="個人／事業所数" dataCellStyle="桁区切り"/>
    <tableColumn id="13" xr3:uid="{68D23FA6-6361-410B-8D19-E2D214C935FC}" name="個人／構成比" dataDxfId="253"/>
    <tableColumn id="14" xr3:uid="{445F74E6-6F59-421E-ABDD-12E4A0087430}" name="法人／事業所数" dataCellStyle="桁区切り"/>
    <tableColumn id="15" xr3:uid="{57A2DA90-6B71-4BBB-B005-2FA3AE8A14C4}" name="法人／構成比" dataDxfId="252"/>
    <tableColumn id="16" xr3:uid="{87C7E7CB-8C9B-4E23-99DA-B7F57E2A2CC4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B43D510-43B7-4354-A454-DF724ABAAAE0}" name="LTBL_08231" displayName="LTBL_08231" ref="B4:I20" totalsRowCount="1">
  <autoFilter ref="B4:I19" xr:uid="{EB43D510-43B7-4354-A454-DF724ABAAAE0}"/>
  <tableColumns count="8">
    <tableColumn id="9" xr3:uid="{D3CE9E93-8664-46E8-BE1B-897EC8D518BB}" name="産業大分類" totalsRowLabel="合計" totalsRowDxfId="251"/>
    <tableColumn id="10" xr3:uid="{F7A392AB-E849-4866-82A5-70E6236FD6EE}" name="総数／事業所数" totalsRowFunction="custom" totalsRowDxfId="250" dataCellStyle="桁区切り" totalsRowCellStyle="桁区切り">
      <totalsRowFormula>SUM(LTBL_08231[総数／事業所数])</totalsRowFormula>
    </tableColumn>
    <tableColumn id="11" xr3:uid="{3706F972-19CA-470E-A12F-7BD10A4081D5}" name="総数／構成比" dataDxfId="249"/>
    <tableColumn id="12" xr3:uid="{F22678A6-E905-4407-845A-34BF9B93FB41}" name="個人／事業所数" totalsRowFunction="sum" totalsRowDxfId="248" dataCellStyle="桁区切り" totalsRowCellStyle="桁区切り"/>
    <tableColumn id="13" xr3:uid="{E43F661C-702A-4458-B3D4-DF0EB50E9CA5}" name="個人／構成比" dataDxfId="247"/>
    <tableColumn id="14" xr3:uid="{470DFE93-F07E-4CEA-9CCA-FFD90A16BF9B}" name="法人／事業所数" totalsRowFunction="sum" totalsRowDxfId="246" dataCellStyle="桁区切り" totalsRowCellStyle="桁区切り"/>
    <tableColumn id="15" xr3:uid="{1A01BF81-BAE3-4436-8A96-6ADAA63437C9}" name="法人／構成比" dataDxfId="245"/>
    <tableColumn id="16" xr3:uid="{493D2EA1-CBE2-4100-9350-6D1DC8D40B08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2C62A21-76FA-4790-BC9B-C4227D885560}" name="M_TABLE_08231" displayName="M_TABLE_08231" ref="B23:I43" totalsRowShown="0">
  <autoFilter ref="B23:I43" xr:uid="{22C62A21-76FA-4790-BC9B-C4227D885560}"/>
  <tableColumns count="8">
    <tableColumn id="9" xr3:uid="{3F39B577-549C-49FB-97FD-C06BF713DA93}" name="産業中分類上位２０"/>
    <tableColumn id="10" xr3:uid="{F7298CF7-7C7A-4CD4-9D14-0930C7B4CA31}" name="総数／事業所数" dataCellStyle="桁区切り"/>
    <tableColumn id="11" xr3:uid="{26DBC2E7-0897-4A8C-A7D4-10F29B4467D2}" name="総数／構成比" dataDxfId="243"/>
    <tableColumn id="12" xr3:uid="{A01CD842-46B3-43F6-899B-9C10F081BD9F}" name="個人／事業所数" dataCellStyle="桁区切り"/>
    <tableColumn id="13" xr3:uid="{CD9D21E6-C8B3-498B-B7A1-58D0E9770436}" name="個人／構成比" dataDxfId="242"/>
    <tableColumn id="14" xr3:uid="{594C82CF-51D4-4A22-A816-1B8ABA41A718}" name="法人／事業所数" dataCellStyle="桁区切り"/>
    <tableColumn id="15" xr3:uid="{F1015D84-89BA-4296-A765-D031363CC4D0}" name="法人／構成比" dataDxfId="241"/>
    <tableColumn id="16" xr3:uid="{A7C14E29-5502-48CF-A5AD-A2A7DF371C2A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EB4C73A3-9974-42C2-AC8D-0E5A9C9446D7}" name="S_TABLE_08231" displayName="S_TABLE_08231" ref="B46:I66" totalsRowShown="0">
  <autoFilter ref="B46:I66" xr:uid="{EB4C73A3-9974-42C2-AC8D-0E5A9C9446D7}"/>
  <tableColumns count="8">
    <tableColumn id="9" xr3:uid="{988F28BB-A79F-4BA4-B9FF-1995C36186F3}" name="産業小分類上位２０"/>
    <tableColumn id="10" xr3:uid="{DE2A5516-88A5-410F-817B-D4D981FD3A32}" name="総数／事業所数" dataCellStyle="桁区切り"/>
    <tableColumn id="11" xr3:uid="{99D4C8D9-353B-4601-AD80-BC88BC444E9A}" name="総数／構成比" dataDxfId="240"/>
    <tableColumn id="12" xr3:uid="{2F4490DE-D772-4E83-A6C4-F40BE9B5D8DF}" name="個人／事業所数" dataCellStyle="桁区切り"/>
    <tableColumn id="13" xr3:uid="{7646B138-86CF-4028-9159-1C0B1249DA9E}" name="個人／構成比" dataDxfId="239"/>
    <tableColumn id="14" xr3:uid="{B12AF87B-1980-46C8-9C35-0C495B528DDD}" name="法人／事業所数" dataCellStyle="桁区切り"/>
    <tableColumn id="15" xr3:uid="{DD50CB9A-E74F-4454-A62E-512FB32CA38C}" name="法人／構成比" dataDxfId="238"/>
    <tableColumn id="16" xr3:uid="{D0B4B091-A582-4130-A4D9-026E535B2AA0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D9243FF-8C67-4692-B41E-37EAC528C5F0}" name="LTBL_08232" displayName="LTBL_08232" ref="B4:I20" totalsRowCount="1">
  <autoFilter ref="B4:I19" xr:uid="{6D9243FF-8C67-4692-B41E-37EAC528C5F0}"/>
  <tableColumns count="8">
    <tableColumn id="9" xr3:uid="{E5CD376F-5EDE-438C-92F0-975A52AB9B90}" name="産業大分類" totalsRowLabel="合計" totalsRowDxfId="237"/>
    <tableColumn id="10" xr3:uid="{858FF335-9FBA-4C61-81CE-7DE359C6114D}" name="総数／事業所数" totalsRowFunction="custom" totalsRowDxfId="236" dataCellStyle="桁区切り" totalsRowCellStyle="桁区切り">
      <totalsRowFormula>SUM(LTBL_08232[総数／事業所数])</totalsRowFormula>
    </tableColumn>
    <tableColumn id="11" xr3:uid="{B453E050-8B37-4322-9092-83F01FDA3E14}" name="総数／構成比" dataDxfId="235"/>
    <tableColumn id="12" xr3:uid="{9D245289-9949-4D0F-AE21-F6720F68CABA}" name="個人／事業所数" totalsRowFunction="sum" totalsRowDxfId="234" dataCellStyle="桁区切り" totalsRowCellStyle="桁区切り"/>
    <tableColumn id="13" xr3:uid="{F6022B36-BB05-47EB-8FA1-AF9B2BD8F01B}" name="個人／構成比" dataDxfId="233"/>
    <tableColumn id="14" xr3:uid="{8D587003-5D9A-4931-AC0F-A6E9230DBBD8}" name="法人／事業所数" totalsRowFunction="sum" totalsRowDxfId="232" dataCellStyle="桁区切り" totalsRowCellStyle="桁区切り"/>
    <tableColumn id="15" xr3:uid="{CCEB00BC-DF74-4184-95BC-55D982620EBC}" name="法人／構成比" dataDxfId="231"/>
    <tableColumn id="16" xr3:uid="{2467186B-6A84-45D4-BB9D-E9E043244221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5DDCFC83-7054-41FF-AAB0-946DEA6E2216}" name="M_TABLE_08232" displayName="M_TABLE_08232" ref="B23:I43" totalsRowShown="0">
  <autoFilter ref="B23:I43" xr:uid="{5DDCFC83-7054-41FF-AAB0-946DEA6E2216}"/>
  <tableColumns count="8">
    <tableColumn id="9" xr3:uid="{C5D059E8-8F77-4B06-994D-85EA260BC841}" name="産業中分類上位２０"/>
    <tableColumn id="10" xr3:uid="{F292B2FA-CEB9-4F08-BCDC-AB4D15746230}" name="総数／事業所数" dataCellStyle="桁区切り"/>
    <tableColumn id="11" xr3:uid="{CC943D95-795C-409B-B3D2-8FD76F6892E1}" name="総数／構成比" dataDxfId="229"/>
    <tableColumn id="12" xr3:uid="{69FFF862-BF55-485A-AFCA-25BC8DCA9867}" name="個人／事業所数" dataCellStyle="桁区切り"/>
    <tableColumn id="13" xr3:uid="{D1F3EB85-0A84-4EC4-9D0C-E4F0CA68CF75}" name="個人／構成比" dataDxfId="228"/>
    <tableColumn id="14" xr3:uid="{5FCD054A-B75E-48D4-A9B4-9696941E9297}" name="法人／事業所数" dataCellStyle="桁区切り"/>
    <tableColumn id="15" xr3:uid="{CAAE20C1-703E-423D-AE95-B0D44C728E42}" name="法人／構成比" dataDxfId="227"/>
    <tableColumn id="16" xr3:uid="{708492A8-7656-49F2-879A-C7FD6CEE75BA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47FB317-342C-43A9-BB2E-D52B2B206F07}" name="S_TABLE_08232" displayName="S_TABLE_08232" ref="B46:I66" totalsRowShown="0">
  <autoFilter ref="B46:I66" xr:uid="{447FB317-342C-43A9-BB2E-D52B2B206F07}"/>
  <tableColumns count="8">
    <tableColumn id="9" xr3:uid="{7F061D1B-0AA9-476B-9159-DFB7A09410D9}" name="産業小分類上位２０"/>
    <tableColumn id="10" xr3:uid="{D866C7BD-48F8-451F-A413-CAB5B37B7DB1}" name="総数／事業所数" dataCellStyle="桁区切り"/>
    <tableColumn id="11" xr3:uid="{CAC2D60F-4F22-4E4D-AFC6-E6F865B549BA}" name="総数／構成比" dataDxfId="226"/>
    <tableColumn id="12" xr3:uid="{88C4B0E6-653E-4EA2-9C3C-CAD9C4D0D04B}" name="個人／事業所数" dataCellStyle="桁区切り"/>
    <tableColumn id="13" xr3:uid="{8F6F735F-2E29-4D3F-A9D9-6D1BCDD27FE7}" name="個人／構成比" dataDxfId="225"/>
    <tableColumn id="14" xr3:uid="{C864077B-096D-4044-BA82-B5BB1817444B}" name="法人／事業所数" dataCellStyle="桁区切り"/>
    <tableColumn id="15" xr3:uid="{5FC802DD-CCCD-4E6F-8661-73A80FCD3730}" name="法人／構成比" dataDxfId="224"/>
    <tableColumn id="16" xr3:uid="{E950312B-D7AB-4AD8-8E63-3F0A6B54FB67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DDAA8232-77D8-4AF5-A6F7-3DD9B7B5BCDA}" name="LTBL_08233" displayName="LTBL_08233" ref="B4:I20" totalsRowCount="1">
  <autoFilter ref="B4:I19" xr:uid="{DDAA8232-77D8-4AF5-A6F7-3DD9B7B5BCDA}"/>
  <tableColumns count="8">
    <tableColumn id="9" xr3:uid="{CBD730B7-4D6D-4EC1-AAAA-754BCC6245E5}" name="産業大分類" totalsRowLabel="合計" totalsRowDxfId="223"/>
    <tableColumn id="10" xr3:uid="{105F901E-465D-49F7-B8A5-36FC677A2BC1}" name="総数／事業所数" totalsRowFunction="custom" totalsRowDxfId="222" dataCellStyle="桁区切り" totalsRowCellStyle="桁区切り">
      <totalsRowFormula>SUM(LTBL_08233[総数／事業所数])</totalsRowFormula>
    </tableColumn>
    <tableColumn id="11" xr3:uid="{4DE16DDC-9E8B-4C96-AF93-27C8AA8E5B2B}" name="総数／構成比" dataDxfId="221"/>
    <tableColumn id="12" xr3:uid="{26E582DB-CFF6-4160-8D06-8CBE9E1A3448}" name="個人／事業所数" totalsRowFunction="sum" totalsRowDxfId="220" dataCellStyle="桁区切り" totalsRowCellStyle="桁区切り"/>
    <tableColumn id="13" xr3:uid="{58C31FF6-B4F8-4CAB-AD4C-53110877CBDD}" name="個人／構成比" dataDxfId="219"/>
    <tableColumn id="14" xr3:uid="{BBBF577D-C136-46F4-AF8D-D02588A92C08}" name="法人／事業所数" totalsRowFunction="sum" totalsRowDxfId="218" dataCellStyle="桁区切り" totalsRowCellStyle="桁区切り"/>
    <tableColumn id="15" xr3:uid="{B3B4B535-960A-4A54-BA34-17709751E2C4}" name="法人／構成比" dataDxfId="217"/>
    <tableColumn id="16" xr3:uid="{9D3C9F9F-8568-4DAB-9611-6BF42FB66012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FF8AB8D-54EE-47AB-B9D4-FD8CEFFE9045}" name="M_TABLE_08233" displayName="M_TABLE_08233" ref="B23:I43" totalsRowShown="0">
  <autoFilter ref="B23:I43" xr:uid="{5FF8AB8D-54EE-47AB-B9D4-FD8CEFFE9045}"/>
  <tableColumns count="8">
    <tableColumn id="9" xr3:uid="{8567D107-4B87-4566-9919-69B4387B7E96}" name="産業中分類上位２０"/>
    <tableColumn id="10" xr3:uid="{B748C44D-6DF8-402C-A562-1559BBB4EB40}" name="総数／事業所数" dataCellStyle="桁区切り"/>
    <tableColumn id="11" xr3:uid="{D35CBCBC-6916-4425-976C-266C82E6AB5E}" name="総数／構成比" dataDxfId="215"/>
    <tableColumn id="12" xr3:uid="{A5BEA1E3-1033-463E-9F6C-785372BFF3FD}" name="個人／事業所数" dataCellStyle="桁区切り"/>
    <tableColumn id="13" xr3:uid="{3F24DF44-B84C-4737-BC6B-09059CC61DB7}" name="個人／構成比" dataDxfId="214"/>
    <tableColumn id="14" xr3:uid="{9B3ACB81-EB89-485A-93D1-E80494BA557F}" name="法人／事業所数" dataCellStyle="桁区切り"/>
    <tableColumn id="15" xr3:uid="{12CA8ECF-9F07-4D5F-B2F3-99F190B7A5B3}" name="法人／構成比" dataDxfId="213"/>
    <tableColumn id="16" xr3:uid="{B54C103C-6B57-423B-97B9-67FAB76EED4C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5323BB-AC5D-4A33-9A69-CB4E4CDC13BF}" name="S_TABLE_08202" displayName="S_TABLE_08202" ref="B46:I66" totalsRowShown="0">
  <autoFilter ref="B46:I66" xr:uid="{FF5323BB-AC5D-4A33-9A69-CB4E4CDC13BF}"/>
  <tableColumns count="8">
    <tableColumn id="9" xr3:uid="{CF4AAADA-A1D7-4627-B0D7-65CCA1B9BE1D}" name="産業小分類上位２０"/>
    <tableColumn id="10" xr3:uid="{D1CD19EC-8D2B-44C4-8759-3E66274A8E3D}" name="総数／事業所数" dataCellStyle="桁区切り"/>
    <tableColumn id="11" xr3:uid="{4B473B1E-CA23-4C3A-9C23-E5E9D7573C73}" name="総数／構成比" dataDxfId="590"/>
    <tableColumn id="12" xr3:uid="{957526D2-791B-4B2D-9270-EE40252E6DC1}" name="個人／事業所数" dataCellStyle="桁区切り"/>
    <tableColumn id="13" xr3:uid="{E27CBDA6-886A-434A-9742-ED0D8870D852}" name="個人／構成比" dataDxfId="589"/>
    <tableColumn id="14" xr3:uid="{5C0468A9-F379-41BC-A8C9-7BB7CB724A64}" name="法人／事業所数" dataCellStyle="桁区切り"/>
    <tableColumn id="15" xr3:uid="{AB4F5E34-2203-4E62-B951-A45C8CF638A6}" name="法人／構成比" dataDxfId="588"/>
    <tableColumn id="16" xr3:uid="{5BA7C989-038C-441F-82C7-4B74661A0ECA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C9F1C60-4ABA-4867-AC90-E430FBE78ED4}" name="S_TABLE_08233" displayName="S_TABLE_08233" ref="B46:I71" totalsRowShown="0">
  <autoFilter ref="B46:I71" xr:uid="{CC9F1C60-4ABA-4867-AC90-E430FBE78ED4}"/>
  <tableColumns count="8">
    <tableColumn id="9" xr3:uid="{737D018A-B763-4F15-8FF8-6DB1829D3C2F}" name="産業小分類上位２０"/>
    <tableColumn id="10" xr3:uid="{0A2CC515-FA9B-4BA9-8702-3E342EE0659D}" name="総数／事業所数" dataCellStyle="桁区切り"/>
    <tableColumn id="11" xr3:uid="{51A32DE9-D2AE-40FC-99BE-25CAC13AD99C}" name="総数／構成比" dataDxfId="212"/>
    <tableColumn id="12" xr3:uid="{B6379954-3E36-432E-9B49-312C4B125A58}" name="個人／事業所数" dataCellStyle="桁区切り"/>
    <tableColumn id="13" xr3:uid="{DBA8F6B3-AFE3-470E-BD5A-267ECD8390F0}" name="個人／構成比" dataDxfId="211"/>
    <tableColumn id="14" xr3:uid="{D74CD15F-EEB0-49E3-B22D-06BF6DC80638}" name="法人／事業所数" dataCellStyle="桁区切り"/>
    <tableColumn id="15" xr3:uid="{68E83DDC-1824-4EAA-9034-4FC42767EF95}" name="法人／構成比" dataDxfId="210"/>
    <tableColumn id="16" xr3:uid="{ACF7A6F2-619E-40A9-9254-80446B938FD3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2F5DB672-1E5F-496B-8ECA-71DF402F268F}" name="LTBL_08234" displayName="LTBL_08234" ref="B4:I20" totalsRowCount="1">
  <autoFilter ref="B4:I19" xr:uid="{2F5DB672-1E5F-496B-8ECA-71DF402F268F}"/>
  <tableColumns count="8">
    <tableColumn id="9" xr3:uid="{436DFDFE-BFF9-4D13-B029-840FE9BE4E8A}" name="産業大分類" totalsRowLabel="合計" totalsRowDxfId="209"/>
    <tableColumn id="10" xr3:uid="{FA9B668A-5F7E-4AD8-94BF-1BC3E355DA61}" name="総数／事業所数" totalsRowFunction="custom" totalsRowDxfId="208" dataCellStyle="桁区切り" totalsRowCellStyle="桁区切り">
      <totalsRowFormula>SUM(LTBL_08234[総数／事業所数])</totalsRowFormula>
    </tableColumn>
    <tableColumn id="11" xr3:uid="{AC567624-0D93-4F81-8CCD-E01E9C2E2EA4}" name="総数／構成比" dataDxfId="207"/>
    <tableColumn id="12" xr3:uid="{0D7DB078-5912-4A34-BC31-92DE99A80304}" name="個人／事業所数" totalsRowFunction="sum" totalsRowDxfId="206" dataCellStyle="桁区切り" totalsRowCellStyle="桁区切り"/>
    <tableColumn id="13" xr3:uid="{A0F25730-2994-4A5D-BA4D-03D6F9D70B61}" name="個人／構成比" dataDxfId="205"/>
    <tableColumn id="14" xr3:uid="{57578250-D659-46EA-AE23-2812D816BB03}" name="法人／事業所数" totalsRowFunction="sum" totalsRowDxfId="204" dataCellStyle="桁区切り" totalsRowCellStyle="桁区切り"/>
    <tableColumn id="15" xr3:uid="{69501726-FBC8-4AB2-9EAB-DE25F952D837}" name="法人／構成比" dataDxfId="203"/>
    <tableColumn id="16" xr3:uid="{A74E2EF0-C267-4599-BF25-98F1DA89B813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C4339646-D561-489F-ACBD-AB2676AECF54}" name="M_TABLE_08234" displayName="M_TABLE_08234" ref="B23:I43" totalsRowShown="0">
  <autoFilter ref="B23:I43" xr:uid="{C4339646-D561-489F-ACBD-AB2676AECF54}"/>
  <tableColumns count="8">
    <tableColumn id="9" xr3:uid="{E65F7D5A-669B-49F5-9201-9845E14288BF}" name="産業中分類上位２０"/>
    <tableColumn id="10" xr3:uid="{EE9194F1-CCB3-4D29-93C3-B71EB41FA683}" name="総数／事業所数" dataCellStyle="桁区切り"/>
    <tableColumn id="11" xr3:uid="{6B1538A6-12F7-4F7E-9787-9B7DA04C5A6E}" name="総数／構成比" dataDxfId="201"/>
    <tableColumn id="12" xr3:uid="{B79891E9-AFDB-4989-81A9-99A23315EDE8}" name="個人／事業所数" dataCellStyle="桁区切り"/>
    <tableColumn id="13" xr3:uid="{1D7E14EC-5A37-4595-B279-EE734AC3533D}" name="個人／構成比" dataDxfId="200"/>
    <tableColumn id="14" xr3:uid="{04292C9E-1CD0-4B5C-A4FD-38B83E623AC0}" name="法人／事業所数" dataCellStyle="桁区切り"/>
    <tableColumn id="15" xr3:uid="{B9FE67DD-83FF-4683-9051-8FDEEF15856D}" name="法人／構成比" dataDxfId="199"/>
    <tableColumn id="16" xr3:uid="{E6B36E86-6E9A-4B22-8894-ED33638DD085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6059C00C-7481-42C0-B235-489113BF527C}" name="S_TABLE_08234" displayName="S_TABLE_08234" ref="B46:I69" totalsRowShown="0">
  <autoFilter ref="B46:I69" xr:uid="{6059C00C-7481-42C0-B235-489113BF527C}"/>
  <tableColumns count="8">
    <tableColumn id="9" xr3:uid="{5FA8C7BC-FF30-49E1-8898-376959A62909}" name="産業小分類上位２０"/>
    <tableColumn id="10" xr3:uid="{1D219DD1-FC51-4A73-A9B9-C52ECAC11127}" name="総数／事業所数" dataCellStyle="桁区切り"/>
    <tableColumn id="11" xr3:uid="{96B1DA7D-2321-4778-A5FF-77B9D176C4BE}" name="総数／構成比" dataDxfId="198"/>
    <tableColumn id="12" xr3:uid="{73A90FB9-B6AA-4EE1-8121-C39729A11988}" name="個人／事業所数" dataCellStyle="桁区切り"/>
    <tableColumn id="13" xr3:uid="{57A55A45-B9B6-48FE-81AC-088694305990}" name="個人／構成比" dataDxfId="197"/>
    <tableColumn id="14" xr3:uid="{6DA07B3A-80E7-489A-80F5-5189A5A9C79C}" name="法人／事業所数" dataCellStyle="桁区切り"/>
    <tableColumn id="15" xr3:uid="{F2BF07BF-64D8-4B57-8BFD-5D39B5F83F1F}" name="法人／構成比" dataDxfId="196"/>
    <tableColumn id="16" xr3:uid="{9A73ECFD-3D67-4C12-BD6C-724C5DFC95FD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55C12C06-E308-41F6-A9AB-F6CEF277D7F3}" name="LTBL_08235" displayName="LTBL_08235" ref="B4:I20" totalsRowCount="1">
  <autoFilter ref="B4:I19" xr:uid="{55C12C06-E308-41F6-A9AB-F6CEF277D7F3}"/>
  <tableColumns count="8">
    <tableColumn id="9" xr3:uid="{F02D344B-395D-466C-84F7-4F27F8669490}" name="産業大分類" totalsRowLabel="合計" totalsRowDxfId="195"/>
    <tableColumn id="10" xr3:uid="{26269467-3ABA-4A86-8741-5FBB832FEB0C}" name="総数／事業所数" totalsRowFunction="custom" totalsRowDxfId="194" dataCellStyle="桁区切り" totalsRowCellStyle="桁区切り">
      <totalsRowFormula>SUM(LTBL_08235[総数／事業所数])</totalsRowFormula>
    </tableColumn>
    <tableColumn id="11" xr3:uid="{A3F7D0F8-94C8-457C-834A-C1C68B08FCBD}" name="総数／構成比" dataDxfId="193"/>
    <tableColumn id="12" xr3:uid="{66C73819-E79F-4AB4-A6FA-738B89706895}" name="個人／事業所数" totalsRowFunction="sum" totalsRowDxfId="192" dataCellStyle="桁区切り" totalsRowCellStyle="桁区切り"/>
    <tableColumn id="13" xr3:uid="{5F1D09DF-F050-4502-B480-B357CF22551D}" name="個人／構成比" dataDxfId="191"/>
    <tableColumn id="14" xr3:uid="{0074E086-977E-4F2D-AB34-D67F5AA25E35}" name="法人／事業所数" totalsRowFunction="sum" totalsRowDxfId="190" dataCellStyle="桁区切り" totalsRowCellStyle="桁区切り"/>
    <tableColumn id="15" xr3:uid="{94CD1C91-61B3-4229-9378-6FD246CD071F}" name="法人／構成比" dataDxfId="189"/>
    <tableColumn id="16" xr3:uid="{AAE83235-AB68-45B3-8163-67798CB1237E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F4E4F43E-C66E-4DE9-8DE9-746E300EE84E}" name="M_TABLE_08235" displayName="M_TABLE_08235" ref="B23:I43" totalsRowShown="0">
  <autoFilter ref="B23:I43" xr:uid="{F4E4F43E-C66E-4DE9-8DE9-746E300EE84E}"/>
  <tableColumns count="8">
    <tableColumn id="9" xr3:uid="{2EC3368F-9565-4EC9-841F-766D963AB54B}" name="産業中分類上位２０"/>
    <tableColumn id="10" xr3:uid="{3BBBCD58-395D-4A40-96D8-026F3DC0D40E}" name="総数／事業所数" dataCellStyle="桁区切り"/>
    <tableColumn id="11" xr3:uid="{83F80DBD-872C-4740-990B-7594F70FA708}" name="総数／構成比" dataDxfId="187"/>
    <tableColumn id="12" xr3:uid="{8BB630FB-6F48-4B38-9208-47440D233B33}" name="個人／事業所数" dataCellStyle="桁区切り"/>
    <tableColumn id="13" xr3:uid="{D35EA6DE-E730-443D-A7DF-67CF6BBEE8EA}" name="個人／構成比" dataDxfId="186"/>
    <tableColumn id="14" xr3:uid="{F0DCAF61-5C6B-4705-8E64-C468B797CCA8}" name="法人／事業所数" dataCellStyle="桁区切り"/>
    <tableColumn id="15" xr3:uid="{F3A15155-2258-4BD1-8018-7351D6FF7D7E}" name="法人／構成比" dataDxfId="185"/>
    <tableColumn id="16" xr3:uid="{554ED9FC-FDFF-4BF4-A972-62AB05EED68D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0A0C3B7-A6D3-4D08-9721-22C0AB29686D}" name="S_TABLE_08235" displayName="S_TABLE_08235" ref="B46:I69" totalsRowShown="0">
  <autoFilter ref="B46:I69" xr:uid="{60A0C3B7-A6D3-4D08-9721-22C0AB29686D}"/>
  <tableColumns count="8">
    <tableColumn id="9" xr3:uid="{2E808FCD-7774-4766-9073-E7C7BDCFD066}" name="産業小分類上位２０"/>
    <tableColumn id="10" xr3:uid="{061807E7-564D-4268-BC84-B13AE6BACFA8}" name="総数／事業所数" dataCellStyle="桁区切り"/>
    <tableColumn id="11" xr3:uid="{1D22DF35-AD87-4B57-BA7C-434EFBAEDD95}" name="総数／構成比" dataDxfId="184"/>
    <tableColumn id="12" xr3:uid="{D1C758A3-2DA3-4AFE-B586-E735F3D40A23}" name="個人／事業所数" dataCellStyle="桁区切り"/>
    <tableColumn id="13" xr3:uid="{9E9530DC-3A84-4FFF-929D-DA7358DC80C7}" name="個人／構成比" dataDxfId="183"/>
    <tableColumn id="14" xr3:uid="{2DFC130D-F65D-43D2-9967-8E90600B66F9}" name="法人／事業所数" dataCellStyle="桁区切り"/>
    <tableColumn id="15" xr3:uid="{521B0780-E130-4D05-97B3-6F61CB61CD8F}" name="法人／構成比" dataDxfId="182"/>
    <tableColumn id="16" xr3:uid="{4188564E-A81E-43BB-A97F-1328167AB478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0B8D8CE-3800-4A38-81B7-21FBFB7721B7}" name="LTBL_08236" displayName="LTBL_08236" ref="B4:I20" totalsRowCount="1">
  <autoFilter ref="B4:I19" xr:uid="{50B8D8CE-3800-4A38-81B7-21FBFB7721B7}"/>
  <tableColumns count="8">
    <tableColumn id="9" xr3:uid="{CD4AAD9A-9549-4BCE-8B4A-8CF71801E8F6}" name="産業大分類" totalsRowLabel="合計" totalsRowDxfId="181"/>
    <tableColumn id="10" xr3:uid="{0A090C72-27E4-4D69-8E64-CACD2414B53A}" name="総数／事業所数" totalsRowFunction="custom" totalsRowDxfId="180" dataCellStyle="桁区切り" totalsRowCellStyle="桁区切り">
      <totalsRowFormula>SUM(LTBL_08236[総数／事業所数])</totalsRowFormula>
    </tableColumn>
    <tableColumn id="11" xr3:uid="{ED486937-71CB-476C-91AF-32EABB050466}" name="総数／構成比" dataDxfId="179"/>
    <tableColumn id="12" xr3:uid="{330C04F3-627E-4423-B6C2-DAA546D28BC1}" name="個人／事業所数" totalsRowFunction="sum" totalsRowDxfId="178" dataCellStyle="桁区切り" totalsRowCellStyle="桁区切り"/>
    <tableColumn id="13" xr3:uid="{B15CD2CF-3AE8-4B9C-850C-8864985D0855}" name="個人／構成比" dataDxfId="177"/>
    <tableColumn id="14" xr3:uid="{610163E1-CA0F-4FAD-A606-6EE894A717FA}" name="法人／事業所数" totalsRowFunction="sum" totalsRowDxfId="176" dataCellStyle="桁区切り" totalsRowCellStyle="桁区切り"/>
    <tableColumn id="15" xr3:uid="{0B62CFD5-E558-4815-AE81-378986154B27}" name="法人／構成比" dataDxfId="175"/>
    <tableColumn id="16" xr3:uid="{89F91F8E-4B54-4DD5-9C62-7269CFE763CB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88E40B25-34D2-4517-99B5-E9C08AAE7D63}" name="M_TABLE_08236" displayName="M_TABLE_08236" ref="B23:I43" totalsRowShown="0">
  <autoFilter ref="B23:I43" xr:uid="{88E40B25-34D2-4517-99B5-E9C08AAE7D63}"/>
  <tableColumns count="8">
    <tableColumn id="9" xr3:uid="{C920159E-4A97-473C-8436-695B083599F6}" name="産業中分類上位２０"/>
    <tableColumn id="10" xr3:uid="{C7B89A18-0CFB-40F3-A9C4-D285FCD5AE13}" name="総数／事業所数" dataCellStyle="桁区切り"/>
    <tableColumn id="11" xr3:uid="{1270075F-80B1-4611-94B7-409A20D79FD0}" name="総数／構成比" dataDxfId="173"/>
    <tableColumn id="12" xr3:uid="{AB1CAC29-F633-44C7-B034-A78341152593}" name="個人／事業所数" dataCellStyle="桁区切り"/>
    <tableColumn id="13" xr3:uid="{BA65B9F3-6E50-4A44-8517-2BD1B037EC36}" name="個人／構成比" dataDxfId="172"/>
    <tableColumn id="14" xr3:uid="{AAEAFF94-BEF8-48DF-9A8C-962953690402}" name="法人／事業所数" dataCellStyle="桁区切り"/>
    <tableColumn id="15" xr3:uid="{2172DA67-4215-4406-8942-FDC2EDD1BC81}" name="法人／構成比" dataDxfId="171"/>
    <tableColumn id="16" xr3:uid="{5146D3CB-63BF-4360-AAE1-7A99723E2C91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5101E8B7-9DA7-4879-B5C5-E92B7123802C}" name="S_TABLE_08236" displayName="S_TABLE_08236" ref="B46:I68" totalsRowShown="0">
  <autoFilter ref="B46:I68" xr:uid="{5101E8B7-9DA7-4879-B5C5-E92B7123802C}"/>
  <tableColumns count="8">
    <tableColumn id="9" xr3:uid="{EC0EF6F7-4046-40E8-A7E7-2C03AA90BA4F}" name="産業小分類上位２０"/>
    <tableColumn id="10" xr3:uid="{930F9E38-3A12-4015-92DE-03D9D516A442}" name="総数／事業所数" dataCellStyle="桁区切り"/>
    <tableColumn id="11" xr3:uid="{538A0D28-F3BD-4F1E-84B8-93FCD2D93E36}" name="総数／構成比" dataDxfId="170"/>
    <tableColumn id="12" xr3:uid="{B30097CD-CF12-4F00-A36B-AEC72901E13D}" name="個人／事業所数" dataCellStyle="桁区切り"/>
    <tableColumn id="13" xr3:uid="{BAF50205-ED8A-41AF-9B61-ECEA8CFD58B6}" name="個人／構成比" dataDxfId="169"/>
    <tableColumn id="14" xr3:uid="{10222539-F8B0-438A-AEA8-1E6702B88139}" name="法人／事業所数" dataCellStyle="桁区切り"/>
    <tableColumn id="15" xr3:uid="{57FF56E2-2997-4428-B1FB-77A848EABF59}" name="法人／構成比" dataDxfId="168"/>
    <tableColumn id="16" xr3:uid="{1B1E57D2-6A13-42B7-809D-73270F9EEB31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5222D-1309-4E8F-AB49-10E66EDF4922}">
  <dimension ref="A1:B49"/>
  <sheetViews>
    <sheetView tabSelected="1" workbookViewId="0"/>
  </sheetViews>
  <sheetFormatPr defaultRowHeight="13.2" x14ac:dyDescent="0.2"/>
  <sheetData>
    <row r="1" spans="1:2" x14ac:dyDescent="0.2">
      <c r="A1" t="s">
        <v>288</v>
      </c>
    </row>
    <row r="2" spans="1:2" x14ac:dyDescent="0.2">
      <c r="B2" s="13" t="s">
        <v>194</v>
      </c>
    </row>
    <row r="3" spans="1:2" x14ac:dyDescent="0.2">
      <c r="B3" s="13" t="s">
        <v>117</v>
      </c>
    </row>
    <row r="4" spans="1:2" x14ac:dyDescent="0.2">
      <c r="B4" s="13" t="s">
        <v>192</v>
      </c>
    </row>
    <row r="5" spans="1:2" x14ac:dyDescent="0.2">
      <c r="B5" s="13" t="s">
        <v>243</v>
      </c>
    </row>
    <row r="6" spans="1:2" x14ac:dyDescent="0.2">
      <c r="B6" s="13" t="s">
        <v>244</v>
      </c>
    </row>
    <row r="7" spans="1:2" x14ac:dyDescent="0.2">
      <c r="B7" s="13" t="s">
        <v>245</v>
      </c>
    </row>
    <row r="8" spans="1:2" x14ac:dyDescent="0.2">
      <c r="B8" s="13" t="s">
        <v>246</v>
      </c>
    </row>
    <row r="9" spans="1:2" x14ac:dyDescent="0.2">
      <c r="B9" s="13" t="s">
        <v>247</v>
      </c>
    </row>
    <row r="10" spans="1:2" x14ac:dyDescent="0.2">
      <c r="B10" s="13" t="s">
        <v>248</v>
      </c>
    </row>
    <row r="11" spans="1:2" x14ac:dyDescent="0.2">
      <c r="B11" s="13" t="s">
        <v>249</v>
      </c>
    </row>
    <row r="12" spans="1:2" x14ac:dyDescent="0.2">
      <c r="B12" s="13" t="s">
        <v>250</v>
      </c>
    </row>
    <row r="13" spans="1:2" x14ac:dyDescent="0.2">
      <c r="B13" s="13" t="s">
        <v>251</v>
      </c>
    </row>
    <row r="14" spans="1:2" x14ac:dyDescent="0.2">
      <c r="B14" s="13" t="s">
        <v>252</v>
      </c>
    </row>
    <row r="15" spans="1:2" x14ac:dyDescent="0.2">
      <c r="B15" s="13" t="s">
        <v>253</v>
      </c>
    </row>
    <row r="16" spans="1:2" x14ac:dyDescent="0.2">
      <c r="B16" s="13" t="s">
        <v>254</v>
      </c>
    </row>
    <row r="17" spans="2:2" x14ac:dyDescent="0.2">
      <c r="B17" s="13" t="s">
        <v>255</v>
      </c>
    </row>
    <row r="18" spans="2:2" x14ac:dyDescent="0.2">
      <c r="B18" s="13" t="s">
        <v>256</v>
      </c>
    </row>
    <row r="19" spans="2:2" x14ac:dyDescent="0.2">
      <c r="B19" s="13" t="s">
        <v>257</v>
      </c>
    </row>
    <row r="20" spans="2:2" x14ac:dyDescent="0.2">
      <c r="B20" s="13" t="s">
        <v>258</v>
      </c>
    </row>
    <row r="21" spans="2:2" x14ac:dyDescent="0.2">
      <c r="B21" s="13" t="s">
        <v>259</v>
      </c>
    </row>
    <row r="22" spans="2:2" x14ac:dyDescent="0.2">
      <c r="B22" s="13" t="s">
        <v>260</v>
      </c>
    </row>
    <row r="23" spans="2:2" x14ac:dyDescent="0.2">
      <c r="B23" s="13" t="s">
        <v>261</v>
      </c>
    </row>
    <row r="24" spans="2:2" x14ac:dyDescent="0.2">
      <c r="B24" s="13" t="s">
        <v>262</v>
      </c>
    </row>
    <row r="25" spans="2:2" x14ac:dyDescent="0.2">
      <c r="B25" s="13" t="s">
        <v>263</v>
      </c>
    </row>
    <row r="26" spans="2:2" x14ac:dyDescent="0.2">
      <c r="B26" s="13" t="s">
        <v>264</v>
      </c>
    </row>
    <row r="27" spans="2:2" x14ac:dyDescent="0.2">
      <c r="B27" s="13" t="s">
        <v>265</v>
      </c>
    </row>
    <row r="28" spans="2:2" x14ac:dyDescent="0.2">
      <c r="B28" s="13" t="s">
        <v>266</v>
      </c>
    </row>
    <row r="29" spans="2:2" x14ac:dyDescent="0.2">
      <c r="B29" s="13" t="s">
        <v>267</v>
      </c>
    </row>
    <row r="30" spans="2:2" x14ac:dyDescent="0.2">
      <c r="B30" s="13" t="s">
        <v>268</v>
      </c>
    </row>
    <row r="31" spans="2:2" x14ac:dyDescent="0.2">
      <c r="B31" s="13" t="s">
        <v>269</v>
      </c>
    </row>
    <row r="32" spans="2:2" x14ac:dyDescent="0.2">
      <c r="B32" s="13" t="s">
        <v>270</v>
      </c>
    </row>
    <row r="33" spans="2:2" x14ac:dyDescent="0.2">
      <c r="B33" s="13" t="s">
        <v>271</v>
      </c>
    </row>
    <row r="34" spans="2:2" x14ac:dyDescent="0.2">
      <c r="B34" s="13" t="s">
        <v>272</v>
      </c>
    </row>
    <row r="35" spans="2:2" x14ac:dyDescent="0.2">
      <c r="B35" s="13" t="s">
        <v>273</v>
      </c>
    </row>
    <row r="36" spans="2:2" x14ac:dyDescent="0.2">
      <c r="B36" s="13" t="s">
        <v>274</v>
      </c>
    </row>
    <row r="37" spans="2:2" x14ac:dyDescent="0.2">
      <c r="B37" s="13" t="s">
        <v>275</v>
      </c>
    </row>
    <row r="38" spans="2:2" x14ac:dyDescent="0.2">
      <c r="B38" s="13" t="s">
        <v>276</v>
      </c>
    </row>
    <row r="39" spans="2:2" x14ac:dyDescent="0.2">
      <c r="B39" s="13" t="s">
        <v>277</v>
      </c>
    </row>
    <row r="40" spans="2:2" x14ac:dyDescent="0.2">
      <c r="B40" s="13" t="s">
        <v>278</v>
      </c>
    </row>
    <row r="41" spans="2:2" x14ac:dyDescent="0.2">
      <c r="B41" s="13" t="s">
        <v>279</v>
      </c>
    </row>
    <row r="42" spans="2:2" x14ac:dyDescent="0.2">
      <c r="B42" s="13" t="s">
        <v>280</v>
      </c>
    </row>
    <row r="43" spans="2:2" x14ac:dyDescent="0.2">
      <c r="B43" s="13" t="s">
        <v>281</v>
      </c>
    </row>
    <row r="44" spans="2:2" x14ac:dyDescent="0.2">
      <c r="B44" s="13" t="s">
        <v>282</v>
      </c>
    </row>
    <row r="45" spans="2:2" x14ac:dyDescent="0.2">
      <c r="B45" s="13" t="s">
        <v>283</v>
      </c>
    </row>
    <row r="46" spans="2:2" x14ac:dyDescent="0.2">
      <c r="B46" s="13" t="s">
        <v>284</v>
      </c>
    </row>
    <row r="47" spans="2:2" x14ac:dyDescent="0.2">
      <c r="B47" s="13" t="s">
        <v>285</v>
      </c>
    </row>
    <row r="48" spans="2:2" x14ac:dyDescent="0.2">
      <c r="B48" s="13" t="s">
        <v>286</v>
      </c>
    </row>
    <row r="49" spans="2:2" x14ac:dyDescent="0.2">
      <c r="B49" s="13" t="s">
        <v>287</v>
      </c>
    </row>
  </sheetData>
  <phoneticPr fontId="1"/>
  <hyperlinks>
    <hyperlink ref="B2" location="'産業大分類'!a1" display="産業大分類" xr:uid="{545401E8-34C2-4D27-9897-E1B743AB7B51}"/>
    <hyperlink ref="B3" location="'産業中分類'!a1" display="産業中分類" xr:uid="{066A38CD-C3AB-40D8-8ADF-8A6F3E762AC2}"/>
    <hyperlink ref="B4" location="'産業小分類'!a1" display="産業小分類" xr:uid="{63BEB86B-042B-4AEE-A67D-BF24B2BCFC69}"/>
    <hyperlink ref="B5" location="'茨城県'!a1" display="茨城県" xr:uid="{57473851-36FC-4C23-BDC0-4A83755B85D8}"/>
    <hyperlink ref="B6" location="'水戸市'!a1" display="水戸市" xr:uid="{C4F1BACE-BB11-4B65-AFBA-8D5DBC84A81A}"/>
    <hyperlink ref="B7" location="'日立市'!a1" display="日立市" xr:uid="{C6709073-770D-44B8-90F3-7CDA2CE9BC2C}"/>
    <hyperlink ref="B8" location="'土浦市'!a1" display="土浦市" xr:uid="{F9B8D6A7-D31D-4A85-B85C-E9226FB7FE3B}"/>
    <hyperlink ref="B9" location="'古河市'!a1" display="古河市" xr:uid="{8E1D015E-9191-4B88-85F6-660BCB494FB6}"/>
    <hyperlink ref="B10" location="'石岡市'!a1" display="石岡市" xr:uid="{4DC45273-1914-417C-A8C3-28D51B6123C4}"/>
    <hyperlink ref="B11" location="'結城市'!a1" display="結城市" xr:uid="{F37377F3-3815-40DD-B28B-FBAE4D56005C}"/>
    <hyperlink ref="B12" location="'龍ケ崎市'!a1" display="龍ケ崎市" xr:uid="{7AF0AD6E-18E8-480B-AB7E-167449999D3F}"/>
    <hyperlink ref="B13" location="'下妻市'!a1" display="下妻市" xr:uid="{4078711A-7D5A-4085-B1A3-BF7274BDA09B}"/>
    <hyperlink ref="B14" location="'常総市'!a1" display="常総市" xr:uid="{7B991D9C-86C1-48C0-9508-C7B98B8149E8}"/>
    <hyperlink ref="B15" location="'常陸太田市'!a1" display="常陸太田市" xr:uid="{C515CC0A-AEB9-4106-8B95-8C658C044FBD}"/>
    <hyperlink ref="B16" location="'高萩市'!a1" display="高萩市" xr:uid="{FFA22CCF-BFBB-4374-BFA1-3567CD943041}"/>
    <hyperlink ref="B17" location="'北茨城市'!a1" display="北茨城市" xr:uid="{37A3A13A-6D0E-4F18-9CE9-5D1A0752F757}"/>
    <hyperlink ref="B18" location="'笠間市'!a1" display="笠間市" xr:uid="{2E783312-4819-4BE8-A02B-B351DFE9BB36}"/>
    <hyperlink ref="B19" location="'取手市'!a1" display="取手市" xr:uid="{C05397CF-3904-47A3-932A-611EA31C8580}"/>
    <hyperlink ref="B20" location="'牛久市'!a1" display="牛久市" xr:uid="{9872613E-A0C4-49A8-B37F-A7B71CC55532}"/>
    <hyperlink ref="B21" location="'つくば市'!a1" display="つくば市" xr:uid="{940750FE-2A54-477A-99BA-7AFCCB6371A0}"/>
    <hyperlink ref="B22" location="'ひたちなか市'!a1" display="ひたちなか市" xr:uid="{20265B9C-EE31-4B11-B041-355B30FAD661}"/>
    <hyperlink ref="B23" location="'鹿嶋市'!a1" display="鹿嶋市" xr:uid="{2DA69C95-428D-4D46-8AAC-BA4B0463648A}"/>
    <hyperlink ref="B24" location="'潮来市'!a1" display="潮来市" xr:uid="{1435477A-EF6B-4342-B6DA-FE0D141FC8DB}"/>
    <hyperlink ref="B25" location="'守谷市'!a1" display="守谷市" xr:uid="{909FE5AF-119D-4C43-ADD5-250AE3C837D0}"/>
    <hyperlink ref="B26" location="'常陸大宮市'!a1" display="常陸大宮市" xr:uid="{D9253EC1-04FC-4096-BF04-50424260BD45}"/>
    <hyperlink ref="B27" location="'那珂市'!a1" display="那珂市" xr:uid="{8EE735FD-908A-4EC9-B08B-22FAD6CFD34F}"/>
    <hyperlink ref="B28" location="'筑西市'!a1" display="筑西市" xr:uid="{FAD5C6FF-9500-484F-824F-2CE04B3597CF}"/>
    <hyperlink ref="B29" location="'坂東市'!a1" display="坂東市" xr:uid="{1FF6F0B2-135A-4604-A27C-C9E9402078E9}"/>
    <hyperlink ref="B30" location="'稲敷市'!a1" display="稲敷市" xr:uid="{773065BF-BA27-49B4-9D57-896FEDBD3558}"/>
    <hyperlink ref="B31" location="'かすみがうら市'!a1" display="かすみがうら市" xr:uid="{6611E552-6AF3-415F-88F2-5543635033AC}"/>
    <hyperlink ref="B32" location="'桜川市'!a1" display="桜川市" xr:uid="{8E8D29BC-DC23-4A08-A0FD-46F45F10464D}"/>
    <hyperlink ref="B33" location="'神栖市'!a1" display="神栖市" xr:uid="{594849EC-4079-43DF-8EDA-BEF531938BBD}"/>
    <hyperlink ref="B34" location="'行方市'!a1" display="行方市" xr:uid="{3DAAA543-6136-426F-95BF-FDA2DD6CDE58}"/>
    <hyperlink ref="B35" location="'鉾田市'!a1" display="鉾田市" xr:uid="{C1AA3588-169D-479F-A809-FFC904605CC2}"/>
    <hyperlink ref="B36" location="'つくばみらい市'!a1" display="つくばみらい市" xr:uid="{AE346242-56F1-4CFB-A1C5-29C6A2C66D70}"/>
    <hyperlink ref="B37" location="'小美玉市'!a1" display="小美玉市" xr:uid="{5114FE47-DF16-4DE0-9F95-D315773A3041}"/>
    <hyperlink ref="B38" location="'東茨城郡茨城町'!a1" display="東茨城郡茨城町" xr:uid="{D817E015-7F16-49B6-B927-1966CE334808}"/>
    <hyperlink ref="B39" location="'東茨城郡大洗町'!a1" display="東茨城郡大洗町" xr:uid="{5DA0D17F-FE51-4047-8B9E-11B7345B3C5F}"/>
    <hyperlink ref="B40" location="'東茨城郡城里町'!a1" display="東茨城郡城里町" xr:uid="{886E3985-D4D0-4EDD-9243-B0BD9423212E}"/>
    <hyperlink ref="B41" location="'那珂郡東海村'!a1" display="那珂郡東海村" xr:uid="{05471B94-8337-4C83-8502-0CA60A37142B}"/>
    <hyperlink ref="B42" location="'久慈郡大子町'!a1" display="久慈郡大子町" xr:uid="{DAB2C980-6941-4669-BE41-6AD9B47118D1}"/>
    <hyperlink ref="B43" location="'稲敷郡美浦村'!a1" display="稲敷郡美浦村" xr:uid="{80F78861-4DB4-4331-8C6B-31100C8FE39C}"/>
    <hyperlink ref="B44" location="'稲敷郡阿見町'!a1" display="稲敷郡阿見町" xr:uid="{35B66E92-C2ED-4EA0-A26C-12DE5BEC9F41}"/>
    <hyperlink ref="B45" location="'稲敷郡河内町'!a1" display="稲敷郡河内町" xr:uid="{1EB96E1F-A2F1-4AF0-997B-51045E0CDCB9}"/>
    <hyperlink ref="B46" location="'結城郡八千代町'!a1" display="結城郡八千代町" xr:uid="{2FBF5B93-48D2-4B1B-8C8B-EE78108DB67B}"/>
    <hyperlink ref="B47" location="'猿島郡五霞町'!a1" display="猿島郡五霞町" xr:uid="{B10A01A0-738F-4A66-BEE0-7C638C7EEF2A}"/>
    <hyperlink ref="B48" location="'猿島郡境町'!a1" display="猿島郡境町" xr:uid="{65348E3A-9F04-43EC-9295-509C2E396F6A}"/>
    <hyperlink ref="B49" location="'北相馬郡利根町'!a1" display="北相馬郡利根町" xr:uid="{38469FEE-EA1A-4FD2-9981-D08C629F863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B710B-C476-4AFC-A65D-77104C5D346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348</v>
      </c>
      <c r="D6" s="8">
        <v>19.739999999999998</v>
      </c>
      <c r="E6" s="12">
        <v>181</v>
      </c>
      <c r="F6" s="8">
        <v>17.52</v>
      </c>
      <c r="G6" s="12">
        <v>167</v>
      </c>
      <c r="H6" s="8">
        <v>23.03</v>
      </c>
      <c r="I6" s="12">
        <v>0</v>
      </c>
    </row>
    <row r="7" spans="2:9" ht="15" customHeight="1" x14ac:dyDescent="0.2">
      <c r="B7" t="s">
        <v>47</v>
      </c>
      <c r="C7" s="12">
        <v>173</v>
      </c>
      <c r="D7" s="8">
        <v>9.81</v>
      </c>
      <c r="E7" s="12">
        <v>71</v>
      </c>
      <c r="F7" s="8">
        <v>6.87</v>
      </c>
      <c r="G7" s="12">
        <v>102</v>
      </c>
      <c r="H7" s="8">
        <v>14.07</v>
      </c>
      <c r="I7" s="12">
        <v>0</v>
      </c>
    </row>
    <row r="8" spans="2:9" ht="15" customHeight="1" x14ac:dyDescent="0.2">
      <c r="B8" t="s">
        <v>48</v>
      </c>
      <c r="C8" s="12">
        <v>4</v>
      </c>
      <c r="D8" s="8">
        <v>0.23</v>
      </c>
      <c r="E8" s="12">
        <v>0</v>
      </c>
      <c r="F8" s="8">
        <v>0</v>
      </c>
      <c r="G8" s="12">
        <v>4</v>
      </c>
      <c r="H8" s="8">
        <v>0.55000000000000004</v>
      </c>
      <c r="I8" s="12">
        <v>0</v>
      </c>
    </row>
    <row r="9" spans="2:9" ht="15" customHeight="1" x14ac:dyDescent="0.2">
      <c r="B9" t="s">
        <v>49</v>
      </c>
      <c r="C9" s="12">
        <v>8</v>
      </c>
      <c r="D9" s="8">
        <v>0.45</v>
      </c>
      <c r="E9" s="12">
        <v>0</v>
      </c>
      <c r="F9" s="8">
        <v>0</v>
      </c>
      <c r="G9" s="12">
        <v>8</v>
      </c>
      <c r="H9" s="8">
        <v>1.1000000000000001</v>
      </c>
      <c r="I9" s="12">
        <v>0</v>
      </c>
    </row>
    <row r="10" spans="2:9" ht="15" customHeight="1" x14ac:dyDescent="0.2">
      <c r="B10" t="s">
        <v>50</v>
      </c>
      <c r="C10" s="12">
        <v>15</v>
      </c>
      <c r="D10" s="8">
        <v>0.85</v>
      </c>
      <c r="E10" s="12">
        <v>1</v>
      </c>
      <c r="F10" s="8">
        <v>0.1</v>
      </c>
      <c r="G10" s="12">
        <v>14</v>
      </c>
      <c r="H10" s="8">
        <v>1.93</v>
      </c>
      <c r="I10" s="12">
        <v>0</v>
      </c>
    </row>
    <row r="11" spans="2:9" ht="15" customHeight="1" x14ac:dyDescent="0.2">
      <c r="B11" t="s">
        <v>51</v>
      </c>
      <c r="C11" s="12">
        <v>382</v>
      </c>
      <c r="D11" s="8">
        <v>21.67</v>
      </c>
      <c r="E11" s="12">
        <v>228</v>
      </c>
      <c r="F11" s="8">
        <v>22.07</v>
      </c>
      <c r="G11" s="12">
        <v>154</v>
      </c>
      <c r="H11" s="8">
        <v>21.24</v>
      </c>
      <c r="I11" s="12">
        <v>0</v>
      </c>
    </row>
    <row r="12" spans="2:9" ht="15" customHeight="1" x14ac:dyDescent="0.2">
      <c r="B12" t="s">
        <v>52</v>
      </c>
      <c r="C12" s="12">
        <v>15</v>
      </c>
      <c r="D12" s="8">
        <v>0.85</v>
      </c>
      <c r="E12" s="12">
        <v>2</v>
      </c>
      <c r="F12" s="8">
        <v>0.19</v>
      </c>
      <c r="G12" s="12">
        <v>13</v>
      </c>
      <c r="H12" s="8">
        <v>1.79</v>
      </c>
      <c r="I12" s="12">
        <v>0</v>
      </c>
    </row>
    <row r="13" spans="2:9" ht="15" customHeight="1" x14ac:dyDescent="0.2">
      <c r="B13" t="s">
        <v>53</v>
      </c>
      <c r="C13" s="12">
        <v>118</v>
      </c>
      <c r="D13" s="8">
        <v>6.69</v>
      </c>
      <c r="E13" s="12">
        <v>31</v>
      </c>
      <c r="F13" s="8">
        <v>3</v>
      </c>
      <c r="G13" s="12">
        <v>86</v>
      </c>
      <c r="H13" s="8">
        <v>11.86</v>
      </c>
      <c r="I13" s="12">
        <v>0</v>
      </c>
    </row>
    <row r="14" spans="2:9" ht="15" customHeight="1" x14ac:dyDescent="0.2">
      <c r="B14" t="s">
        <v>54</v>
      </c>
      <c r="C14" s="12">
        <v>82</v>
      </c>
      <c r="D14" s="8">
        <v>4.6500000000000004</v>
      </c>
      <c r="E14" s="12">
        <v>48</v>
      </c>
      <c r="F14" s="8">
        <v>4.6500000000000004</v>
      </c>
      <c r="G14" s="12">
        <v>34</v>
      </c>
      <c r="H14" s="8">
        <v>4.6900000000000004</v>
      </c>
      <c r="I14" s="12">
        <v>0</v>
      </c>
    </row>
    <row r="15" spans="2:9" ht="15" customHeight="1" x14ac:dyDescent="0.2">
      <c r="B15" t="s">
        <v>55</v>
      </c>
      <c r="C15" s="12">
        <v>164</v>
      </c>
      <c r="D15" s="8">
        <v>9.3000000000000007</v>
      </c>
      <c r="E15" s="12">
        <v>134</v>
      </c>
      <c r="F15" s="8">
        <v>12.97</v>
      </c>
      <c r="G15" s="12">
        <v>29</v>
      </c>
      <c r="H15" s="8">
        <v>4</v>
      </c>
      <c r="I15" s="12">
        <v>0</v>
      </c>
    </row>
    <row r="16" spans="2:9" ht="15" customHeight="1" x14ac:dyDescent="0.2">
      <c r="B16" t="s">
        <v>56</v>
      </c>
      <c r="C16" s="12">
        <v>242</v>
      </c>
      <c r="D16" s="8">
        <v>13.73</v>
      </c>
      <c r="E16" s="12">
        <v>198</v>
      </c>
      <c r="F16" s="8">
        <v>19.170000000000002</v>
      </c>
      <c r="G16" s="12">
        <v>42</v>
      </c>
      <c r="H16" s="8">
        <v>5.79</v>
      </c>
      <c r="I16" s="12">
        <v>0</v>
      </c>
    </row>
    <row r="17" spans="2:9" ht="15" customHeight="1" x14ac:dyDescent="0.2">
      <c r="B17" t="s">
        <v>57</v>
      </c>
      <c r="C17" s="12">
        <v>44</v>
      </c>
      <c r="D17" s="8">
        <v>2.5</v>
      </c>
      <c r="E17" s="12">
        <v>35</v>
      </c>
      <c r="F17" s="8">
        <v>3.39</v>
      </c>
      <c r="G17" s="12">
        <v>9</v>
      </c>
      <c r="H17" s="8">
        <v>1.24</v>
      </c>
      <c r="I17" s="12">
        <v>0</v>
      </c>
    </row>
    <row r="18" spans="2:9" ht="15" customHeight="1" x14ac:dyDescent="0.2">
      <c r="B18" t="s">
        <v>58</v>
      </c>
      <c r="C18" s="12">
        <v>73</v>
      </c>
      <c r="D18" s="8">
        <v>4.1399999999999997</v>
      </c>
      <c r="E18" s="12">
        <v>50</v>
      </c>
      <c r="F18" s="8">
        <v>4.84</v>
      </c>
      <c r="G18" s="12">
        <v>23</v>
      </c>
      <c r="H18" s="8">
        <v>3.17</v>
      </c>
      <c r="I18" s="12">
        <v>0</v>
      </c>
    </row>
    <row r="19" spans="2:9" ht="15" customHeight="1" x14ac:dyDescent="0.2">
      <c r="B19" t="s">
        <v>59</v>
      </c>
      <c r="C19" s="12">
        <v>95</v>
      </c>
      <c r="D19" s="8">
        <v>5.39</v>
      </c>
      <c r="E19" s="12">
        <v>54</v>
      </c>
      <c r="F19" s="8">
        <v>5.23</v>
      </c>
      <c r="G19" s="12">
        <v>40</v>
      </c>
      <c r="H19" s="8">
        <v>5.52</v>
      </c>
      <c r="I19" s="12">
        <v>0</v>
      </c>
    </row>
    <row r="20" spans="2:9" ht="15" customHeight="1" x14ac:dyDescent="0.2">
      <c r="B20" s="9" t="s">
        <v>195</v>
      </c>
      <c r="C20" s="12">
        <f>SUM(LTBL_08205[総数／事業所数])</f>
        <v>1763</v>
      </c>
      <c r="E20" s="12">
        <f>SUBTOTAL(109,LTBL_08205[個人／事業所数])</f>
        <v>1033</v>
      </c>
      <c r="G20" s="12">
        <f>SUBTOTAL(109,LTBL_08205[法人／事業所数])</f>
        <v>725</v>
      </c>
      <c r="I20" s="12">
        <f>SUBTOTAL(109,LTBL_08205[法人以外の団体／事業所数])</f>
        <v>0</v>
      </c>
    </row>
    <row r="21" spans="2:9" ht="15" customHeight="1" x14ac:dyDescent="0.2">
      <c r="E21" s="11">
        <f>LTBL_08205[[#Totals],[個人／事業所数]]/LTBL_08205[[#Totals],[総数／事業所数]]</f>
        <v>0.58593306863301187</v>
      </c>
      <c r="G21" s="11">
        <f>LTBL_08205[[#Totals],[法人／事業所数]]/LTBL_08205[[#Totals],[総数／事業所数]]</f>
        <v>0.41123085649461144</v>
      </c>
      <c r="I21" s="11">
        <f>LTBL_08205[[#Totals],[法人以外の団体／事業所数]]/LTBL_08205[[#Totals],[総数／事業所数]]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209</v>
      </c>
      <c r="D24" s="8">
        <v>11.85</v>
      </c>
      <c r="E24" s="12">
        <v>183</v>
      </c>
      <c r="F24" s="8">
        <v>17.72</v>
      </c>
      <c r="G24" s="12">
        <v>26</v>
      </c>
      <c r="H24" s="8">
        <v>3.59</v>
      </c>
      <c r="I24" s="12">
        <v>0</v>
      </c>
    </row>
    <row r="25" spans="2:9" ht="15" customHeight="1" x14ac:dyDescent="0.2">
      <c r="B25" t="s">
        <v>68</v>
      </c>
      <c r="C25" s="12">
        <v>148</v>
      </c>
      <c r="D25" s="8">
        <v>8.39</v>
      </c>
      <c r="E25" s="12">
        <v>62</v>
      </c>
      <c r="F25" s="8">
        <v>6</v>
      </c>
      <c r="G25" s="12">
        <v>86</v>
      </c>
      <c r="H25" s="8">
        <v>11.86</v>
      </c>
      <c r="I25" s="12">
        <v>0</v>
      </c>
    </row>
    <row r="26" spans="2:9" ht="15" customHeight="1" x14ac:dyDescent="0.2">
      <c r="B26" t="s">
        <v>82</v>
      </c>
      <c r="C26" s="12">
        <v>145</v>
      </c>
      <c r="D26" s="8">
        <v>8.2200000000000006</v>
      </c>
      <c r="E26" s="12">
        <v>129</v>
      </c>
      <c r="F26" s="8">
        <v>12.49</v>
      </c>
      <c r="G26" s="12">
        <v>16</v>
      </c>
      <c r="H26" s="8">
        <v>2.21</v>
      </c>
      <c r="I26" s="12">
        <v>0</v>
      </c>
    </row>
    <row r="27" spans="2:9" ht="15" customHeight="1" x14ac:dyDescent="0.2">
      <c r="B27" t="s">
        <v>69</v>
      </c>
      <c r="C27" s="12">
        <v>132</v>
      </c>
      <c r="D27" s="8">
        <v>7.49</v>
      </c>
      <c r="E27" s="12">
        <v>87</v>
      </c>
      <c r="F27" s="8">
        <v>8.42</v>
      </c>
      <c r="G27" s="12">
        <v>45</v>
      </c>
      <c r="H27" s="8">
        <v>6.21</v>
      </c>
      <c r="I27" s="12">
        <v>0</v>
      </c>
    </row>
    <row r="28" spans="2:9" ht="15" customHeight="1" x14ac:dyDescent="0.2">
      <c r="B28" t="s">
        <v>77</v>
      </c>
      <c r="C28" s="12">
        <v>118</v>
      </c>
      <c r="D28" s="8">
        <v>6.69</v>
      </c>
      <c r="E28" s="12">
        <v>72</v>
      </c>
      <c r="F28" s="8">
        <v>6.97</v>
      </c>
      <c r="G28" s="12">
        <v>46</v>
      </c>
      <c r="H28" s="8">
        <v>6.34</v>
      </c>
      <c r="I28" s="12">
        <v>0</v>
      </c>
    </row>
    <row r="29" spans="2:9" ht="15" customHeight="1" x14ac:dyDescent="0.2">
      <c r="B29" t="s">
        <v>79</v>
      </c>
      <c r="C29" s="12">
        <v>91</v>
      </c>
      <c r="D29" s="8">
        <v>5.16</v>
      </c>
      <c r="E29" s="12">
        <v>30</v>
      </c>
      <c r="F29" s="8">
        <v>2.9</v>
      </c>
      <c r="G29" s="12">
        <v>60</v>
      </c>
      <c r="H29" s="8">
        <v>8.2799999999999994</v>
      </c>
      <c r="I29" s="12">
        <v>0</v>
      </c>
    </row>
    <row r="30" spans="2:9" ht="15" customHeight="1" x14ac:dyDescent="0.2">
      <c r="B30" t="s">
        <v>75</v>
      </c>
      <c r="C30" s="12">
        <v>88</v>
      </c>
      <c r="D30" s="8">
        <v>4.99</v>
      </c>
      <c r="E30" s="12">
        <v>69</v>
      </c>
      <c r="F30" s="8">
        <v>6.68</v>
      </c>
      <c r="G30" s="12">
        <v>19</v>
      </c>
      <c r="H30" s="8">
        <v>2.62</v>
      </c>
      <c r="I30" s="12">
        <v>0</v>
      </c>
    </row>
    <row r="31" spans="2:9" ht="15" customHeight="1" x14ac:dyDescent="0.2">
      <c r="B31" t="s">
        <v>70</v>
      </c>
      <c r="C31" s="12">
        <v>68</v>
      </c>
      <c r="D31" s="8">
        <v>3.86</v>
      </c>
      <c r="E31" s="12">
        <v>32</v>
      </c>
      <c r="F31" s="8">
        <v>3.1</v>
      </c>
      <c r="G31" s="12">
        <v>36</v>
      </c>
      <c r="H31" s="8">
        <v>4.97</v>
      </c>
      <c r="I31" s="12">
        <v>0</v>
      </c>
    </row>
    <row r="32" spans="2:9" ht="15" customHeight="1" x14ac:dyDescent="0.2">
      <c r="B32" t="s">
        <v>76</v>
      </c>
      <c r="C32" s="12">
        <v>65</v>
      </c>
      <c r="D32" s="8">
        <v>3.69</v>
      </c>
      <c r="E32" s="12">
        <v>37</v>
      </c>
      <c r="F32" s="8">
        <v>3.58</v>
      </c>
      <c r="G32" s="12">
        <v>28</v>
      </c>
      <c r="H32" s="8">
        <v>3.86</v>
      </c>
      <c r="I32" s="12">
        <v>0</v>
      </c>
    </row>
    <row r="33" spans="2:9" ht="15" customHeight="1" x14ac:dyDescent="0.2">
      <c r="B33" t="s">
        <v>87</v>
      </c>
      <c r="C33" s="12">
        <v>55</v>
      </c>
      <c r="D33" s="8">
        <v>3.12</v>
      </c>
      <c r="E33" s="12">
        <v>44</v>
      </c>
      <c r="F33" s="8">
        <v>4.26</v>
      </c>
      <c r="G33" s="12">
        <v>11</v>
      </c>
      <c r="H33" s="8">
        <v>1.52</v>
      </c>
      <c r="I33" s="12">
        <v>0</v>
      </c>
    </row>
    <row r="34" spans="2:9" ht="15" customHeight="1" x14ac:dyDescent="0.2">
      <c r="B34" t="s">
        <v>86</v>
      </c>
      <c r="C34" s="12">
        <v>51</v>
      </c>
      <c r="D34" s="8">
        <v>2.89</v>
      </c>
      <c r="E34" s="12">
        <v>50</v>
      </c>
      <c r="F34" s="8">
        <v>4.84</v>
      </c>
      <c r="G34" s="12">
        <v>1</v>
      </c>
      <c r="H34" s="8">
        <v>0.14000000000000001</v>
      </c>
      <c r="I34" s="12">
        <v>0</v>
      </c>
    </row>
    <row r="35" spans="2:9" ht="15" customHeight="1" x14ac:dyDescent="0.2">
      <c r="B35" t="s">
        <v>85</v>
      </c>
      <c r="C35" s="12">
        <v>44</v>
      </c>
      <c r="D35" s="8">
        <v>2.5</v>
      </c>
      <c r="E35" s="12">
        <v>35</v>
      </c>
      <c r="F35" s="8">
        <v>3.39</v>
      </c>
      <c r="G35" s="12">
        <v>9</v>
      </c>
      <c r="H35" s="8">
        <v>1.24</v>
      </c>
      <c r="I35" s="12">
        <v>0</v>
      </c>
    </row>
    <row r="36" spans="2:9" ht="15" customHeight="1" x14ac:dyDescent="0.2">
      <c r="B36" t="s">
        <v>80</v>
      </c>
      <c r="C36" s="12">
        <v>40</v>
      </c>
      <c r="D36" s="8">
        <v>2.27</v>
      </c>
      <c r="E36" s="12">
        <v>29</v>
      </c>
      <c r="F36" s="8">
        <v>2.81</v>
      </c>
      <c r="G36" s="12">
        <v>11</v>
      </c>
      <c r="H36" s="8">
        <v>1.52</v>
      </c>
      <c r="I36" s="12">
        <v>0</v>
      </c>
    </row>
    <row r="37" spans="2:9" ht="15" customHeight="1" x14ac:dyDescent="0.2">
      <c r="B37" t="s">
        <v>81</v>
      </c>
      <c r="C37" s="12">
        <v>40</v>
      </c>
      <c r="D37" s="8">
        <v>2.27</v>
      </c>
      <c r="E37" s="12">
        <v>18</v>
      </c>
      <c r="F37" s="8">
        <v>1.74</v>
      </c>
      <c r="G37" s="12">
        <v>22</v>
      </c>
      <c r="H37" s="8">
        <v>3.03</v>
      </c>
      <c r="I37" s="12">
        <v>0</v>
      </c>
    </row>
    <row r="38" spans="2:9" ht="15" customHeight="1" x14ac:dyDescent="0.2">
      <c r="B38" t="s">
        <v>94</v>
      </c>
      <c r="C38" s="12">
        <v>25</v>
      </c>
      <c r="D38" s="8">
        <v>1.42</v>
      </c>
      <c r="E38" s="12">
        <v>18</v>
      </c>
      <c r="F38" s="8">
        <v>1.74</v>
      </c>
      <c r="G38" s="12">
        <v>7</v>
      </c>
      <c r="H38" s="8">
        <v>0.97</v>
      </c>
      <c r="I38" s="12">
        <v>0</v>
      </c>
    </row>
    <row r="39" spans="2:9" ht="15" customHeight="1" x14ac:dyDescent="0.2">
      <c r="B39" t="s">
        <v>74</v>
      </c>
      <c r="C39" s="12">
        <v>25</v>
      </c>
      <c r="D39" s="8">
        <v>1.42</v>
      </c>
      <c r="E39" s="12">
        <v>16</v>
      </c>
      <c r="F39" s="8">
        <v>1.55</v>
      </c>
      <c r="G39" s="12">
        <v>9</v>
      </c>
      <c r="H39" s="8">
        <v>1.24</v>
      </c>
      <c r="I39" s="12">
        <v>0</v>
      </c>
    </row>
    <row r="40" spans="2:9" ht="15" customHeight="1" x14ac:dyDescent="0.2">
      <c r="B40" t="s">
        <v>78</v>
      </c>
      <c r="C40" s="12">
        <v>25</v>
      </c>
      <c r="D40" s="8">
        <v>1.42</v>
      </c>
      <c r="E40" s="12">
        <v>0</v>
      </c>
      <c r="F40" s="8">
        <v>0</v>
      </c>
      <c r="G40" s="12">
        <v>25</v>
      </c>
      <c r="H40" s="8">
        <v>3.45</v>
      </c>
      <c r="I40" s="12">
        <v>0</v>
      </c>
    </row>
    <row r="41" spans="2:9" ht="15" customHeight="1" x14ac:dyDescent="0.2">
      <c r="B41" t="s">
        <v>84</v>
      </c>
      <c r="C41" s="12">
        <v>24</v>
      </c>
      <c r="D41" s="8">
        <v>1.36</v>
      </c>
      <c r="E41" s="12">
        <v>9</v>
      </c>
      <c r="F41" s="8">
        <v>0.87</v>
      </c>
      <c r="G41" s="12">
        <v>14</v>
      </c>
      <c r="H41" s="8">
        <v>1.93</v>
      </c>
      <c r="I41" s="12">
        <v>0</v>
      </c>
    </row>
    <row r="42" spans="2:9" ht="15" customHeight="1" x14ac:dyDescent="0.2">
      <c r="B42" t="s">
        <v>96</v>
      </c>
      <c r="C42" s="12">
        <v>22</v>
      </c>
      <c r="D42" s="8">
        <v>1.25</v>
      </c>
      <c r="E42" s="12">
        <v>0</v>
      </c>
      <c r="F42" s="8">
        <v>0</v>
      </c>
      <c r="G42" s="12">
        <v>22</v>
      </c>
      <c r="H42" s="8">
        <v>3.03</v>
      </c>
      <c r="I42" s="12">
        <v>0</v>
      </c>
    </row>
    <row r="43" spans="2:9" ht="15" customHeight="1" x14ac:dyDescent="0.2">
      <c r="B43" t="s">
        <v>95</v>
      </c>
      <c r="C43" s="12">
        <v>21</v>
      </c>
      <c r="D43" s="8">
        <v>1.19</v>
      </c>
      <c r="E43" s="12">
        <v>8</v>
      </c>
      <c r="F43" s="8">
        <v>0.77</v>
      </c>
      <c r="G43" s="12">
        <v>13</v>
      </c>
      <c r="H43" s="8">
        <v>1.79</v>
      </c>
      <c r="I43" s="12">
        <v>0</v>
      </c>
    </row>
    <row r="44" spans="2:9" ht="15" customHeight="1" x14ac:dyDescent="0.2">
      <c r="B44" t="s">
        <v>71</v>
      </c>
      <c r="C44" s="12">
        <v>21</v>
      </c>
      <c r="D44" s="8">
        <v>1.19</v>
      </c>
      <c r="E44" s="12">
        <v>9</v>
      </c>
      <c r="F44" s="8">
        <v>0.87</v>
      </c>
      <c r="G44" s="12">
        <v>12</v>
      </c>
      <c r="H44" s="8">
        <v>1.66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134</v>
      </c>
      <c r="C48" s="12">
        <v>94</v>
      </c>
      <c r="D48" s="8">
        <v>5.33</v>
      </c>
      <c r="E48" s="12">
        <v>85</v>
      </c>
      <c r="F48" s="8">
        <v>8.23</v>
      </c>
      <c r="G48" s="12">
        <v>9</v>
      </c>
      <c r="H48" s="8">
        <v>1.24</v>
      </c>
      <c r="I48" s="12">
        <v>0</v>
      </c>
    </row>
    <row r="49" spans="2:9" ht="15" customHeight="1" x14ac:dyDescent="0.2">
      <c r="B49" t="s">
        <v>133</v>
      </c>
      <c r="C49" s="12">
        <v>90</v>
      </c>
      <c r="D49" s="8">
        <v>5.0999999999999996</v>
      </c>
      <c r="E49" s="12">
        <v>86</v>
      </c>
      <c r="F49" s="8">
        <v>8.33</v>
      </c>
      <c r="G49" s="12">
        <v>4</v>
      </c>
      <c r="H49" s="8">
        <v>0.55000000000000004</v>
      </c>
      <c r="I49" s="12">
        <v>0</v>
      </c>
    </row>
    <row r="50" spans="2:9" ht="15" customHeight="1" x14ac:dyDescent="0.2">
      <c r="B50" t="s">
        <v>120</v>
      </c>
      <c r="C50" s="12">
        <v>57</v>
      </c>
      <c r="D50" s="8">
        <v>3.23</v>
      </c>
      <c r="E50" s="12">
        <v>38</v>
      </c>
      <c r="F50" s="8">
        <v>3.68</v>
      </c>
      <c r="G50" s="12">
        <v>19</v>
      </c>
      <c r="H50" s="8">
        <v>2.62</v>
      </c>
      <c r="I50" s="12">
        <v>0</v>
      </c>
    </row>
    <row r="51" spans="2:9" ht="15" customHeight="1" x14ac:dyDescent="0.2">
      <c r="B51" t="s">
        <v>137</v>
      </c>
      <c r="C51" s="12">
        <v>55</v>
      </c>
      <c r="D51" s="8">
        <v>3.12</v>
      </c>
      <c r="E51" s="12">
        <v>44</v>
      </c>
      <c r="F51" s="8">
        <v>4.26</v>
      </c>
      <c r="G51" s="12">
        <v>11</v>
      </c>
      <c r="H51" s="8">
        <v>1.52</v>
      </c>
      <c r="I51" s="12">
        <v>0</v>
      </c>
    </row>
    <row r="52" spans="2:9" ht="15" customHeight="1" x14ac:dyDescent="0.2">
      <c r="B52" t="s">
        <v>118</v>
      </c>
      <c r="C52" s="12">
        <v>49</v>
      </c>
      <c r="D52" s="8">
        <v>2.78</v>
      </c>
      <c r="E52" s="12">
        <v>14</v>
      </c>
      <c r="F52" s="8">
        <v>1.36</v>
      </c>
      <c r="G52" s="12">
        <v>35</v>
      </c>
      <c r="H52" s="8">
        <v>4.83</v>
      </c>
      <c r="I52" s="12">
        <v>0</v>
      </c>
    </row>
    <row r="53" spans="2:9" ht="15" customHeight="1" x14ac:dyDescent="0.2">
      <c r="B53" t="s">
        <v>129</v>
      </c>
      <c r="C53" s="12">
        <v>47</v>
      </c>
      <c r="D53" s="8">
        <v>2.67</v>
      </c>
      <c r="E53" s="12">
        <v>14</v>
      </c>
      <c r="F53" s="8">
        <v>1.36</v>
      </c>
      <c r="G53" s="12">
        <v>32</v>
      </c>
      <c r="H53" s="8">
        <v>4.41</v>
      </c>
      <c r="I53" s="12">
        <v>0</v>
      </c>
    </row>
    <row r="54" spans="2:9" ht="15" customHeight="1" x14ac:dyDescent="0.2">
      <c r="B54" t="s">
        <v>132</v>
      </c>
      <c r="C54" s="12">
        <v>47</v>
      </c>
      <c r="D54" s="8">
        <v>2.67</v>
      </c>
      <c r="E54" s="12">
        <v>44</v>
      </c>
      <c r="F54" s="8">
        <v>4.26</v>
      </c>
      <c r="G54" s="12">
        <v>3</v>
      </c>
      <c r="H54" s="8">
        <v>0.41</v>
      </c>
      <c r="I54" s="12">
        <v>0</v>
      </c>
    </row>
    <row r="55" spans="2:9" ht="15" customHeight="1" x14ac:dyDescent="0.2">
      <c r="B55" t="s">
        <v>124</v>
      </c>
      <c r="C55" s="12">
        <v>39</v>
      </c>
      <c r="D55" s="8">
        <v>2.21</v>
      </c>
      <c r="E55" s="12">
        <v>19</v>
      </c>
      <c r="F55" s="8">
        <v>1.84</v>
      </c>
      <c r="G55" s="12">
        <v>20</v>
      </c>
      <c r="H55" s="8">
        <v>2.76</v>
      </c>
      <c r="I55" s="12">
        <v>0</v>
      </c>
    </row>
    <row r="56" spans="2:9" ht="15" customHeight="1" x14ac:dyDescent="0.2">
      <c r="B56" t="s">
        <v>121</v>
      </c>
      <c r="C56" s="12">
        <v>35</v>
      </c>
      <c r="D56" s="8">
        <v>1.99</v>
      </c>
      <c r="E56" s="12">
        <v>17</v>
      </c>
      <c r="F56" s="8">
        <v>1.65</v>
      </c>
      <c r="G56" s="12">
        <v>18</v>
      </c>
      <c r="H56" s="8">
        <v>2.48</v>
      </c>
      <c r="I56" s="12">
        <v>0</v>
      </c>
    </row>
    <row r="57" spans="2:9" ht="15" customHeight="1" x14ac:dyDescent="0.2">
      <c r="B57" t="s">
        <v>127</v>
      </c>
      <c r="C57" s="12">
        <v>33</v>
      </c>
      <c r="D57" s="8">
        <v>1.87</v>
      </c>
      <c r="E57" s="12">
        <v>22</v>
      </c>
      <c r="F57" s="8">
        <v>2.13</v>
      </c>
      <c r="G57" s="12">
        <v>11</v>
      </c>
      <c r="H57" s="8">
        <v>1.52</v>
      </c>
      <c r="I57" s="12">
        <v>0</v>
      </c>
    </row>
    <row r="58" spans="2:9" ht="15" customHeight="1" x14ac:dyDescent="0.2">
      <c r="B58" t="s">
        <v>136</v>
      </c>
      <c r="C58" s="12">
        <v>32</v>
      </c>
      <c r="D58" s="8">
        <v>1.82</v>
      </c>
      <c r="E58" s="12">
        <v>31</v>
      </c>
      <c r="F58" s="8">
        <v>3</v>
      </c>
      <c r="G58" s="12">
        <v>1</v>
      </c>
      <c r="H58" s="8">
        <v>0.14000000000000001</v>
      </c>
      <c r="I58" s="12">
        <v>0</v>
      </c>
    </row>
    <row r="59" spans="2:9" ht="15" customHeight="1" x14ac:dyDescent="0.2">
      <c r="B59" t="s">
        <v>145</v>
      </c>
      <c r="C59" s="12">
        <v>31</v>
      </c>
      <c r="D59" s="8">
        <v>1.76</v>
      </c>
      <c r="E59" s="12">
        <v>25</v>
      </c>
      <c r="F59" s="8">
        <v>2.42</v>
      </c>
      <c r="G59" s="12">
        <v>6</v>
      </c>
      <c r="H59" s="8">
        <v>0.83</v>
      </c>
      <c r="I59" s="12">
        <v>0</v>
      </c>
    </row>
    <row r="60" spans="2:9" ht="15" customHeight="1" x14ac:dyDescent="0.2">
      <c r="B60" t="s">
        <v>146</v>
      </c>
      <c r="C60" s="12">
        <v>31</v>
      </c>
      <c r="D60" s="8">
        <v>1.76</v>
      </c>
      <c r="E60" s="12">
        <v>19</v>
      </c>
      <c r="F60" s="8">
        <v>1.84</v>
      </c>
      <c r="G60" s="12">
        <v>12</v>
      </c>
      <c r="H60" s="8">
        <v>1.66</v>
      </c>
      <c r="I60" s="12">
        <v>0</v>
      </c>
    </row>
    <row r="61" spans="2:9" ht="15" customHeight="1" x14ac:dyDescent="0.2">
      <c r="B61" t="s">
        <v>123</v>
      </c>
      <c r="C61" s="12">
        <v>29</v>
      </c>
      <c r="D61" s="8">
        <v>1.64</v>
      </c>
      <c r="E61" s="12">
        <v>22</v>
      </c>
      <c r="F61" s="8">
        <v>2.13</v>
      </c>
      <c r="G61" s="12">
        <v>7</v>
      </c>
      <c r="H61" s="8">
        <v>0.97</v>
      </c>
      <c r="I61" s="12">
        <v>0</v>
      </c>
    </row>
    <row r="62" spans="2:9" ht="15" customHeight="1" x14ac:dyDescent="0.2">
      <c r="B62" t="s">
        <v>131</v>
      </c>
      <c r="C62" s="12">
        <v>29</v>
      </c>
      <c r="D62" s="8">
        <v>1.64</v>
      </c>
      <c r="E62" s="12">
        <v>23</v>
      </c>
      <c r="F62" s="8">
        <v>2.23</v>
      </c>
      <c r="G62" s="12">
        <v>6</v>
      </c>
      <c r="H62" s="8">
        <v>0.83</v>
      </c>
      <c r="I62" s="12">
        <v>0</v>
      </c>
    </row>
    <row r="63" spans="2:9" ht="15" customHeight="1" x14ac:dyDescent="0.2">
      <c r="B63" t="s">
        <v>135</v>
      </c>
      <c r="C63" s="12">
        <v>28</v>
      </c>
      <c r="D63" s="8">
        <v>1.59</v>
      </c>
      <c r="E63" s="12">
        <v>22</v>
      </c>
      <c r="F63" s="8">
        <v>2.13</v>
      </c>
      <c r="G63" s="12">
        <v>6</v>
      </c>
      <c r="H63" s="8">
        <v>0.83</v>
      </c>
      <c r="I63" s="12">
        <v>0</v>
      </c>
    </row>
    <row r="64" spans="2:9" ht="15" customHeight="1" x14ac:dyDescent="0.2">
      <c r="B64" t="s">
        <v>122</v>
      </c>
      <c r="C64" s="12">
        <v>25</v>
      </c>
      <c r="D64" s="8">
        <v>1.42</v>
      </c>
      <c r="E64" s="12">
        <v>14</v>
      </c>
      <c r="F64" s="8">
        <v>1.36</v>
      </c>
      <c r="G64" s="12">
        <v>11</v>
      </c>
      <c r="H64" s="8">
        <v>1.52</v>
      </c>
      <c r="I64" s="12">
        <v>0</v>
      </c>
    </row>
    <row r="65" spans="2:9" ht="15" customHeight="1" x14ac:dyDescent="0.2">
      <c r="B65" t="s">
        <v>130</v>
      </c>
      <c r="C65" s="12">
        <v>23</v>
      </c>
      <c r="D65" s="8">
        <v>1.3</v>
      </c>
      <c r="E65" s="12">
        <v>7</v>
      </c>
      <c r="F65" s="8">
        <v>0.68</v>
      </c>
      <c r="G65" s="12">
        <v>16</v>
      </c>
      <c r="H65" s="8">
        <v>2.21</v>
      </c>
      <c r="I65" s="12">
        <v>0</v>
      </c>
    </row>
    <row r="66" spans="2:9" ht="15" customHeight="1" x14ac:dyDescent="0.2">
      <c r="B66" t="s">
        <v>147</v>
      </c>
      <c r="C66" s="12">
        <v>22</v>
      </c>
      <c r="D66" s="8">
        <v>1.25</v>
      </c>
      <c r="E66" s="12">
        <v>18</v>
      </c>
      <c r="F66" s="8">
        <v>1.74</v>
      </c>
      <c r="G66" s="12">
        <v>4</v>
      </c>
      <c r="H66" s="8">
        <v>0.55000000000000004</v>
      </c>
      <c r="I66" s="12">
        <v>0</v>
      </c>
    </row>
    <row r="67" spans="2:9" ht="15" customHeight="1" x14ac:dyDescent="0.2">
      <c r="B67" t="s">
        <v>148</v>
      </c>
      <c r="C67" s="12">
        <v>21</v>
      </c>
      <c r="D67" s="8">
        <v>1.19</v>
      </c>
      <c r="E67" s="12">
        <v>20</v>
      </c>
      <c r="F67" s="8">
        <v>1.94</v>
      </c>
      <c r="G67" s="12">
        <v>1</v>
      </c>
      <c r="H67" s="8">
        <v>0.14000000000000001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DC34-85EA-4B59-9024-A1396743873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268</v>
      </c>
      <c r="D6" s="8">
        <v>19.690000000000001</v>
      </c>
      <c r="E6" s="12">
        <v>128</v>
      </c>
      <c r="F6" s="8">
        <v>17.18</v>
      </c>
      <c r="G6" s="12">
        <v>140</v>
      </c>
      <c r="H6" s="8">
        <v>22.99</v>
      </c>
      <c r="I6" s="12">
        <v>0</v>
      </c>
    </row>
    <row r="7" spans="2:9" ht="15" customHeight="1" x14ac:dyDescent="0.2">
      <c r="B7" t="s">
        <v>47</v>
      </c>
      <c r="C7" s="12">
        <v>188</v>
      </c>
      <c r="D7" s="8">
        <v>13.81</v>
      </c>
      <c r="E7" s="12">
        <v>74</v>
      </c>
      <c r="F7" s="8">
        <v>9.93</v>
      </c>
      <c r="G7" s="12">
        <v>114</v>
      </c>
      <c r="H7" s="8">
        <v>18.72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0.15</v>
      </c>
      <c r="E8" s="12">
        <v>1</v>
      </c>
      <c r="F8" s="8">
        <v>0.13</v>
      </c>
      <c r="G8" s="12">
        <v>1</v>
      </c>
      <c r="H8" s="8">
        <v>0.16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0.22</v>
      </c>
      <c r="E9" s="12">
        <v>1</v>
      </c>
      <c r="F9" s="8">
        <v>0.13</v>
      </c>
      <c r="G9" s="12">
        <v>2</v>
      </c>
      <c r="H9" s="8">
        <v>0.33</v>
      </c>
      <c r="I9" s="12">
        <v>0</v>
      </c>
    </row>
    <row r="10" spans="2:9" ht="15" customHeight="1" x14ac:dyDescent="0.2">
      <c r="B10" t="s">
        <v>50</v>
      </c>
      <c r="C10" s="12">
        <v>10</v>
      </c>
      <c r="D10" s="8">
        <v>0.73</v>
      </c>
      <c r="E10" s="12">
        <v>2</v>
      </c>
      <c r="F10" s="8">
        <v>0.27</v>
      </c>
      <c r="G10" s="12">
        <v>8</v>
      </c>
      <c r="H10" s="8">
        <v>1.31</v>
      </c>
      <c r="I10" s="12">
        <v>0</v>
      </c>
    </row>
    <row r="11" spans="2:9" ht="15" customHeight="1" x14ac:dyDescent="0.2">
      <c r="B11" t="s">
        <v>51</v>
      </c>
      <c r="C11" s="12">
        <v>325</v>
      </c>
      <c r="D11" s="8">
        <v>23.88</v>
      </c>
      <c r="E11" s="12">
        <v>155</v>
      </c>
      <c r="F11" s="8">
        <v>20.81</v>
      </c>
      <c r="G11" s="12">
        <v>169</v>
      </c>
      <c r="H11" s="8">
        <v>27.75</v>
      </c>
      <c r="I11" s="12">
        <v>1</v>
      </c>
    </row>
    <row r="12" spans="2:9" ht="15" customHeight="1" x14ac:dyDescent="0.2">
      <c r="B12" t="s">
        <v>52</v>
      </c>
      <c r="C12" s="12">
        <v>3</v>
      </c>
      <c r="D12" s="8">
        <v>0.22</v>
      </c>
      <c r="E12" s="12">
        <v>1</v>
      </c>
      <c r="F12" s="8">
        <v>0.13</v>
      </c>
      <c r="G12" s="12">
        <v>2</v>
      </c>
      <c r="H12" s="8">
        <v>0.33</v>
      </c>
      <c r="I12" s="12">
        <v>0</v>
      </c>
    </row>
    <row r="13" spans="2:9" ht="15" customHeight="1" x14ac:dyDescent="0.2">
      <c r="B13" t="s">
        <v>53</v>
      </c>
      <c r="C13" s="12">
        <v>90</v>
      </c>
      <c r="D13" s="8">
        <v>6.61</v>
      </c>
      <c r="E13" s="12">
        <v>43</v>
      </c>
      <c r="F13" s="8">
        <v>5.77</v>
      </c>
      <c r="G13" s="12">
        <v>47</v>
      </c>
      <c r="H13" s="8">
        <v>7.72</v>
      </c>
      <c r="I13" s="12">
        <v>0</v>
      </c>
    </row>
    <row r="14" spans="2:9" ht="15" customHeight="1" x14ac:dyDescent="0.2">
      <c r="B14" t="s">
        <v>54</v>
      </c>
      <c r="C14" s="12">
        <v>62</v>
      </c>
      <c r="D14" s="8">
        <v>4.5599999999999996</v>
      </c>
      <c r="E14" s="12">
        <v>31</v>
      </c>
      <c r="F14" s="8">
        <v>4.16</v>
      </c>
      <c r="G14" s="12">
        <v>30</v>
      </c>
      <c r="H14" s="8">
        <v>4.93</v>
      </c>
      <c r="I14" s="12">
        <v>1</v>
      </c>
    </row>
    <row r="15" spans="2:9" ht="15" customHeight="1" x14ac:dyDescent="0.2">
      <c r="B15" t="s">
        <v>55</v>
      </c>
      <c r="C15" s="12">
        <v>123</v>
      </c>
      <c r="D15" s="8">
        <v>9.0399999999999991</v>
      </c>
      <c r="E15" s="12">
        <v>97</v>
      </c>
      <c r="F15" s="8">
        <v>13.02</v>
      </c>
      <c r="G15" s="12">
        <v>26</v>
      </c>
      <c r="H15" s="8">
        <v>4.2699999999999996</v>
      </c>
      <c r="I15" s="12">
        <v>0</v>
      </c>
    </row>
    <row r="16" spans="2:9" ht="15" customHeight="1" x14ac:dyDescent="0.2">
      <c r="B16" t="s">
        <v>56</v>
      </c>
      <c r="C16" s="12">
        <v>163</v>
      </c>
      <c r="D16" s="8">
        <v>11.98</v>
      </c>
      <c r="E16" s="12">
        <v>138</v>
      </c>
      <c r="F16" s="8">
        <v>18.52</v>
      </c>
      <c r="G16" s="12">
        <v>24</v>
      </c>
      <c r="H16" s="8">
        <v>3.94</v>
      </c>
      <c r="I16" s="12">
        <v>0</v>
      </c>
    </row>
    <row r="17" spans="2:9" ht="15" customHeight="1" x14ac:dyDescent="0.2">
      <c r="B17" t="s">
        <v>57</v>
      </c>
      <c r="C17" s="12">
        <v>32</v>
      </c>
      <c r="D17" s="8">
        <v>2.35</v>
      </c>
      <c r="E17" s="12">
        <v>20</v>
      </c>
      <c r="F17" s="8">
        <v>2.68</v>
      </c>
      <c r="G17" s="12">
        <v>10</v>
      </c>
      <c r="H17" s="8">
        <v>1.64</v>
      </c>
      <c r="I17" s="12">
        <v>0</v>
      </c>
    </row>
    <row r="18" spans="2:9" ht="15" customHeight="1" x14ac:dyDescent="0.2">
      <c r="B18" t="s">
        <v>58</v>
      </c>
      <c r="C18" s="12">
        <v>48</v>
      </c>
      <c r="D18" s="8">
        <v>3.53</v>
      </c>
      <c r="E18" s="12">
        <v>29</v>
      </c>
      <c r="F18" s="8">
        <v>3.89</v>
      </c>
      <c r="G18" s="12">
        <v>19</v>
      </c>
      <c r="H18" s="8">
        <v>3.12</v>
      </c>
      <c r="I18" s="12">
        <v>0</v>
      </c>
    </row>
    <row r="19" spans="2:9" ht="15" customHeight="1" x14ac:dyDescent="0.2">
      <c r="B19" t="s">
        <v>59</v>
      </c>
      <c r="C19" s="12">
        <v>44</v>
      </c>
      <c r="D19" s="8">
        <v>3.23</v>
      </c>
      <c r="E19" s="12">
        <v>25</v>
      </c>
      <c r="F19" s="8">
        <v>3.36</v>
      </c>
      <c r="G19" s="12">
        <v>17</v>
      </c>
      <c r="H19" s="8">
        <v>2.79</v>
      </c>
      <c r="I19" s="12">
        <v>0</v>
      </c>
    </row>
    <row r="20" spans="2:9" ht="15" customHeight="1" x14ac:dyDescent="0.2">
      <c r="B20" s="9" t="s">
        <v>195</v>
      </c>
      <c r="C20" s="12">
        <f>SUM(LTBL_08207[総数／事業所数])</f>
        <v>1361</v>
      </c>
      <c r="E20" s="12">
        <f>SUBTOTAL(109,LTBL_08207[個人／事業所数])</f>
        <v>745</v>
      </c>
      <c r="G20" s="12">
        <f>SUBTOTAL(109,LTBL_08207[法人／事業所数])</f>
        <v>609</v>
      </c>
      <c r="I20" s="12">
        <f>SUBTOTAL(109,LTBL_08207[法人以外の団体／事業所数])</f>
        <v>2</v>
      </c>
    </row>
    <row r="21" spans="2:9" ht="15" customHeight="1" x14ac:dyDescent="0.2">
      <c r="E21" s="11">
        <f>LTBL_08207[[#Totals],[個人／事業所数]]/LTBL_08207[[#Totals],[総数／事業所数]]</f>
        <v>0.54739162380602502</v>
      </c>
      <c r="G21" s="11">
        <f>LTBL_08207[[#Totals],[法人／事業所数]]/LTBL_08207[[#Totals],[総数／事業所数]]</f>
        <v>0.44746509919177074</v>
      </c>
      <c r="I21" s="11">
        <f>LTBL_08207[[#Totals],[法人以外の団体／事業所数]]/LTBL_08207[[#Totals],[総数／事業所数]]</f>
        <v>1.4695077149155032E-3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142</v>
      </c>
      <c r="D24" s="8">
        <v>10.43</v>
      </c>
      <c r="E24" s="12">
        <v>128</v>
      </c>
      <c r="F24" s="8">
        <v>17.18</v>
      </c>
      <c r="G24" s="12">
        <v>14</v>
      </c>
      <c r="H24" s="8">
        <v>2.2999999999999998</v>
      </c>
      <c r="I24" s="12">
        <v>0</v>
      </c>
    </row>
    <row r="25" spans="2:9" ht="15" customHeight="1" x14ac:dyDescent="0.2">
      <c r="B25" t="s">
        <v>68</v>
      </c>
      <c r="C25" s="12">
        <v>120</v>
      </c>
      <c r="D25" s="8">
        <v>8.82</v>
      </c>
      <c r="E25" s="12">
        <v>60</v>
      </c>
      <c r="F25" s="8">
        <v>8.0500000000000007</v>
      </c>
      <c r="G25" s="12">
        <v>60</v>
      </c>
      <c r="H25" s="8">
        <v>9.85</v>
      </c>
      <c r="I25" s="12">
        <v>0</v>
      </c>
    </row>
    <row r="26" spans="2:9" ht="15" customHeight="1" x14ac:dyDescent="0.2">
      <c r="B26" t="s">
        <v>82</v>
      </c>
      <c r="C26" s="12">
        <v>111</v>
      </c>
      <c r="D26" s="8">
        <v>8.16</v>
      </c>
      <c r="E26" s="12">
        <v>94</v>
      </c>
      <c r="F26" s="8">
        <v>12.62</v>
      </c>
      <c r="G26" s="12">
        <v>17</v>
      </c>
      <c r="H26" s="8">
        <v>2.79</v>
      </c>
      <c r="I26" s="12">
        <v>0</v>
      </c>
    </row>
    <row r="27" spans="2:9" ht="15" customHeight="1" x14ac:dyDescent="0.2">
      <c r="B27" t="s">
        <v>77</v>
      </c>
      <c r="C27" s="12">
        <v>103</v>
      </c>
      <c r="D27" s="8">
        <v>7.57</v>
      </c>
      <c r="E27" s="12">
        <v>44</v>
      </c>
      <c r="F27" s="8">
        <v>5.91</v>
      </c>
      <c r="G27" s="12">
        <v>59</v>
      </c>
      <c r="H27" s="8">
        <v>9.69</v>
      </c>
      <c r="I27" s="12">
        <v>0</v>
      </c>
    </row>
    <row r="28" spans="2:9" ht="15" customHeight="1" x14ac:dyDescent="0.2">
      <c r="B28" t="s">
        <v>69</v>
      </c>
      <c r="C28" s="12">
        <v>86</v>
      </c>
      <c r="D28" s="8">
        <v>6.32</v>
      </c>
      <c r="E28" s="12">
        <v>50</v>
      </c>
      <c r="F28" s="8">
        <v>6.71</v>
      </c>
      <c r="G28" s="12">
        <v>36</v>
      </c>
      <c r="H28" s="8">
        <v>5.91</v>
      </c>
      <c r="I28" s="12">
        <v>0</v>
      </c>
    </row>
    <row r="29" spans="2:9" ht="15" customHeight="1" x14ac:dyDescent="0.2">
      <c r="B29" t="s">
        <v>79</v>
      </c>
      <c r="C29" s="12">
        <v>69</v>
      </c>
      <c r="D29" s="8">
        <v>5.07</v>
      </c>
      <c r="E29" s="12">
        <v>40</v>
      </c>
      <c r="F29" s="8">
        <v>5.37</v>
      </c>
      <c r="G29" s="12">
        <v>29</v>
      </c>
      <c r="H29" s="8">
        <v>4.76</v>
      </c>
      <c r="I29" s="12">
        <v>0</v>
      </c>
    </row>
    <row r="30" spans="2:9" ht="15" customHeight="1" x14ac:dyDescent="0.2">
      <c r="B30" t="s">
        <v>70</v>
      </c>
      <c r="C30" s="12">
        <v>62</v>
      </c>
      <c r="D30" s="8">
        <v>4.5599999999999996</v>
      </c>
      <c r="E30" s="12">
        <v>18</v>
      </c>
      <c r="F30" s="8">
        <v>2.42</v>
      </c>
      <c r="G30" s="12">
        <v>44</v>
      </c>
      <c r="H30" s="8">
        <v>7.22</v>
      </c>
      <c r="I30" s="12">
        <v>0</v>
      </c>
    </row>
    <row r="31" spans="2:9" ht="15" customHeight="1" x14ac:dyDescent="0.2">
      <c r="B31" t="s">
        <v>76</v>
      </c>
      <c r="C31" s="12">
        <v>55</v>
      </c>
      <c r="D31" s="8">
        <v>4.04</v>
      </c>
      <c r="E31" s="12">
        <v>31</v>
      </c>
      <c r="F31" s="8">
        <v>4.16</v>
      </c>
      <c r="G31" s="12">
        <v>24</v>
      </c>
      <c r="H31" s="8">
        <v>3.94</v>
      </c>
      <c r="I31" s="12">
        <v>0</v>
      </c>
    </row>
    <row r="32" spans="2:9" ht="15" customHeight="1" x14ac:dyDescent="0.2">
      <c r="B32" t="s">
        <v>75</v>
      </c>
      <c r="C32" s="12">
        <v>51</v>
      </c>
      <c r="D32" s="8">
        <v>3.75</v>
      </c>
      <c r="E32" s="12">
        <v>41</v>
      </c>
      <c r="F32" s="8">
        <v>5.5</v>
      </c>
      <c r="G32" s="12">
        <v>9</v>
      </c>
      <c r="H32" s="8">
        <v>1.48</v>
      </c>
      <c r="I32" s="12">
        <v>1</v>
      </c>
    </row>
    <row r="33" spans="2:9" ht="15" customHeight="1" x14ac:dyDescent="0.2">
      <c r="B33" t="s">
        <v>71</v>
      </c>
      <c r="C33" s="12">
        <v>35</v>
      </c>
      <c r="D33" s="8">
        <v>2.57</v>
      </c>
      <c r="E33" s="12">
        <v>9</v>
      </c>
      <c r="F33" s="8">
        <v>1.21</v>
      </c>
      <c r="G33" s="12">
        <v>26</v>
      </c>
      <c r="H33" s="8">
        <v>4.2699999999999996</v>
      </c>
      <c r="I33" s="12">
        <v>0</v>
      </c>
    </row>
    <row r="34" spans="2:9" ht="15" customHeight="1" x14ac:dyDescent="0.2">
      <c r="B34" t="s">
        <v>74</v>
      </c>
      <c r="C34" s="12">
        <v>34</v>
      </c>
      <c r="D34" s="8">
        <v>2.5</v>
      </c>
      <c r="E34" s="12">
        <v>18</v>
      </c>
      <c r="F34" s="8">
        <v>2.42</v>
      </c>
      <c r="G34" s="12">
        <v>16</v>
      </c>
      <c r="H34" s="8">
        <v>2.63</v>
      </c>
      <c r="I34" s="12">
        <v>0</v>
      </c>
    </row>
    <row r="35" spans="2:9" ht="15" customHeight="1" x14ac:dyDescent="0.2">
      <c r="B35" t="s">
        <v>86</v>
      </c>
      <c r="C35" s="12">
        <v>33</v>
      </c>
      <c r="D35" s="8">
        <v>2.42</v>
      </c>
      <c r="E35" s="12">
        <v>28</v>
      </c>
      <c r="F35" s="8">
        <v>3.76</v>
      </c>
      <c r="G35" s="12">
        <v>5</v>
      </c>
      <c r="H35" s="8">
        <v>0.82</v>
      </c>
      <c r="I35" s="12">
        <v>0</v>
      </c>
    </row>
    <row r="36" spans="2:9" ht="15" customHeight="1" x14ac:dyDescent="0.2">
      <c r="B36" t="s">
        <v>85</v>
      </c>
      <c r="C36" s="12">
        <v>32</v>
      </c>
      <c r="D36" s="8">
        <v>2.35</v>
      </c>
      <c r="E36" s="12">
        <v>20</v>
      </c>
      <c r="F36" s="8">
        <v>2.68</v>
      </c>
      <c r="G36" s="12">
        <v>10</v>
      </c>
      <c r="H36" s="8">
        <v>1.64</v>
      </c>
      <c r="I36" s="12">
        <v>0</v>
      </c>
    </row>
    <row r="37" spans="2:9" ht="15" customHeight="1" x14ac:dyDescent="0.2">
      <c r="B37" t="s">
        <v>81</v>
      </c>
      <c r="C37" s="12">
        <v>31</v>
      </c>
      <c r="D37" s="8">
        <v>2.2799999999999998</v>
      </c>
      <c r="E37" s="12">
        <v>9</v>
      </c>
      <c r="F37" s="8">
        <v>1.21</v>
      </c>
      <c r="G37" s="12">
        <v>22</v>
      </c>
      <c r="H37" s="8">
        <v>3.61</v>
      </c>
      <c r="I37" s="12">
        <v>0</v>
      </c>
    </row>
    <row r="38" spans="2:9" ht="15" customHeight="1" x14ac:dyDescent="0.2">
      <c r="B38" t="s">
        <v>80</v>
      </c>
      <c r="C38" s="12">
        <v>30</v>
      </c>
      <c r="D38" s="8">
        <v>2.2000000000000002</v>
      </c>
      <c r="E38" s="12">
        <v>22</v>
      </c>
      <c r="F38" s="8">
        <v>2.95</v>
      </c>
      <c r="G38" s="12">
        <v>7</v>
      </c>
      <c r="H38" s="8">
        <v>1.1499999999999999</v>
      </c>
      <c r="I38" s="12">
        <v>1</v>
      </c>
    </row>
    <row r="39" spans="2:9" ht="15" customHeight="1" x14ac:dyDescent="0.2">
      <c r="B39" t="s">
        <v>94</v>
      </c>
      <c r="C39" s="12">
        <v>28</v>
      </c>
      <c r="D39" s="8">
        <v>2.06</v>
      </c>
      <c r="E39" s="12">
        <v>24</v>
      </c>
      <c r="F39" s="8">
        <v>3.22</v>
      </c>
      <c r="G39" s="12">
        <v>4</v>
      </c>
      <c r="H39" s="8">
        <v>0.66</v>
      </c>
      <c r="I39" s="12">
        <v>0</v>
      </c>
    </row>
    <row r="40" spans="2:9" ht="15" customHeight="1" x14ac:dyDescent="0.2">
      <c r="B40" t="s">
        <v>87</v>
      </c>
      <c r="C40" s="12">
        <v>26</v>
      </c>
      <c r="D40" s="8">
        <v>1.91</v>
      </c>
      <c r="E40" s="12">
        <v>22</v>
      </c>
      <c r="F40" s="8">
        <v>2.95</v>
      </c>
      <c r="G40" s="12">
        <v>4</v>
      </c>
      <c r="H40" s="8">
        <v>0.66</v>
      </c>
      <c r="I40" s="12">
        <v>0</v>
      </c>
    </row>
    <row r="41" spans="2:9" ht="15" customHeight="1" x14ac:dyDescent="0.2">
      <c r="B41" t="s">
        <v>93</v>
      </c>
      <c r="C41" s="12">
        <v>20</v>
      </c>
      <c r="D41" s="8">
        <v>1.47</v>
      </c>
      <c r="E41" s="12">
        <v>9</v>
      </c>
      <c r="F41" s="8">
        <v>1.21</v>
      </c>
      <c r="G41" s="12">
        <v>11</v>
      </c>
      <c r="H41" s="8">
        <v>1.81</v>
      </c>
      <c r="I41" s="12">
        <v>0</v>
      </c>
    </row>
    <row r="42" spans="2:9" ht="15" customHeight="1" x14ac:dyDescent="0.2">
      <c r="B42" t="s">
        <v>72</v>
      </c>
      <c r="C42" s="12">
        <v>20</v>
      </c>
      <c r="D42" s="8">
        <v>1.47</v>
      </c>
      <c r="E42" s="12">
        <v>2</v>
      </c>
      <c r="F42" s="8">
        <v>0.27</v>
      </c>
      <c r="G42" s="12">
        <v>18</v>
      </c>
      <c r="H42" s="8">
        <v>2.96</v>
      </c>
      <c r="I42" s="12">
        <v>0</v>
      </c>
    </row>
    <row r="43" spans="2:9" ht="15" customHeight="1" x14ac:dyDescent="0.2">
      <c r="B43" t="s">
        <v>92</v>
      </c>
      <c r="C43" s="12">
        <v>18</v>
      </c>
      <c r="D43" s="8">
        <v>1.32</v>
      </c>
      <c r="E43" s="12">
        <v>2</v>
      </c>
      <c r="F43" s="8">
        <v>0.27</v>
      </c>
      <c r="G43" s="12">
        <v>16</v>
      </c>
      <c r="H43" s="8">
        <v>2.63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70</v>
      </c>
      <c r="D47" s="8">
        <v>5.14</v>
      </c>
      <c r="E47" s="12">
        <v>65</v>
      </c>
      <c r="F47" s="8">
        <v>8.7200000000000006</v>
      </c>
      <c r="G47" s="12">
        <v>5</v>
      </c>
      <c r="H47" s="8">
        <v>0.82</v>
      </c>
      <c r="I47" s="12">
        <v>0</v>
      </c>
    </row>
    <row r="48" spans="2:9" ht="15" customHeight="1" x14ac:dyDescent="0.2">
      <c r="B48" t="s">
        <v>133</v>
      </c>
      <c r="C48" s="12">
        <v>53</v>
      </c>
      <c r="D48" s="8">
        <v>3.89</v>
      </c>
      <c r="E48" s="12">
        <v>51</v>
      </c>
      <c r="F48" s="8">
        <v>6.85</v>
      </c>
      <c r="G48" s="12">
        <v>2</v>
      </c>
      <c r="H48" s="8">
        <v>0.33</v>
      </c>
      <c r="I48" s="12">
        <v>0</v>
      </c>
    </row>
    <row r="49" spans="2:9" ht="15" customHeight="1" x14ac:dyDescent="0.2">
      <c r="B49" t="s">
        <v>124</v>
      </c>
      <c r="C49" s="12">
        <v>41</v>
      </c>
      <c r="D49" s="8">
        <v>3.01</v>
      </c>
      <c r="E49" s="12">
        <v>21</v>
      </c>
      <c r="F49" s="8">
        <v>2.82</v>
      </c>
      <c r="G49" s="12">
        <v>20</v>
      </c>
      <c r="H49" s="8">
        <v>3.28</v>
      </c>
      <c r="I49" s="12">
        <v>0</v>
      </c>
    </row>
    <row r="50" spans="2:9" ht="15" customHeight="1" x14ac:dyDescent="0.2">
      <c r="B50" t="s">
        <v>129</v>
      </c>
      <c r="C50" s="12">
        <v>41</v>
      </c>
      <c r="D50" s="8">
        <v>3.01</v>
      </c>
      <c r="E50" s="12">
        <v>28</v>
      </c>
      <c r="F50" s="8">
        <v>3.76</v>
      </c>
      <c r="G50" s="12">
        <v>13</v>
      </c>
      <c r="H50" s="8">
        <v>2.13</v>
      </c>
      <c r="I50" s="12">
        <v>0</v>
      </c>
    </row>
    <row r="51" spans="2:9" ht="15" customHeight="1" x14ac:dyDescent="0.2">
      <c r="B51" t="s">
        <v>120</v>
      </c>
      <c r="C51" s="12">
        <v>39</v>
      </c>
      <c r="D51" s="8">
        <v>2.87</v>
      </c>
      <c r="E51" s="12">
        <v>31</v>
      </c>
      <c r="F51" s="8">
        <v>4.16</v>
      </c>
      <c r="G51" s="12">
        <v>8</v>
      </c>
      <c r="H51" s="8">
        <v>1.31</v>
      </c>
      <c r="I51" s="12">
        <v>0</v>
      </c>
    </row>
    <row r="52" spans="2:9" ht="15" customHeight="1" x14ac:dyDescent="0.2">
      <c r="B52" t="s">
        <v>121</v>
      </c>
      <c r="C52" s="12">
        <v>33</v>
      </c>
      <c r="D52" s="8">
        <v>2.42</v>
      </c>
      <c r="E52" s="12">
        <v>11</v>
      </c>
      <c r="F52" s="8">
        <v>1.48</v>
      </c>
      <c r="G52" s="12">
        <v>22</v>
      </c>
      <c r="H52" s="8">
        <v>3.61</v>
      </c>
      <c r="I52" s="12">
        <v>0</v>
      </c>
    </row>
    <row r="53" spans="2:9" ht="15" customHeight="1" x14ac:dyDescent="0.2">
      <c r="B53" t="s">
        <v>131</v>
      </c>
      <c r="C53" s="12">
        <v>32</v>
      </c>
      <c r="D53" s="8">
        <v>2.35</v>
      </c>
      <c r="E53" s="12">
        <v>24</v>
      </c>
      <c r="F53" s="8">
        <v>3.22</v>
      </c>
      <c r="G53" s="12">
        <v>8</v>
      </c>
      <c r="H53" s="8">
        <v>1.31</v>
      </c>
      <c r="I53" s="12">
        <v>0</v>
      </c>
    </row>
    <row r="54" spans="2:9" ht="15" customHeight="1" x14ac:dyDescent="0.2">
      <c r="B54" t="s">
        <v>119</v>
      </c>
      <c r="C54" s="12">
        <v>31</v>
      </c>
      <c r="D54" s="8">
        <v>2.2799999999999998</v>
      </c>
      <c r="E54" s="12">
        <v>9</v>
      </c>
      <c r="F54" s="8">
        <v>1.21</v>
      </c>
      <c r="G54" s="12">
        <v>22</v>
      </c>
      <c r="H54" s="8">
        <v>3.61</v>
      </c>
      <c r="I54" s="12">
        <v>0</v>
      </c>
    </row>
    <row r="55" spans="2:9" ht="15" customHeight="1" x14ac:dyDescent="0.2">
      <c r="B55" t="s">
        <v>118</v>
      </c>
      <c r="C55" s="12">
        <v>29</v>
      </c>
      <c r="D55" s="8">
        <v>2.13</v>
      </c>
      <c r="E55" s="12">
        <v>9</v>
      </c>
      <c r="F55" s="8">
        <v>1.21</v>
      </c>
      <c r="G55" s="12">
        <v>20</v>
      </c>
      <c r="H55" s="8">
        <v>3.28</v>
      </c>
      <c r="I55" s="12">
        <v>0</v>
      </c>
    </row>
    <row r="56" spans="2:9" ht="15" customHeight="1" x14ac:dyDescent="0.2">
      <c r="B56" t="s">
        <v>127</v>
      </c>
      <c r="C56" s="12">
        <v>28</v>
      </c>
      <c r="D56" s="8">
        <v>2.06</v>
      </c>
      <c r="E56" s="12">
        <v>15</v>
      </c>
      <c r="F56" s="8">
        <v>2.0099999999999998</v>
      </c>
      <c r="G56" s="12">
        <v>13</v>
      </c>
      <c r="H56" s="8">
        <v>2.13</v>
      </c>
      <c r="I56" s="12">
        <v>0</v>
      </c>
    </row>
    <row r="57" spans="2:9" ht="15" customHeight="1" x14ac:dyDescent="0.2">
      <c r="B57" t="s">
        <v>137</v>
      </c>
      <c r="C57" s="12">
        <v>26</v>
      </c>
      <c r="D57" s="8">
        <v>1.91</v>
      </c>
      <c r="E57" s="12">
        <v>22</v>
      </c>
      <c r="F57" s="8">
        <v>2.95</v>
      </c>
      <c r="G57" s="12">
        <v>4</v>
      </c>
      <c r="H57" s="8">
        <v>0.66</v>
      </c>
      <c r="I57" s="12">
        <v>0</v>
      </c>
    </row>
    <row r="58" spans="2:9" ht="15" customHeight="1" x14ac:dyDescent="0.2">
      <c r="B58" t="s">
        <v>132</v>
      </c>
      <c r="C58" s="12">
        <v>25</v>
      </c>
      <c r="D58" s="8">
        <v>1.84</v>
      </c>
      <c r="E58" s="12">
        <v>23</v>
      </c>
      <c r="F58" s="8">
        <v>3.09</v>
      </c>
      <c r="G58" s="12">
        <v>2</v>
      </c>
      <c r="H58" s="8">
        <v>0.33</v>
      </c>
      <c r="I58" s="12">
        <v>0</v>
      </c>
    </row>
    <row r="59" spans="2:9" ht="15" customHeight="1" x14ac:dyDescent="0.2">
      <c r="B59" t="s">
        <v>126</v>
      </c>
      <c r="C59" s="12">
        <v>24</v>
      </c>
      <c r="D59" s="8">
        <v>1.76</v>
      </c>
      <c r="E59" s="12">
        <v>5</v>
      </c>
      <c r="F59" s="8">
        <v>0.67</v>
      </c>
      <c r="G59" s="12">
        <v>19</v>
      </c>
      <c r="H59" s="8">
        <v>3.12</v>
      </c>
      <c r="I59" s="12">
        <v>0</v>
      </c>
    </row>
    <row r="60" spans="2:9" ht="15" customHeight="1" x14ac:dyDescent="0.2">
      <c r="B60" t="s">
        <v>122</v>
      </c>
      <c r="C60" s="12">
        <v>21</v>
      </c>
      <c r="D60" s="8">
        <v>1.54</v>
      </c>
      <c r="E60" s="12">
        <v>6</v>
      </c>
      <c r="F60" s="8">
        <v>0.81</v>
      </c>
      <c r="G60" s="12">
        <v>15</v>
      </c>
      <c r="H60" s="8">
        <v>2.46</v>
      </c>
      <c r="I60" s="12">
        <v>0</v>
      </c>
    </row>
    <row r="61" spans="2:9" ht="15" customHeight="1" x14ac:dyDescent="0.2">
      <c r="B61" t="s">
        <v>136</v>
      </c>
      <c r="C61" s="12">
        <v>21</v>
      </c>
      <c r="D61" s="8">
        <v>1.54</v>
      </c>
      <c r="E61" s="12">
        <v>18</v>
      </c>
      <c r="F61" s="8">
        <v>2.42</v>
      </c>
      <c r="G61" s="12">
        <v>3</v>
      </c>
      <c r="H61" s="8">
        <v>0.49</v>
      </c>
      <c r="I61" s="12">
        <v>0</v>
      </c>
    </row>
    <row r="62" spans="2:9" ht="15" customHeight="1" x14ac:dyDescent="0.2">
      <c r="B62" t="s">
        <v>149</v>
      </c>
      <c r="C62" s="12">
        <v>20</v>
      </c>
      <c r="D62" s="8">
        <v>1.47</v>
      </c>
      <c r="E62" s="12">
        <v>19</v>
      </c>
      <c r="F62" s="8">
        <v>2.5499999999999998</v>
      </c>
      <c r="G62" s="12">
        <v>1</v>
      </c>
      <c r="H62" s="8">
        <v>0.16</v>
      </c>
      <c r="I62" s="12">
        <v>0</v>
      </c>
    </row>
    <row r="63" spans="2:9" ht="15" customHeight="1" x14ac:dyDescent="0.2">
      <c r="B63" t="s">
        <v>150</v>
      </c>
      <c r="C63" s="12">
        <v>20</v>
      </c>
      <c r="D63" s="8">
        <v>1.47</v>
      </c>
      <c r="E63" s="12">
        <v>6</v>
      </c>
      <c r="F63" s="8">
        <v>0.81</v>
      </c>
      <c r="G63" s="12">
        <v>14</v>
      </c>
      <c r="H63" s="8">
        <v>2.2999999999999998</v>
      </c>
      <c r="I63" s="12">
        <v>0</v>
      </c>
    </row>
    <row r="64" spans="2:9" ht="15" customHeight="1" x14ac:dyDescent="0.2">
      <c r="B64" t="s">
        <v>130</v>
      </c>
      <c r="C64" s="12">
        <v>20</v>
      </c>
      <c r="D64" s="8">
        <v>1.47</v>
      </c>
      <c r="E64" s="12">
        <v>7</v>
      </c>
      <c r="F64" s="8">
        <v>0.94</v>
      </c>
      <c r="G64" s="12">
        <v>13</v>
      </c>
      <c r="H64" s="8">
        <v>2.13</v>
      </c>
      <c r="I64" s="12">
        <v>0</v>
      </c>
    </row>
    <row r="65" spans="2:9" ht="15" customHeight="1" x14ac:dyDescent="0.2">
      <c r="B65" t="s">
        <v>123</v>
      </c>
      <c r="C65" s="12">
        <v>17</v>
      </c>
      <c r="D65" s="8">
        <v>1.25</v>
      </c>
      <c r="E65" s="12">
        <v>15</v>
      </c>
      <c r="F65" s="8">
        <v>2.0099999999999998</v>
      </c>
      <c r="G65" s="12">
        <v>2</v>
      </c>
      <c r="H65" s="8">
        <v>0.33</v>
      </c>
      <c r="I65" s="12">
        <v>0</v>
      </c>
    </row>
    <row r="66" spans="2:9" ht="15" customHeight="1" x14ac:dyDescent="0.2">
      <c r="B66" t="s">
        <v>141</v>
      </c>
      <c r="C66" s="12">
        <v>17</v>
      </c>
      <c r="D66" s="8">
        <v>1.25</v>
      </c>
      <c r="E66" s="12">
        <v>12</v>
      </c>
      <c r="F66" s="8">
        <v>1.61</v>
      </c>
      <c r="G66" s="12">
        <v>5</v>
      </c>
      <c r="H66" s="8">
        <v>0.82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4944-406E-450F-B4B8-66C7E8DF10FB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213</v>
      </c>
      <c r="D6" s="8">
        <v>15.33</v>
      </c>
      <c r="E6" s="12">
        <v>59</v>
      </c>
      <c r="F6" s="8">
        <v>8.23</v>
      </c>
      <c r="G6" s="12">
        <v>154</v>
      </c>
      <c r="H6" s="8">
        <v>23.23</v>
      </c>
      <c r="I6" s="12">
        <v>0</v>
      </c>
    </row>
    <row r="7" spans="2:9" ht="15" customHeight="1" x14ac:dyDescent="0.2">
      <c r="B7" t="s">
        <v>47</v>
      </c>
      <c r="C7" s="12">
        <v>82</v>
      </c>
      <c r="D7" s="8">
        <v>5.9</v>
      </c>
      <c r="E7" s="12">
        <v>21</v>
      </c>
      <c r="F7" s="8">
        <v>2.93</v>
      </c>
      <c r="G7" s="12">
        <v>61</v>
      </c>
      <c r="H7" s="8">
        <v>9.1999999999999993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49</v>
      </c>
      <c r="C9" s="12">
        <v>11</v>
      </c>
      <c r="D9" s="8">
        <v>0.79</v>
      </c>
      <c r="E9" s="12">
        <v>1</v>
      </c>
      <c r="F9" s="8">
        <v>0.14000000000000001</v>
      </c>
      <c r="G9" s="12">
        <v>10</v>
      </c>
      <c r="H9" s="8">
        <v>1.51</v>
      </c>
      <c r="I9" s="12">
        <v>0</v>
      </c>
    </row>
    <row r="10" spans="2:9" ht="15" customHeight="1" x14ac:dyDescent="0.2">
      <c r="B10" t="s">
        <v>50</v>
      </c>
      <c r="C10" s="12">
        <v>6</v>
      </c>
      <c r="D10" s="8">
        <v>0.43</v>
      </c>
      <c r="E10" s="12">
        <v>1</v>
      </c>
      <c r="F10" s="8">
        <v>0.14000000000000001</v>
      </c>
      <c r="G10" s="12">
        <v>5</v>
      </c>
      <c r="H10" s="8">
        <v>0.75</v>
      </c>
      <c r="I10" s="12">
        <v>0</v>
      </c>
    </row>
    <row r="11" spans="2:9" ht="15" customHeight="1" x14ac:dyDescent="0.2">
      <c r="B11" t="s">
        <v>51</v>
      </c>
      <c r="C11" s="12">
        <v>312</v>
      </c>
      <c r="D11" s="8">
        <v>22.46</v>
      </c>
      <c r="E11" s="12">
        <v>125</v>
      </c>
      <c r="F11" s="8">
        <v>17.43</v>
      </c>
      <c r="G11" s="12">
        <v>186</v>
      </c>
      <c r="H11" s="8">
        <v>28.05</v>
      </c>
      <c r="I11" s="12">
        <v>0</v>
      </c>
    </row>
    <row r="12" spans="2:9" ht="15" customHeight="1" x14ac:dyDescent="0.2">
      <c r="B12" t="s">
        <v>52</v>
      </c>
      <c r="C12" s="12">
        <v>4</v>
      </c>
      <c r="D12" s="8">
        <v>0.28999999999999998</v>
      </c>
      <c r="E12" s="12">
        <v>1</v>
      </c>
      <c r="F12" s="8">
        <v>0.14000000000000001</v>
      </c>
      <c r="G12" s="12">
        <v>3</v>
      </c>
      <c r="H12" s="8">
        <v>0.45</v>
      </c>
      <c r="I12" s="12">
        <v>0</v>
      </c>
    </row>
    <row r="13" spans="2:9" ht="15" customHeight="1" x14ac:dyDescent="0.2">
      <c r="B13" t="s">
        <v>53</v>
      </c>
      <c r="C13" s="12">
        <v>114</v>
      </c>
      <c r="D13" s="8">
        <v>8.2100000000000009</v>
      </c>
      <c r="E13" s="12">
        <v>57</v>
      </c>
      <c r="F13" s="8">
        <v>7.95</v>
      </c>
      <c r="G13" s="12">
        <v>57</v>
      </c>
      <c r="H13" s="8">
        <v>8.6</v>
      </c>
      <c r="I13" s="12">
        <v>0</v>
      </c>
    </row>
    <row r="14" spans="2:9" ht="15" customHeight="1" x14ac:dyDescent="0.2">
      <c r="B14" t="s">
        <v>54</v>
      </c>
      <c r="C14" s="12">
        <v>75</v>
      </c>
      <c r="D14" s="8">
        <v>5.4</v>
      </c>
      <c r="E14" s="12">
        <v>31</v>
      </c>
      <c r="F14" s="8">
        <v>4.32</v>
      </c>
      <c r="G14" s="12">
        <v>43</v>
      </c>
      <c r="H14" s="8">
        <v>6.49</v>
      </c>
      <c r="I14" s="12">
        <v>0</v>
      </c>
    </row>
    <row r="15" spans="2:9" ht="15" customHeight="1" x14ac:dyDescent="0.2">
      <c r="B15" t="s">
        <v>55</v>
      </c>
      <c r="C15" s="12">
        <v>157</v>
      </c>
      <c r="D15" s="8">
        <v>11.3</v>
      </c>
      <c r="E15" s="12">
        <v>132</v>
      </c>
      <c r="F15" s="8">
        <v>18.41</v>
      </c>
      <c r="G15" s="12">
        <v>24</v>
      </c>
      <c r="H15" s="8">
        <v>3.62</v>
      </c>
      <c r="I15" s="12">
        <v>0</v>
      </c>
    </row>
    <row r="16" spans="2:9" ht="15" customHeight="1" x14ac:dyDescent="0.2">
      <c r="B16" t="s">
        <v>56</v>
      </c>
      <c r="C16" s="12">
        <v>204</v>
      </c>
      <c r="D16" s="8">
        <v>14.69</v>
      </c>
      <c r="E16" s="12">
        <v>157</v>
      </c>
      <c r="F16" s="8">
        <v>21.9</v>
      </c>
      <c r="G16" s="12">
        <v>47</v>
      </c>
      <c r="H16" s="8">
        <v>7.09</v>
      </c>
      <c r="I16" s="12">
        <v>0</v>
      </c>
    </row>
    <row r="17" spans="2:9" ht="15" customHeight="1" x14ac:dyDescent="0.2">
      <c r="B17" t="s">
        <v>57</v>
      </c>
      <c r="C17" s="12">
        <v>59</v>
      </c>
      <c r="D17" s="8">
        <v>4.25</v>
      </c>
      <c r="E17" s="12">
        <v>41</v>
      </c>
      <c r="F17" s="8">
        <v>5.72</v>
      </c>
      <c r="G17" s="12">
        <v>17</v>
      </c>
      <c r="H17" s="8">
        <v>2.56</v>
      </c>
      <c r="I17" s="12">
        <v>0</v>
      </c>
    </row>
    <row r="18" spans="2:9" ht="15" customHeight="1" x14ac:dyDescent="0.2">
      <c r="B18" t="s">
        <v>58</v>
      </c>
      <c r="C18" s="12">
        <v>80</v>
      </c>
      <c r="D18" s="8">
        <v>5.76</v>
      </c>
      <c r="E18" s="12">
        <v>61</v>
      </c>
      <c r="F18" s="8">
        <v>8.51</v>
      </c>
      <c r="G18" s="12">
        <v>17</v>
      </c>
      <c r="H18" s="8">
        <v>2.56</v>
      </c>
      <c r="I18" s="12">
        <v>0</v>
      </c>
    </row>
    <row r="19" spans="2:9" ht="15" customHeight="1" x14ac:dyDescent="0.2">
      <c r="B19" t="s">
        <v>59</v>
      </c>
      <c r="C19" s="12">
        <v>70</v>
      </c>
      <c r="D19" s="8">
        <v>5.04</v>
      </c>
      <c r="E19" s="12">
        <v>30</v>
      </c>
      <c r="F19" s="8">
        <v>4.18</v>
      </c>
      <c r="G19" s="12">
        <v>37</v>
      </c>
      <c r="H19" s="8">
        <v>5.58</v>
      </c>
      <c r="I19" s="12">
        <v>1</v>
      </c>
    </row>
    <row r="20" spans="2:9" ht="15" customHeight="1" x14ac:dyDescent="0.2">
      <c r="B20" s="9" t="s">
        <v>195</v>
      </c>
      <c r="C20" s="12">
        <f>SUM(LTBL_08208[総数／事業所数])</f>
        <v>1389</v>
      </c>
      <c r="E20" s="12">
        <f>SUBTOTAL(109,LTBL_08208[個人／事業所数])</f>
        <v>717</v>
      </c>
      <c r="G20" s="12">
        <f>SUBTOTAL(109,LTBL_08208[法人／事業所数])</f>
        <v>663</v>
      </c>
      <c r="I20" s="12">
        <f>SUBTOTAL(109,LTBL_08208[法人以外の団体／事業所数])</f>
        <v>1</v>
      </c>
    </row>
    <row r="21" spans="2:9" ht="15" customHeight="1" x14ac:dyDescent="0.2">
      <c r="E21" s="11">
        <f>LTBL_08208[[#Totals],[個人／事業所数]]/LTBL_08208[[#Totals],[総数／事業所数]]</f>
        <v>0.51619870410367175</v>
      </c>
      <c r="G21" s="11">
        <f>LTBL_08208[[#Totals],[法人／事業所数]]/LTBL_08208[[#Totals],[総数／事業所数]]</f>
        <v>0.47732181425485959</v>
      </c>
      <c r="I21" s="11">
        <f>LTBL_08208[[#Totals],[法人以外の団体／事業所数]]/LTBL_08208[[#Totals],[総数／事業所数]]</f>
        <v>7.1994240460763136E-4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163</v>
      </c>
      <c r="D24" s="8">
        <v>11.74</v>
      </c>
      <c r="E24" s="12">
        <v>138</v>
      </c>
      <c r="F24" s="8">
        <v>19.25</v>
      </c>
      <c r="G24" s="12">
        <v>25</v>
      </c>
      <c r="H24" s="8">
        <v>3.77</v>
      </c>
      <c r="I24" s="12">
        <v>0</v>
      </c>
    </row>
    <row r="25" spans="2:9" ht="15" customHeight="1" x14ac:dyDescent="0.2">
      <c r="B25" t="s">
        <v>82</v>
      </c>
      <c r="C25" s="12">
        <v>149</v>
      </c>
      <c r="D25" s="8">
        <v>10.73</v>
      </c>
      <c r="E25" s="12">
        <v>130</v>
      </c>
      <c r="F25" s="8">
        <v>18.13</v>
      </c>
      <c r="G25" s="12">
        <v>19</v>
      </c>
      <c r="H25" s="8">
        <v>2.87</v>
      </c>
      <c r="I25" s="12">
        <v>0</v>
      </c>
    </row>
    <row r="26" spans="2:9" ht="15" customHeight="1" x14ac:dyDescent="0.2">
      <c r="B26" t="s">
        <v>77</v>
      </c>
      <c r="C26" s="12">
        <v>103</v>
      </c>
      <c r="D26" s="8">
        <v>7.42</v>
      </c>
      <c r="E26" s="12">
        <v>44</v>
      </c>
      <c r="F26" s="8">
        <v>6.14</v>
      </c>
      <c r="G26" s="12">
        <v>59</v>
      </c>
      <c r="H26" s="8">
        <v>8.9</v>
      </c>
      <c r="I26" s="12">
        <v>0</v>
      </c>
    </row>
    <row r="27" spans="2:9" ht="15" customHeight="1" x14ac:dyDescent="0.2">
      <c r="B27" t="s">
        <v>68</v>
      </c>
      <c r="C27" s="12">
        <v>93</v>
      </c>
      <c r="D27" s="8">
        <v>6.7</v>
      </c>
      <c r="E27" s="12">
        <v>25</v>
      </c>
      <c r="F27" s="8">
        <v>3.49</v>
      </c>
      <c r="G27" s="12">
        <v>68</v>
      </c>
      <c r="H27" s="8">
        <v>10.26</v>
      </c>
      <c r="I27" s="12">
        <v>0</v>
      </c>
    </row>
    <row r="28" spans="2:9" ht="15" customHeight="1" x14ac:dyDescent="0.2">
      <c r="B28" t="s">
        <v>79</v>
      </c>
      <c r="C28" s="12">
        <v>91</v>
      </c>
      <c r="D28" s="8">
        <v>6.55</v>
      </c>
      <c r="E28" s="12">
        <v>55</v>
      </c>
      <c r="F28" s="8">
        <v>7.67</v>
      </c>
      <c r="G28" s="12">
        <v>36</v>
      </c>
      <c r="H28" s="8">
        <v>5.43</v>
      </c>
      <c r="I28" s="12">
        <v>0</v>
      </c>
    </row>
    <row r="29" spans="2:9" ht="15" customHeight="1" x14ac:dyDescent="0.2">
      <c r="B29" t="s">
        <v>69</v>
      </c>
      <c r="C29" s="12">
        <v>70</v>
      </c>
      <c r="D29" s="8">
        <v>5.04</v>
      </c>
      <c r="E29" s="12">
        <v>28</v>
      </c>
      <c r="F29" s="8">
        <v>3.91</v>
      </c>
      <c r="G29" s="12">
        <v>42</v>
      </c>
      <c r="H29" s="8">
        <v>6.33</v>
      </c>
      <c r="I29" s="12">
        <v>0</v>
      </c>
    </row>
    <row r="30" spans="2:9" ht="15" customHeight="1" x14ac:dyDescent="0.2">
      <c r="B30" t="s">
        <v>86</v>
      </c>
      <c r="C30" s="12">
        <v>67</v>
      </c>
      <c r="D30" s="8">
        <v>4.82</v>
      </c>
      <c r="E30" s="12">
        <v>61</v>
      </c>
      <c r="F30" s="8">
        <v>8.51</v>
      </c>
      <c r="G30" s="12">
        <v>6</v>
      </c>
      <c r="H30" s="8">
        <v>0.9</v>
      </c>
      <c r="I30" s="12">
        <v>0</v>
      </c>
    </row>
    <row r="31" spans="2:9" ht="15" customHeight="1" x14ac:dyDescent="0.2">
      <c r="B31" t="s">
        <v>85</v>
      </c>
      <c r="C31" s="12">
        <v>59</v>
      </c>
      <c r="D31" s="8">
        <v>4.25</v>
      </c>
      <c r="E31" s="12">
        <v>41</v>
      </c>
      <c r="F31" s="8">
        <v>5.72</v>
      </c>
      <c r="G31" s="12">
        <v>17</v>
      </c>
      <c r="H31" s="8">
        <v>2.56</v>
      </c>
      <c r="I31" s="12">
        <v>0</v>
      </c>
    </row>
    <row r="32" spans="2:9" ht="15" customHeight="1" x14ac:dyDescent="0.2">
      <c r="B32" t="s">
        <v>75</v>
      </c>
      <c r="C32" s="12">
        <v>57</v>
      </c>
      <c r="D32" s="8">
        <v>4.0999999999999996</v>
      </c>
      <c r="E32" s="12">
        <v>37</v>
      </c>
      <c r="F32" s="8">
        <v>5.16</v>
      </c>
      <c r="G32" s="12">
        <v>19</v>
      </c>
      <c r="H32" s="8">
        <v>2.87</v>
      </c>
      <c r="I32" s="12">
        <v>0</v>
      </c>
    </row>
    <row r="33" spans="2:9" ht="15" customHeight="1" x14ac:dyDescent="0.2">
      <c r="B33" t="s">
        <v>70</v>
      </c>
      <c r="C33" s="12">
        <v>50</v>
      </c>
      <c r="D33" s="8">
        <v>3.6</v>
      </c>
      <c r="E33" s="12">
        <v>6</v>
      </c>
      <c r="F33" s="8">
        <v>0.84</v>
      </c>
      <c r="G33" s="12">
        <v>44</v>
      </c>
      <c r="H33" s="8">
        <v>6.64</v>
      </c>
      <c r="I33" s="12">
        <v>0</v>
      </c>
    </row>
    <row r="34" spans="2:9" ht="15" customHeight="1" x14ac:dyDescent="0.2">
      <c r="B34" t="s">
        <v>80</v>
      </c>
      <c r="C34" s="12">
        <v>44</v>
      </c>
      <c r="D34" s="8">
        <v>3.17</v>
      </c>
      <c r="E34" s="12">
        <v>22</v>
      </c>
      <c r="F34" s="8">
        <v>3.07</v>
      </c>
      <c r="G34" s="12">
        <v>22</v>
      </c>
      <c r="H34" s="8">
        <v>3.32</v>
      </c>
      <c r="I34" s="12">
        <v>0</v>
      </c>
    </row>
    <row r="35" spans="2:9" ht="15" customHeight="1" x14ac:dyDescent="0.2">
      <c r="B35" t="s">
        <v>76</v>
      </c>
      <c r="C35" s="12">
        <v>42</v>
      </c>
      <c r="D35" s="8">
        <v>3.02</v>
      </c>
      <c r="E35" s="12">
        <v>20</v>
      </c>
      <c r="F35" s="8">
        <v>2.79</v>
      </c>
      <c r="G35" s="12">
        <v>22</v>
      </c>
      <c r="H35" s="8">
        <v>3.32</v>
      </c>
      <c r="I35" s="12">
        <v>0</v>
      </c>
    </row>
    <row r="36" spans="2:9" ht="15" customHeight="1" x14ac:dyDescent="0.2">
      <c r="B36" t="s">
        <v>87</v>
      </c>
      <c r="C36" s="12">
        <v>35</v>
      </c>
      <c r="D36" s="8">
        <v>2.52</v>
      </c>
      <c r="E36" s="12">
        <v>28</v>
      </c>
      <c r="F36" s="8">
        <v>3.91</v>
      </c>
      <c r="G36" s="12">
        <v>7</v>
      </c>
      <c r="H36" s="8">
        <v>1.06</v>
      </c>
      <c r="I36" s="12">
        <v>0</v>
      </c>
    </row>
    <row r="37" spans="2:9" ht="15" customHeight="1" x14ac:dyDescent="0.2">
      <c r="B37" t="s">
        <v>81</v>
      </c>
      <c r="C37" s="12">
        <v>29</v>
      </c>
      <c r="D37" s="8">
        <v>2.09</v>
      </c>
      <c r="E37" s="12">
        <v>9</v>
      </c>
      <c r="F37" s="8">
        <v>1.26</v>
      </c>
      <c r="G37" s="12">
        <v>19</v>
      </c>
      <c r="H37" s="8">
        <v>2.87</v>
      </c>
      <c r="I37" s="12">
        <v>0</v>
      </c>
    </row>
    <row r="38" spans="2:9" ht="15" customHeight="1" x14ac:dyDescent="0.2">
      <c r="B38" t="s">
        <v>74</v>
      </c>
      <c r="C38" s="12">
        <v>26</v>
      </c>
      <c r="D38" s="8">
        <v>1.87</v>
      </c>
      <c r="E38" s="12">
        <v>10</v>
      </c>
      <c r="F38" s="8">
        <v>1.39</v>
      </c>
      <c r="G38" s="12">
        <v>16</v>
      </c>
      <c r="H38" s="8">
        <v>2.41</v>
      </c>
      <c r="I38" s="12">
        <v>0</v>
      </c>
    </row>
    <row r="39" spans="2:9" ht="15" customHeight="1" x14ac:dyDescent="0.2">
      <c r="B39" t="s">
        <v>84</v>
      </c>
      <c r="C39" s="12">
        <v>25</v>
      </c>
      <c r="D39" s="8">
        <v>1.8</v>
      </c>
      <c r="E39" s="12">
        <v>11</v>
      </c>
      <c r="F39" s="8">
        <v>1.53</v>
      </c>
      <c r="G39" s="12">
        <v>14</v>
      </c>
      <c r="H39" s="8">
        <v>2.11</v>
      </c>
      <c r="I39" s="12">
        <v>0</v>
      </c>
    </row>
    <row r="40" spans="2:9" ht="15" customHeight="1" x14ac:dyDescent="0.2">
      <c r="B40" t="s">
        <v>72</v>
      </c>
      <c r="C40" s="12">
        <v>22</v>
      </c>
      <c r="D40" s="8">
        <v>1.58</v>
      </c>
      <c r="E40" s="12">
        <v>3</v>
      </c>
      <c r="F40" s="8">
        <v>0.42</v>
      </c>
      <c r="G40" s="12">
        <v>19</v>
      </c>
      <c r="H40" s="8">
        <v>2.87</v>
      </c>
      <c r="I40" s="12">
        <v>0</v>
      </c>
    </row>
    <row r="41" spans="2:9" ht="15" customHeight="1" x14ac:dyDescent="0.2">
      <c r="B41" t="s">
        <v>78</v>
      </c>
      <c r="C41" s="12">
        <v>18</v>
      </c>
      <c r="D41" s="8">
        <v>1.3</v>
      </c>
      <c r="E41" s="12">
        <v>2</v>
      </c>
      <c r="F41" s="8">
        <v>0.28000000000000003</v>
      </c>
      <c r="G41" s="12">
        <v>16</v>
      </c>
      <c r="H41" s="8">
        <v>2.41</v>
      </c>
      <c r="I41" s="12">
        <v>0</v>
      </c>
    </row>
    <row r="42" spans="2:9" ht="15" customHeight="1" x14ac:dyDescent="0.2">
      <c r="B42" t="s">
        <v>89</v>
      </c>
      <c r="C42" s="12">
        <v>18</v>
      </c>
      <c r="D42" s="8">
        <v>1.3</v>
      </c>
      <c r="E42" s="12">
        <v>0</v>
      </c>
      <c r="F42" s="8">
        <v>0</v>
      </c>
      <c r="G42" s="12">
        <v>17</v>
      </c>
      <c r="H42" s="8">
        <v>2.56</v>
      </c>
      <c r="I42" s="12">
        <v>1</v>
      </c>
    </row>
    <row r="43" spans="2:9" ht="15" customHeight="1" x14ac:dyDescent="0.2">
      <c r="B43" t="s">
        <v>88</v>
      </c>
      <c r="C43" s="12">
        <v>17</v>
      </c>
      <c r="D43" s="8">
        <v>1.22</v>
      </c>
      <c r="E43" s="12">
        <v>3</v>
      </c>
      <c r="F43" s="8">
        <v>0.42</v>
      </c>
      <c r="G43" s="12">
        <v>14</v>
      </c>
      <c r="H43" s="8">
        <v>2.11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79</v>
      </c>
      <c r="D47" s="8">
        <v>5.69</v>
      </c>
      <c r="E47" s="12">
        <v>71</v>
      </c>
      <c r="F47" s="8">
        <v>9.9</v>
      </c>
      <c r="G47" s="12">
        <v>8</v>
      </c>
      <c r="H47" s="8">
        <v>1.21</v>
      </c>
      <c r="I47" s="12">
        <v>0</v>
      </c>
    </row>
    <row r="48" spans="2:9" ht="15" customHeight="1" x14ac:dyDescent="0.2">
      <c r="B48" t="s">
        <v>129</v>
      </c>
      <c r="C48" s="12">
        <v>60</v>
      </c>
      <c r="D48" s="8">
        <v>4.32</v>
      </c>
      <c r="E48" s="12">
        <v>44</v>
      </c>
      <c r="F48" s="8">
        <v>6.14</v>
      </c>
      <c r="G48" s="12">
        <v>16</v>
      </c>
      <c r="H48" s="8">
        <v>2.41</v>
      </c>
      <c r="I48" s="12">
        <v>0</v>
      </c>
    </row>
    <row r="49" spans="2:9" ht="15" customHeight="1" x14ac:dyDescent="0.2">
      <c r="B49" t="s">
        <v>133</v>
      </c>
      <c r="C49" s="12">
        <v>53</v>
      </c>
      <c r="D49" s="8">
        <v>3.82</v>
      </c>
      <c r="E49" s="12">
        <v>48</v>
      </c>
      <c r="F49" s="8">
        <v>6.69</v>
      </c>
      <c r="G49" s="12">
        <v>5</v>
      </c>
      <c r="H49" s="8">
        <v>0.75</v>
      </c>
      <c r="I49" s="12">
        <v>0</v>
      </c>
    </row>
    <row r="50" spans="2:9" ht="15" customHeight="1" x14ac:dyDescent="0.2">
      <c r="B50" t="s">
        <v>132</v>
      </c>
      <c r="C50" s="12">
        <v>51</v>
      </c>
      <c r="D50" s="8">
        <v>3.67</v>
      </c>
      <c r="E50" s="12">
        <v>49</v>
      </c>
      <c r="F50" s="8">
        <v>6.83</v>
      </c>
      <c r="G50" s="12">
        <v>2</v>
      </c>
      <c r="H50" s="8">
        <v>0.3</v>
      </c>
      <c r="I50" s="12">
        <v>0</v>
      </c>
    </row>
    <row r="51" spans="2:9" ht="15" customHeight="1" x14ac:dyDescent="0.2">
      <c r="B51" t="s">
        <v>131</v>
      </c>
      <c r="C51" s="12">
        <v>50</v>
      </c>
      <c r="D51" s="8">
        <v>3.6</v>
      </c>
      <c r="E51" s="12">
        <v>44</v>
      </c>
      <c r="F51" s="8">
        <v>6.14</v>
      </c>
      <c r="G51" s="12">
        <v>6</v>
      </c>
      <c r="H51" s="8">
        <v>0.9</v>
      </c>
      <c r="I51" s="12">
        <v>0</v>
      </c>
    </row>
    <row r="52" spans="2:9" ht="15" customHeight="1" x14ac:dyDescent="0.2">
      <c r="B52" t="s">
        <v>136</v>
      </c>
      <c r="C52" s="12">
        <v>45</v>
      </c>
      <c r="D52" s="8">
        <v>3.24</v>
      </c>
      <c r="E52" s="12">
        <v>43</v>
      </c>
      <c r="F52" s="8">
        <v>6</v>
      </c>
      <c r="G52" s="12">
        <v>2</v>
      </c>
      <c r="H52" s="8">
        <v>0.3</v>
      </c>
      <c r="I52" s="12">
        <v>0</v>
      </c>
    </row>
    <row r="53" spans="2:9" ht="15" customHeight="1" x14ac:dyDescent="0.2">
      <c r="B53" t="s">
        <v>135</v>
      </c>
      <c r="C53" s="12">
        <v>39</v>
      </c>
      <c r="D53" s="8">
        <v>2.81</v>
      </c>
      <c r="E53" s="12">
        <v>30</v>
      </c>
      <c r="F53" s="8">
        <v>4.18</v>
      </c>
      <c r="G53" s="12">
        <v>9</v>
      </c>
      <c r="H53" s="8">
        <v>1.36</v>
      </c>
      <c r="I53" s="12">
        <v>0</v>
      </c>
    </row>
    <row r="54" spans="2:9" ht="15" customHeight="1" x14ac:dyDescent="0.2">
      <c r="B54" t="s">
        <v>118</v>
      </c>
      <c r="C54" s="12">
        <v>36</v>
      </c>
      <c r="D54" s="8">
        <v>2.59</v>
      </c>
      <c r="E54" s="12">
        <v>4</v>
      </c>
      <c r="F54" s="8">
        <v>0.56000000000000005</v>
      </c>
      <c r="G54" s="12">
        <v>32</v>
      </c>
      <c r="H54" s="8">
        <v>4.83</v>
      </c>
      <c r="I54" s="12">
        <v>0</v>
      </c>
    </row>
    <row r="55" spans="2:9" ht="15" customHeight="1" x14ac:dyDescent="0.2">
      <c r="B55" t="s">
        <v>137</v>
      </c>
      <c r="C55" s="12">
        <v>35</v>
      </c>
      <c r="D55" s="8">
        <v>2.52</v>
      </c>
      <c r="E55" s="12">
        <v>28</v>
      </c>
      <c r="F55" s="8">
        <v>3.91</v>
      </c>
      <c r="G55" s="12">
        <v>7</v>
      </c>
      <c r="H55" s="8">
        <v>1.06</v>
      </c>
      <c r="I55" s="12">
        <v>0</v>
      </c>
    </row>
    <row r="56" spans="2:9" ht="15" customHeight="1" x14ac:dyDescent="0.2">
      <c r="B56" t="s">
        <v>124</v>
      </c>
      <c r="C56" s="12">
        <v>28</v>
      </c>
      <c r="D56" s="8">
        <v>2.02</v>
      </c>
      <c r="E56" s="12">
        <v>13</v>
      </c>
      <c r="F56" s="8">
        <v>1.81</v>
      </c>
      <c r="G56" s="12">
        <v>15</v>
      </c>
      <c r="H56" s="8">
        <v>2.2599999999999998</v>
      </c>
      <c r="I56" s="12">
        <v>0</v>
      </c>
    </row>
    <row r="57" spans="2:9" ht="15" customHeight="1" x14ac:dyDescent="0.2">
      <c r="B57" t="s">
        <v>127</v>
      </c>
      <c r="C57" s="12">
        <v>25</v>
      </c>
      <c r="D57" s="8">
        <v>1.8</v>
      </c>
      <c r="E57" s="12">
        <v>17</v>
      </c>
      <c r="F57" s="8">
        <v>2.37</v>
      </c>
      <c r="G57" s="12">
        <v>8</v>
      </c>
      <c r="H57" s="8">
        <v>1.21</v>
      </c>
      <c r="I57" s="12">
        <v>0</v>
      </c>
    </row>
    <row r="58" spans="2:9" ht="15" customHeight="1" x14ac:dyDescent="0.2">
      <c r="B58" t="s">
        <v>122</v>
      </c>
      <c r="C58" s="12">
        <v>24</v>
      </c>
      <c r="D58" s="8">
        <v>1.73</v>
      </c>
      <c r="E58" s="12">
        <v>1</v>
      </c>
      <c r="F58" s="8">
        <v>0.14000000000000001</v>
      </c>
      <c r="G58" s="12">
        <v>23</v>
      </c>
      <c r="H58" s="8">
        <v>3.47</v>
      </c>
      <c r="I58" s="12">
        <v>0</v>
      </c>
    </row>
    <row r="59" spans="2:9" ht="15" customHeight="1" x14ac:dyDescent="0.2">
      <c r="B59" t="s">
        <v>120</v>
      </c>
      <c r="C59" s="12">
        <v>21</v>
      </c>
      <c r="D59" s="8">
        <v>1.51</v>
      </c>
      <c r="E59" s="12">
        <v>11</v>
      </c>
      <c r="F59" s="8">
        <v>1.53</v>
      </c>
      <c r="G59" s="12">
        <v>10</v>
      </c>
      <c r="H59" s="8">
        <v>1.51</v>
      </c>
      <c r="I59" s="12">
        <v>0</v>
      </c>
    </row>
    <row r="60" spans="2:9" ht="15" customHeight="1" x14ac:dyDescent="0.2">
      <c r="B60" t="s">
        <v>143</v>
      </c>
      <c r="C60" s="12">
        <v>21</v>
      </c>
      <c r="D60" s="8">
        <v>1.51</v>
      </c>
      <c r="E60" s="12">
        <v>18</v>
      </c>
      <c r="F60" s="8">
        <v>2.5099999999999998</v>
      </c>
      <c r="G60" s="12">
        <v>3</v>
      </c>
      <c r="H60" s="8">
        <v>0.45</v>
      </c>
      <c r="I60" s="12">
        <v>0</v>
      </c>
    </row>
    <row r="61" spans="2:9" ht="15" customHeight="1" x14ac:dyDescent="0.2">
      <c r="B61" t="s">
        <v>121</v>
      </c>
      <c r="C61" s="12">
        <v>20</v>
      </c>
      <c r="D61" s="8">
        <v>1.44</v>
      </c>
      <c r="E61" s="12">
        <v>5</v>
      </c>
      <c r="F61" s="8">
        <v>0.7</v>
      </c>
      <c r="G61" s="12">
        <v>15</v>
      </c>
      <c r="H61" s="8">
        <v>2.2599999999999998</v>
      </c>
      <c r="I61" s="12">
        <v>0</v>
      </c>
    </row>
    <row r="62" spans="2:9" ht="15" customHeight="1" x14ac:dyDescent="0.2">
      <c r="B62" t="s">
        <v>147</v>
      </c>
      <c r="C62" s="12">
        <v>20</v>
      </c>
      <c r="D62" s="8">
        <v>1.44</v>
      </c>
      <c r="E62" s="12">
        <v>14</v>
      </c>
      <c r="F62" s="8">
        <v>1.95</v>
      </c>
      <c r="G62" s="12">
        <v>6</v>
      </c>
      <c r="H62" s="8">
        <v>0.9</v>
      </c>
      <c r="I62" s="12">
        <v>0</v>
      </c>
    </row>
    <row r="63" spans="2:9" ht="15" customHeight="1" x14ac:dyDescent="0.2">
      <c r="B63" t="s">
        <v>151</v>
      </c>
      <c r="C63" s="12">
        <v>19</v>
      </c>
      <c r="D63" s="8">
        <v>1.37</v>
      </c>
      <c r="E63" s="12">
        <v>5</v>
      </c>
      <c r="F63" s="8">
        <v>0.7</v>
      </c>
      <c r="G63" s="12">
        <v>14</v>
      </c>
      <c r="H63" s="8">
        <v>2.11</v>
      </c>
      <c r="I63" s="12">
        <v>0</v>
      </c>
    </row>
    <row r="64" spans="2:9" ht="15" customHeight="1" x14ac:dyDescent="0.2">
      <c r="B64" t="s">
        <v>125</v>
      </c>
      <c r="C64" s="12">
        <v>19</v>
      </c>
      <c r="D64" s="8">
        <v>1.37</v>
      </c>
      <c r="E64" s="12">
        <v>0</v>
      </c>
      <c r="F64" s="8">
        <v>0</v>
      </c>
      <c r="G64" s="12">
        <v>19</v>
      </c>
      <c r="H64" s="8">
        <v>2.87</v>
      </c>
      <c r="I64" s="12">
        <v>0</v>
      </c>
    </row>
    <row r="65" spans="2:9" ht="15" customHeight="1" x14ac:dyDescent="0.2">
      <c r="B65" t="s">
        <v>130</v>
      </c>
      <c r="C65" s="12">
        <v>18</v>
      </c>
      <c r="D65" s="8">
        <v>1.3</v>
      </c>
      <c r="E65" s="12">
        <v>3</v>
      </c>
      <c r="F65" s="8">
        <v>0.42</v>
      </c>
      <c r="G65" s="12">
        <v>14</v>
      </c>
      <c r="H65" s="8">
        <v>2.11</v>
      </c>
      <c r="I65" s="12">
        <v>0</v>
      </c>
    </row>
    <row r="66" spans="2:9" ht="15" customHeight="1" x14ac:dyDescent="0.2">
      <c r="B66" t="s">
        <v>119</v>
      </c>
      <c r="C66" s="12">
        <v>17</v>
      </c>
      <c r="D66" s="8">
        <v>1.22</v>
      </c>
      <c r="E66" s="12">
        <v>5</v>
      </c>
      <c r="F66" s="8">
        <v>0.7</v>
      </c>
      <c r="G66" s="12">
        <v>12</v>
      </c>
      <c r="H66" s="8">
        <v>1.81</v>
      </c>
      <c r="I66" s="12">
        <v>0</v>
      </c>
    </row>
    <row r="67" spans="2:9" ht="15" customHeight="1" x14ac:dyDescent="0.2">
      <c r="B67" t="s">
        <v>152</v>
      </c>
      <c r="C67" s="12">
        <v>17</v>
      </c>
      <c r="D67" s="8">
        <v>1.22</v>
      </c>
      <c r="E67" s="12">
        <v>13</v>
      </c>
      <c r="F67" s="8">
        <v>1.81</v>
      </c>
      <c r="G67" s="12">
        <v>4</v>
      </c>
      <c r="H67" s="8">
        <v>0.6</v>
      </c>
      <c r="I67" s="12">
        <v>0</v>
      </c>
    </row>
    <row r="68" spans="2:9" ht="15" customHeight="1" x14ac:dyDescent="0.2">
      <c r="B68" t="s">
        <v>139</v>
      </c>
      <c r="C68" s="12">
        <v>17</v>
      </c>
      <c r="D68" s="8">
        <v>1.22</v>
      </c>
      <c r="E68" s="12">
        <v>12</v>
      </c>
      <c r="F68" s="8">
        <v>1.67</v>
      </c>
      <c r="G68" s="12">
        <v>5</v>
      </c>
      <c r="H68" s="8">
        <v>0.75</v>
      </c>
      <c r="I68" s="12">
        <v>0</v>
      </c>
    </row>
    <row r="69" spans="2:9" ht="15" customHeight="1" x14ac:dyDescent="0.2">
      <c r="B69" t="s">
        <v>141</v>
      </c>
      <c r="C69" s="12">
        <v>17</v>
      </c>
      <c r="D69" s="8">
        <v>1.22</v>
      </c>
      <c r="E69" s="12">
        <v>11</v>
      </c>
      <c r="F69" s="8">
        <v>1.53</v>
      </c>
      <c r="G69" s="12">
        <v>6</v>
      </c>
      <c r="H69" s="8">
        <v>0.9</v>
      </c>
      <c r="I69" s="12">
        <v>0</v>
      </c>
    </row>
    <row r="71" spans="2:9" ht="15" customHeight="1" x14ac:dyDescent="0.2">
      <c r="B71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A24C-BAF9-493E-9B86-F1E3994AA49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254</v>
      </c>
      <c r="D6" s="8">
        <v>20.52</v>
      </c>
      <c r="E6" s="12">
        <v>108</v>
      </c>
      <c r="F6" s="8">
        <v>16.14</v>
      </c>
      <c r="G6" s="12">
        <v>146</v>
      </c>
      <c r="H6" s="8">
        <v>26.45</v>
      </c>
      <c r="I6" s="12">
        <v>0</v>
      </c>
    </row>
    <row r="7" spans="2:9" ht="15" customHeight="1" x14ac:dyDescent="0.2">
      <c r="B7" t="s">
        <v>47</v>
      </c>
      <c r="C7" s="12">
        <v>135</v>
      </c>
      <c r="D7" s="8">
        <v>10.9</v>
      </c>
      <c r="E7" s="12">
        <v>57</v>
      </c>
      <c r="F7" s="8">
        <v>8.52</v>
      </c>
      <c r="G7" s="12">
        <v>78</v>
      </c>
      <c r="H7" s="8">
        <v>14.13</v>
      </c>
      <c r="I7" s="12">
        <v>0</v>
      </c>
    </row>
    <row r="8" spans="2:9" ht="15" customHeight="1" x14ac:dyDescent="0.2">
      <c r="B8" t="s">
        <v>48</v>
      </c>
      <c r="C8" s="12">
        <v>5</v>
      </c>
      <c r="D8" s="8">
        <v>0.4</v>
      </c>
      <c r="E8" s="12">
        <v>0</v>
      </c>
      <c r="F8" s="8">
        <v>0</v>
      </c>
      <c r="G8" s="12">
        <v>5</v>
      </c>
      <c r="H8" s="8">
        <v>0.91</v>
      </c>
      <c r="I8" s="12">
        <v>0</v>
      </c>
    </row>
    <row r="9" spans="2:9" ht="15" customHeight="1" x14ac:dyDescent="0.2">
      <c r="B9" t="s">
        <v>49</v>
      </c>
      <c r="C9" s="12">
        <v>7</v>
      </c>
      <c r="D9" s="8">
        <v>0.56999999999999995</v>
      </c>
      <c r="E9" s="12">
        <v>2</v>
      </c>
      <c r="F9" s="8">
        <v>0.3</v>
      </c>
      <c r="G9" s="12">
        <v>5</v>
      </c>
      <c r="H9" s="8">
        <v>0.91</v>
      </c>
      <c r="I9" s="12">
        <v>0</v>
      </c>
    </row>
    <row r="10" spans="2:9" ht="15" customHeight="1" x14ac:dyDescent="0.2">
      <c r="B10" t="s">
        <v>50</v>
      </c>
      <c r="C10" s="12">
        <v>17</v>
      </c>
      <c r="D10" s="8">
        <v>1.37</v>
      </c>
      <c r="E10" s="12">
        <v>1</v>
      </c>
      <c r="F10" s="8">
        <v>0.15</v>
      </c>
      <c r="G10" s="12">
        <v>16</v>
      </c>
      <c r="H10" s="8">
        <v>2.9</v>
      </c>
      <c r="I10" s="12">
        <v>0</v>
      </c>
    </row>
    <row r="11" spans="2:9" ht="15" customHeight="1" x14ac:dyDescent="0.2">
      <c r="B11" t="s">
        <v>51</v>
      </c>
      <c r="C11" s="12">
        <v>295</v>
      </c>
      <c r="D11" s="8">
        <v>23.83</v>
      </c>
      <c r="E11" s="12">
        <v>152</v>
      </c>
      <c r="F11" s="8">
        <v>22.72</v>
      </c>
      <c r="G11" s="12">
        <v>142</v>
      </c>
      <c r="H11" s="8">
        <v>25.72</v>
      </c>
      <c r="I11" s="12">
        <v>1</v>
      </c>
    </row>
    <row r="12" spans="2:9" ht="15" customHeight="1" x14ac:dyDescent="0.2">
      <c r="B12" t="s">
        <v>52</v>
      </c>
      <c r="C12" s="12">
        <v>5</v>
      </c>
      <c r="D12" s="8">
        <v>0.4</v>
      </c>
      <c r="E12" s="12">
        <v>0</v>
      </c>
      <c r="F12" s="8">
        <v>0</v>
      </c>
      <c r="G12" s="12">
        <v>5</v>
      </c>
      <c r="H12" s="8">
        <v>0.91</v>
      </c>
      <c r="I12" s="12">
        <v>0</v>
      </c>
    </row>
    <row r="13" spans="2:9" ht="15" customHeight="1" x14ac:dyDescent="0.2">
      <c r="B13" t="s">
        <v>53</v>
      </c>
      <c r="C13" s="12">
        <v>98</v>
      </c>
      <c r="D13" s="8">
        <v>7.92</v>
      </c>
      <c r="E13" s="12">
        <v>53</v>
      </c>
      <c r="F13" s="8">
        <v>7.92</v>
      </c>
      <c r="G13" s="12">
        <v>45</v>
      </c>
      <c r="H13" s="8">
        <v>8.15</v>
      </c>
      <c r="I13" s="12">
        <v>0</v>
      </c>
    </row>
    <row r="14" spans="2:9" ht="15" customHeight="1" x14ac:dyDescent="0.2">
      <c r="B14" t="s">
        <v>54</v>
      </c>
      <c r="C14" s="12">
        <v>42</v>
      </c>
      <c r="D14" s="8">
        <v>3.39</v>
      </c>
      <c r="E14" s="12">
        <v>24</v>
      </c>
      <c r="F14" s="8">
        <v>3.59</v>
      </c>
      <c r="G14" s="12">
        <v>18</v>
      </c>
      <c r="H14" s="8">
        <v>3.26</v>
      </c>
      <c r="I14" s="12">
        <v>0</v>
      </c>
    </row>
    <row r="15" spans="2:9" ht="15" customHeight="1" x14ac:dyDescent="0.2">
      <c r="B15" t="s">
        <v>55</v>
      </c>
      <c r="C15" s="12">
        <v>96</v>
      </c>
      <c r="D15" s="8">
        <v>7.75</v>
      </c>
      <c r="E15" s="12">
        <v>73</v>
      </c>
      <c r="F15" s="8">
        <v>10.91</v>
      </c>
      <c r="G15" s="12">
        <v>23</v>
      </c>
      <c r="H15" s="8">
        <v>4.17</v>
      </c>
      <c r="I15" s="12">
        <v>0</v>
      </c>
    </row>
    <row r="16" spans="2:9" ht="15" customHeight="1" x14ac:dyDescent="0.2">
      <c r="B16" t="s">
        <v>56</v>
      </c>
      <c r="C16" s="12">
        <v>143</v>
      </c>
      <c r="D16" s="8">
        <v>11.55</v>
      </c>
      <c r="E16" s="12">
        <v>113</v>
      </c>
      <c r="F16" s="8">
        <v>16.89</v>
      </c>
      <c r="G16" s="12">
        <v>27</v>
      </c>
      <c r="H16" s="8">
        <v>4.8899999999999997</v>
      </c>
      <c r="I16" s="12">
        <v>1</v>
      </c>
    </row>
    <row r="17" spans="2:9" ht="15" customHeight="1" x14ac:dyDescent="0.2">
      <c r="B17" t="s">
        <v>57</v>
      </c>
      <c r="C17" s="12">
        <v>36</v>
      </c>
      <c r="D17" s="8">
        <v>2.91</v>
      </c>
      <c r="E17" s="12">
        <v>21</v>
      </c>
      <c r="F17" s="8">
        <v>3.14</v>
      </c>
      <c r="G17" s="12">
        <v>10</v>
      </c>
      <c r="H17" s="8">
        <v>1.81</v>
      </c>
      <c r="I17" s="12">
        <v>0</v>
      </c>
    </row>
    <row r="18" spans="2:9" ht="15" customHeight="1" x14ac:dyDescent="0.2">
      <c r="B18" t="s">
        <v>58</v>
      </c>
      <c r="C18" s="12">
        <v>36</v>
      </c>
      <c r="D18" s="8">
        <v>2.91</v>
      </c>
      <c r="E18" s="12">
        <v>24</v>
      </c>
      <c r="F18" s="8">
        <v>3.59</v>
      </c>
      <c r="G18" s="12">
        <v>11</v>
      </c>
      <c r="H18" s="8">
        <v>1.99</v>
      </c>
      <c r="I18" s="12">
        <v>1</v>
      </c>
    </row>
    <row r="19" spans="2:9" ht="15" customHeight="1" x14ac:dyDescent="0.2">
      <c r="B19" t="s">
        <v>59</v>
      </c>
      <c r="C19" s="12">
        <v>69</v>
      </c>
      <c r="D19" s="8">
        <v>5.57</v>
      </c>
      <c r="E19" s="12">
        <v>41</v>
      </c>
      <c r="F19" s="8">
        <v>6.13</v>
      </c>
      <c r="G19" s="12">
        <v>21</v>
      </c>
      <c r="H19" s="8">
        <v>3.8</v>
      </c>
      <c r="I19" s="12">
        <v>0</v>
      </c>
    </row>
    <row r="20" spans="2:9" ht="15" customHeight="1" x14ac:dyDescent="0.2">
      <c r="B20" s="9" t="s">
        <v>195</v>
      </c>
      <c r="C20" s="12">
        <f>SUM(LTBL_08210[総数／事業所数])</f>
        <v>1238</v>
      </c>
      <c r="E20" s="12">
        <f>SUBTOTAL(109,LTBL_08210[個人／事業所数])</f>
        <v>669</v>
      </c>
      <c r="G20" s="12">
        <f>SUBTOTAL(109,LTBL_08210[法人／事業所数])</f>
        <v>552</v>
      </c>
      <c r="I20" s="12">
        <f>SUBTOTAL(109,LTBL_08210[法人以外の団体／事業所数])</f>
        <v>3</v>
      </c>
    </row>
    <row r="21" spans="2:9" ht="15" customHeight="1" x14ac:dyDescent="0.2">
      <c r="E21" s="11">
        <f>LTBL_08210[[#Totals],[個人／事業所数]]/LTBL_08210[[#Totals],[総数／事業所数]]</f>
        <v>0.54038772213247177</v>
      </c>
      <c r="G21" s="11">
        <f>LTBL_08210[[#Totals],[法人／事業所数]]/LTBL_08210[[#Totals],[総数／事業所数]]</f>
        <v>0.44588045234248791</v>
      </c>
      <c r="I21" s="11">
        <f>LTBL_08210[[#Totals],[法人以外の団体／事業所数]]/LTBL_08210[[#Totals],[総数／事業所数]]</f>
        <v>2.4232633279483036E-3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121</v>
      </c>
      <c r="D24" s="8">
        <v>9.77</v>
      </c>
      <c r="E24" s="12">
        <v>106</v>
      </c>
      <c r="F24" s="8">
        <v>15.84</v>
      </c>
      <c r="G24" s="12">
        <v>15</v>
      </c>
      <c r="H24" s="8">
        <v>2.72</v>
      </c>
      <c r="I24" s="12">
        <v>0</v>
      </c>
    </row>
    <row r="25" spans="2:9" ht="15" customHeight="1" x14ac:dyDescent="0.2">
      <c r="B25" t="s">
        <v>69</v>
      </c>
      <c r="C25" s="12">
        <v>106</v>
      </c>
      <c r="D25" s="8">
        <v>8.56</v>
      </c>
      <c r="E25" s="12">
        <v>65</v>
      </c>
      <c r="F25" s="8">
        <v>9.7200000000000006</v>
      </c>
      <c r="G25" s="12">
        <v>41</v>
      </c>
      <c r="H25" s="8">
        <v>7.43</v>
      </c>
      <c r="I25" s="12">
        <v>0</v>
      </c>
    </row>
    <row r="26" spans="2:9" ht="15" customHeight="1" x14ac:dyDescent="0.2">
      <c r="B26" t="s">
        <v>68</v>
      </c>
      <c r="C26" s="12">
        <v>97</v>
      </c>
      <c r="D26" s="8">
        <v>7.84</v>
      </c>
      <c r="E26" s="12">
        <v>24</v>
      </c>
      <c r="F26" s="8">
        <v>3.59</v>
      </c>
      <c r="G26" s="12">
        <v>73</v>
      </c>
      <c r="H26" s="8">
        <v>13.22</v>
      </c>
      <c r="I26" s="12">
        <v>0</v>
      </c>
    </row>
    <row r="27" spans="2:9" ht="15" customHeight="1" x14ac:dyDescent="0.2">
      <c r="B27" t="s">
        <v>82</v>
      </c>
      <c r="C27" s="12">
        <v>88</v>
      </c>
      <c r="D27" s="8">
        <v>7.11</v>
      </c>
      <c r="E27" s="12">
        <v>69</v>
      </c>
      <c r="F27" s="8">
        <v>10.31</v>
      </c>
      <c r="G27" s="12">
        <v>19</v>
      </c>
      <c r="H27" s="8">
        <v>3.44</v>
      </c>
      <c r="I27" s="12">
        <v>0</v>
      </c>
    </row>
    <row r="28" spans="2:9" ht="15" customHeight="1" x14ac:dyDescent="0.2">
      <c r="B28" t="s">
        <v>77</v>
      </c>
      <c r="C28" s="12">
        <v>83</v>
      </c>
      <c r="D28" s="8">
        <v>6.7</v>
      </c>
      <c r="E28" s="12">
        <v>45</v>
      </c>
      <c r="F28" s="8">
        <v>6.73</v>
      </c>
      <c r="G28" s="12">
        <v>38</v>
      </c>
      <c r="H28" s="8">
        <v>6.88</v>
      </c>
      <c r="I28" s="12">
        <v>0</v>
      </c>
    </row>
    <row r="29" spans="2:9" ht="15" customHeight="1" x14ac:dyDescent="0.2">
      <c r="B29" t="s">
        <v>79</v>
      </c>
      <c r="C29" s="12">
        <v>81</v>
      </c>
      <c r="D29" s="8">
        <v>6.54</v>
      </c>
      <c r="E29" s="12">
        <v>51</v>
      </c>
      <c r="F29" s="8">
        <v>7.62</v>
      </c>
      <c r="G29" s="12">
        <v>30</v>
      </c>
      <c r="H29" s="8">
        <v>5.43</v>
      </c>
      <c r="I29" s="12">
        <v>0</v>
      </c>
    </row>
    <row r="30" spans="2:9" ht="15" customHeight="1" x14ac:dyDescent="0.2">
      <c r="B30" t="s">
        <v>75</v>
      </c>
      <c r="C30" s="12">
        <v>61</v>
      </c>
      <c r="D30" s="8">
        <v>4.93</v>
      </c>
      <c r="E30" s="12">
        <v>48</v>
      </c>
      <c r="F30" s="8">
        <v>7.17</v>
      </c>
      <c r="G30" s="12">
        <v>13</v>
      </c>
      <c r="H30" s="8">
        <v>2.36</v>
      </c>
      <c r="I30" s="12">
        <v>0</v>
      </c>
    </row>
    <row r="31" spans="2:9" ht="15" customHeight="1" x14ac:dyDescent="0.2">
      <c r="B31" t="s">
        <v>70</v>
      </c>
      <c r="C31" s="12">
        <v>51</v>
      </c>
      <c r="D31" s="8">
        <v>4.12</v>
      </c>
      <c r="E31" s="12">
        <v>19</v>
      </c>
      <c r="F31" s="8">
        <v>2.84</v>
      </c>
      <c r="G31" s="12">
        <v>32</v>
      </c>
      <c r="H31" s="8">
        <v>5.8</v>
      </c>
      <c r="I31" s="12">
        <v>0</v>
      </c>
    </row>
    <row r="32" spans="2:9" ht="15" customHeight="1" x14ac:dyDescent="0.2">
      <c r="B32" t="s">
        <v>87</v>
      </c>
      <c r="C32" s="12">
        <v>42</v>
      </c>
      <c r="D32" s="8">
        <v>3.39</v>
      </c>
      <c r="E32" s="12">
        <v>35</v>
      </c>
      <c r="F32" s="8">
        <v>5.23</v>
      </c>
      <c r="G32" s="12">
        <v>7</v>
      </c>
      <c r="H32" s="8">
        <v>1.27</v>
      </c>
      <c r="I32" s="12">
        <v>0</v>
      </c>
    </row>
    <row r="33" spans="2:9" ht="15" customHeight="1" x14ac:dyDescent="0.2">
      <c r="B33" t="s">
        <v>74</v>
      </c>
      <c r="C33" s="12">
        <v>38</v>
      </c>
      <c r="D33" s="8">
        <v>3.07</v>
      </c>
      <c r="E33" s="12">
        <v>20</v>
      </c>
      <c r="F33" s="8">
        <v>2.99</v>
      </c>
      <c r="G33" s="12">
        <v>18</v>
      </c>
      <c r="H33" s="8">
        <v>3.26</v>
      </c>
      <c r="I33" s="12">
        <v>0</v>
      </c>
    </row>
    <row r="34" spans="2:9" ht="15" customHeight="1" x14ac:dyDescent="0.2">
      <c r="B34" t="s">
        <v>85</v>
      </c>
      <c r="C34" s="12">
        <v>36</v>
      </c>
      <c r="D34" s="8">
        <v>2.91</v>
      </c>
      <c r="E34" s="12">
        <v>21</v>
      </c>
      <c r="F34" s="8">
        <v>3.14</v>
      </c>
      <c r="G34" s="12">
        <v>10</v>
      </c>
      <c r="H34" s="8">
        <v>1.81</v>
      </c>
      <c r="I34" s="12">
        <v>0</v>
      </c>
    </row>
    <row r="35" spans="2:9" ht="15" customHeight="1" x14ac:dyDescent="0.2">
      <c r="B35" t="s">
        <v>76</v>
      </c>
      <c r="C35" s="12">
        <v>34</v>
      </c>
      <c r="D35" s="8">
        <v>2.75</v>
      </c>
      <c r="E35" s="12">
        <v>17</v>
      </c>
      <c r="F35" s="8">
        <v>2.54</v>
      </c>
      <c r="G35" s="12">
        <v>16</v>
      </c>
      <c r="H35" s="8">
        <v>2.9</v>
      </c>
      <c r="I35" s="12">
        <v>1</v>
      </c>
    </row>
    <row r="36" spans="2:9" ht="15" customHeight="1" x14ac:dyDescent="0.2">
      <c r="B36" t="s">
        <v>71</v>
      </c>
      <c r="C36" s="12">
        <v>31</v>
      </c>
      <c r="D36" s="8">
        <v>2.5</v>
      </c>
      <c r="E36" s="12">
        <v>10</v>
      </c>
      <c r="F36" s="8">
        <v>1.49</v>
      </c>
      <c r="G36" s="12">
        <v>21</v>
      </c>
      <c r="H36" s="8">
        <v>3.8</v>
      </c>
      <c r="I36" s="12">
        <v>0</v>
      </c>
    </row>
    <row r="37" spans="2:9" ht="15" customHeight="1" x14ac:dyDescent="0.2">
      <c r="B37" t="s">
        <v>86</v>
      </c>
      <c r="C37" s="12">
        <v>24</v>
      </c>
      <c r="D37" s="8">
        <v>1.94</v>
      </c>
      <c r="E37" s="12">
        <v>23</v>
      </c>
      <c r="F37" s="8">
        <v>3.44</v>
      </c>
      <c r="G37" s="12">
        <v>1</v>
      </c>
      <c r="H37" s="8">
        <v>0.18</v>
      </c>
      <c r="I37" s="12">
        <v>0</v>
      </c>
    </row>
    <row r="38" spans="2:9" ht="15" customHeight="1" x14ac:dyDescent="0.2">
      <c r="B38" t="s">
        <v>72</v>
      </c>
      <c r="C38" s="12">
        <v>22</v>
      </c>
      <c r="D38" s="8">
        <v>1.78</v>
      </c>
      <c r="E38" s="12">
        <v>8</v>
      </c>
      <c r="F38" s="8">
        <v>1.2</v>
      </c>
      <c r="G38" s="12">
        <v>14</v>
      </c>
      <c r="H38" s="8">
        <v>2.54</v>
      </c>
      <c r="I38" s="12">
        <v>0</v>
      </c>
    </row>
    <row r="39" spans="2:9" ht="15" customHeight="1" x14ac:dyDescent="0.2">
      <c r="B39" t="s">
        <v>80</v>
      </c>
      <c r="C39" s="12">
        <v>22</v>
      </c>
      <c r="D39" s="8">
        <v>1.78</v>
      </c>
      <c r="E39" s="12">
        <v>15</v>
      </c>
      <c r="F39" s="8">
        <v>2.2400000000000002</v>
      </c>
      <c r="G39" s="12">
        <v>7</v>
      </c>
      <c r="H39" s="8">
        <v>1.27</v>
      </c>
      <c r="I39" s="12">
        <v>0</v>
      </c>
    </row>
    <row r="40" spans="2:9" ht="15" customHeight="1" x14ac:dyDescent="0.2">
      <c r="B40" t="s">
        <v>93</v>
      </c>
      <c r="C40" s="12">
        <v>20</v>
      </c>
      <c r="D40" s="8">
        <v>1.62</v>
      </c>
      <c r="E40" s="12">
        <v>5</v>
      </c>
      <c r="F40" s="8">
        <v>0.75</v>
      </c>
      <c r="G40" s="12">
        <v>15</v>
      </c>
      <c r="H40" s="8">
        <v>2.72</v>
      </c>
      <c r="I40" s="12">
        <v>0</v>
      </c>
    </row>
    <row r="41" spans="2:9" ht="15" customHeight="1" x14ac:dyDescent="0.2">
      <c r="B41" t="s">
        <v>81</v>
      </c>
      <c r="C41" s="12">
        <v>19</v>
      </c>
      <c r="D41" s="8">
        <v>1.53</v>
      </c>
      <c r="E41" s="12">
        <v>9</v>
      </c>
      <c r="F41" s="8">
        <v>1.35</v>
      </c>
      <c r="G41" s="12">
        <v>10</v>
      </c>
      <c r="H41" s="8">
        <v>1.81</v>
      </c>
      <c r="I41" s="12">
        <v>0</v>
      </c>
    </row>
    <row r="42" spans="2:9" ht="15" customHeight="1" x14ac:dyDescent="0.2">
      <c r="B42" t="s">
        <v>73</v>
      </c>
      <c r="C42" s="12">
        <v>15</v>
      </c>
      <c r="D42" s="8">
        <v>1.21</v>
      </c>
      <c r="E42" s="12">
        <v>0</v>
      </c>
      <c r="F42" s="8">
        <v>0</v>
      </c>
      <c r="G42" s="12">
        <v>15</v>
      </c>
      <c r="H42" s="8">
        <v>2.72</v>
      </c>
      <c r="I42" s="12">
        <v>0</v>
      </c>
    </row>
    <row r="43" spans="2:9" ht="15" customHeight="1" x14ac:dyDescent="0.2">
      <c r="B43" t="s">
        <v>84</v>
      </c>
      <c r="C43" s="12">
        <v>15</v>
      </c>
      <c r="D43" s="8">
        <v>1.21</v>
      </c>
      <c r="E43" s="12">
        <v>6</v>
      </c>
      <c r="F43" s="8">
        <v>0.9</v>
      </c>
      <c r="G43" s="12">
        <v>9</v>
      </c>
      <c r="H43" s="8">
        <v>1.63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129</v>
      </c>
      <c r="C47" s="12">
        <v>66</v>
      </c>
      <c r="D47" s="8">
        <v>5.33</v>
      </c>
      <c r="E47" s="12">
        <v>48</v>
      </c>
      <c r="F47" s="8">
        <v>7.17</v>
      </c>
      <c r="G47" s="12">
        <v>18</v>
      </c>
      <c r="H47" s="8">
        <v>3.26</v>
      </c>
      <c r="I47" s="12">
        <v>0</v>
      </c>
    </row>
    <row r="48" spans="2:9" ht="15" customHeight="1" x14ac:dyDescent="0.2">
      <c r="B48" t="s">
        <v>134</v>
      </c>
      <c r="C48" s="12">
        <v>53</v>
      </c>
      <c r="D48" s="8">
        <v>4.28</v>
      </c>
      <c r="E48" s="12">
        <v>49</v>
      </c>
      <c r="F48" s="8">
        <v>7.32</v>
      </c>
      <c r="G48" s="12">
        <v>4</v>
      </c>
      <c r="H48" s="8">
        <v>0.72</v>
      </c>
      <c r="I48" s="12">
        <v>0</v>
      </c>
    </row>
    <row r="49" spans="2:9" ht="15" customHeight="1" x14ac:dyDescent="0.2">
      <c r="B49" t="s">
        <v>133</v>
      </c>
      <c r="C49" s="12">
        <v>48</v>
      </c>
      <c r="D49" s="8">
        <v>3.88</v>
      </c>
      <c r="E49" s="12">
        <v>46</v>
      </c>
      <c r="F49" s="8">
        <v>6.88</v>
      </c>
      <c r="G49" s="12">
        <v>2</v>
      </c>
      <c r="H49" s="8">
        <v>0.36</v>
      </c>
      <c r="I49" s="12">
        <v>0</v>
      </c>
    </row>
    <row r="50" spans="2:9" ht="15" customHeight="1" x14ac:dyDescent="0.2">
      <c r="B50" t="s">
        <v>137</v>
      </c>
      <c r="C50" s="12">
        <v>42</v>
      </c>
      <c r="D50" s="8">
        <v>3.39</v>
      </c>
      <c r="E50" s="12">
        <v>35</v>
      </c>
      <c r="F50" s="8">
        <v>5.23</v>
      </c>
      <c r="G50" s="12">
        <v>7</v>
      </c>
      <c r="H50" s="8">
        <v>1.27</v>
      </c>
      <c r="I50" s="12">
        <v>0</v>
      </c>
    </row>
    <row r="51" spans="2:9" ht="15" customHeight="1" x14ac:dyDescent="0.2">
      <c r="B51" t="s">
        <v>118</v>
      </c>
      <c r="C51" s="12">
        <v>38</v>
      </c>
      <c r="D51" s="8">
        <v>3.07</v>
      </c>
      <c r="E51" s="12">
        <v>4</v>
      </c>
      <c r="F51" s="8">
        <v>0.6</v>
      </c>
      <c r="G51" s="12">
        <v>34</v>
      </c>
      <c r="H51" s="8">
        <v>6.16</v>
      </c>
      <c r="I51" s="12">
        <v>0</v>
      </c>
    </row>
    <row r="52" spans="2:9" ht="15" customHeight="1" x14ac:dyDescent="0.2">
      <c r="B52" t="s">
        <v>120</v>
      </c>
      <c r="C52" s="12">
        <v>34</v>
      </c>
      <c r="D52" s="8">
        <v>2.75</v>
      </c>
      <c r="E52" s="12">
        <v>15</v>
      </c>
      <c r="F52" s="8">
        <v>2.2400000000000002</v>
      </c>
      <c r="G52" s="12">
        <v>19</v>
      </c>
      <c r="H52" s="8">
        <v>3.44</v>
      </c>
      <c r="I52" s="12">
        <v>0</v>
      </c>
    </row>
    <row r="53" spans="2:9" ht="15" customHeight="1" x14ac:dyDescent="0.2">
      <c r="B53" t="s">
        <v>131</v>
      </c>
      <c r="C53" s="12">
        <v>34</v>
      </c>
      <c r="D53" s="8">
        <v>2.75</v>
      </c>
      <c r="E53" s="12">
        <v>26</v>
      </c>
      <c r="F53" s="8">
        <v>3.89</v>
      </c>
      <c r="G53" s="12">
        <v>8</v>
      </c>
      <c r="H53" s="8">
        <v>1.45</v>
      </c>
      <c r="I53" s="12">
        <v>0</v>
      </c>
    </row>
    <row r="54" spans="2:9" ht="15" customHeight="1" x14ac:dyDescent="0.2">
      <c r="B54" t="s">
        <v>121</v>
      </c>
      <c r="C54" s="12">
        <v>29</v>
      </c>
      <c r="D54" s="8">
        <v>2.34</v>
      </c>
      <c r="E54" s="12">
        <v>10</v>
      </c>
      <c r="F54" s="8">
        <v>1.49</v>
      </c>
      <c r="G54" s="12">
        <v>19</v>
      </c>
      <c r="H54" s="8">
        <v>3.44</v>
      </c>
      <c r="I54" s="12">
        <v>0</v>
      </c>
    </row>
    <row r="55" spans="2:9" ht="15" customHeight="1" x14ac:dyDescent="0.2">
      <c r="B55" t="s">
        <v>132</v>
      </c>
      <c r="C55" s="12">
        <v>23</v>
      </c>
      <c r="D55" s="8">
        <v>1.86</v>
      </c>
      <c r="E55" s="12">
        <v>20</v>
      </c>
      <c r="F55" s="8">
        <v>2.99</v>
      </c>
      <c r="G55" s="12">
        <v>3</v>
      </c>
      <c r="H55" s="8">
        <v>0.54</v>
      </c>
      <c r="I55" s="12">
        <v>0</v>
      </c>
    </row>
    <row r="56" spans="2:9" ht="15" customHeight="1" x14ac:dyDescent="0.2">
      <c r="B56" t="s">
        <v>127</v>
      </c>
      <c r="C56" s="12">
        <v>22</v>
      </c>
      <c r="D56" s="8">
        <v>1.78</v>
      </c>
      <c r="E56" s="12">
        <v>10</v>
      </c>
      <c r="F56" s="8">
        <v>1.49</v>
      </c>
      <c r="G56" s="12">
        <v>12</v>
      </c>
      <c r="H56" s="8">
        <v>2.17</v>
      </c>
      <c r="I56" s="12">
        <v>0</v>
      </c>
    </row>
    <row r="57" spans="2:9" ht="15" customHeight="1" x14ac:dyDescent="0.2">
      <c r="B57" t="s">
        <v>124</v>
      </c>
      <c r="C57" s="12">
        <v>21</v>
      </c>
      <c r="D57" s="8">
        <v>1.7</v>
      </c>
      <c r="E57" s="12">
        <v>8</v>
      </c>
      <c r="F57" s="8">
        <v>1.2</v>
      </c>
      <c r="G57" s="12">
        <v>12</v>
      </c>
      <c r="H57" s="8">
        <v>2.17</v>
      </c>
      <c r="I57" s="12">
        <v>1</v>
      </c>
    </row>
    <row r="58" spans="2:9" ht="15" customHeight="1" x14ac:dyDescent="0.2">
      <c r="B58" t="s">
        <v>122</v>
      </c>
      <c r="C58" s="12">
        <v>19</v>
      </c>
      <c r="D58" s="8">
        <v>1.53</v>
      </c>
      <c r="E58" s="12">
        <v>9</v>
      </c>
      <c r="F58" s="8">
        <v>1.35</v>
      </c>
      <c r="G58" s="12">
        <v>10</v>
      </c>
      <c r="H58" s="8">
        <v>1.81</v>
      </c>
      <c r="I58" s="12">
        <v>0</v>
      </c>
    </row>
    <row r="59" spans="2:9" ht="15" customHeight="1" x14ac:dyDescent="0.2">
      <c r="B59" t="s">
        <v>145</v>
      </c>
      <c r="C59" s="12">
        <v>18</v>
      </c>
      <c r="D59" s="8">
        <v>1.45</v>
      </c>
      <c r="E59" s="12">
        <v>12</v>
      </c>
      <c r="F59" s="8">
        <v>1.79</v>
      </c>
      <c r="G59" s="12">
        <v>6</v>
      </c>
      <c r="H59" s="8">
        <v>1.0900000000000001</v>
      </c>
      <c r="I59" s="12">
        <v>0</v>
      </c>
    </row>
    <row r="60" spans="2:9" ht="15" customHeight="1" x14ac:dyDescent="0.2">
      <c r="B60" t="s">
        <v>123</v>
      </c>
      <c r="C60" s="12">
        <v>18</v>
      </c>
      <c r="D60" s="8">
        <v>1.45</v>
      </c>
      <c r="E60" s="12">
        <v>12</v>
      </c>
      <c r="F60" s="8">
        <v>1.79</v>
      </c>
      <c r="G60" s="12">
        <v>6</v>
      </c>
      <c r="H60" s="8">
        <v>1.0900000000000001</v>
      </c>
      <c r="I60" s="12">
        <v>0</v>
      </c>
    </row>
    <row r="61" spans="2:9" ht="15" customHeight="1" x14ac:dyDescent="0.2">
      <c r="B61" t="s">
        <v>135</v>
      </c>
      <c r="C61" s="12">
        <v>18</v>
      </c>
      <c r="D61" s="8">
        <v>1.45</v>
      </c>
      <c r="E61" s="12">
        <v>11</v>
      </c>
      <c r="F61" s="8">
        <v>1.64</v>
      </c>
      <c r="G61" s="12">
        <v>7</v>
      </c>
      <c r="H61" s="8">
        <v>1.27</v>
      </c>
      <c r="I61" s="12">
        <v>0</v>
      </c>
    </row>
    <row r="62" spans="2:9" ht="15" customHeight="1" x14ac:dyDescent="0.2">
      <c r="B62" t="s">
        <v>153</v>
      </c>
      <c r="C62" s="12">
        <v>16</v>
      </c>
      <c r="D62" s="8">
        <v>1.29</v>
      </c>
      <c r="E62" s="12">
        <v>7</v>
      </c>
      <c r="F62" s="8">
        <v>1.05</v>
      </c>
      <c r="G62" s="12">
        <v>9</v>
      </c>
      <c r="H62" s="8">
        <v>1.63</v>
      </c>
      <c r="I62" s="12">
        <v>0</v>
      </c>
    </row>
    <row r="63" spans="2:9" ht="15" customHeight="1" x14ac:dyDescent="0.2">
      <c r="B63" t="s">
        <v>146</v>
      </c>
      <c r="C63" s="12">
        <v>16</v>
      </c>
      <c r="D63" s="8">
        <v>1.29</v>
      </c>
      <c r="E63" s="12">
        <v>11</v>
      </c>
      <c r="F63" s="8">
        <v>1.64</v>
      </c>
      <c r="G63" s="12">
        <v>5</v>
      </c>
      <c r="H63" s="8">
        <v>0.91</v>
      </c>
      <c r="I63" s="12">
        <v>0</v>
      </c>
    </row>
    <row r="64" spans="2:9" ht="15" customHeight="1" x14ac:dyDescent="0.2">
      <c r="B64" t="s">
        <v>150</v>
      </c>
      <c r="C64" s="12">
        <v>16</v>
      </c>
      <c r="D64" s="8">
        <v>1.29</v>
      </c>
      <c r="E64" s="12">
        <v>4</v>
      </c>
      <c r="F64" s="8">
        <v>0.6</v>
      </c>
      <c r="G64" s="12">
        <v>12</v>
      </c>
      <c r="H64" s="8">
        <v>2.17</v>
      </c>
      <c r="I64" s="12">
        <v>0</v>
      </c>
    </row>
    <row r="65" spans="2:9" ht="15" customHeight="1" x14ac:dyDescent="0.2">
      <c r="B65" t="s">
        <v>154</v>
      </c>
      <c r="C65" s="12">
        <v>16</v>
      </c>
      <c r="D65" s="8">
        <v>1.29</v>
      </c>
      <c r="E65" s="12">
        <v>6</v>
      </c>
      <c r="F65" s="8">
        <v>0.9</v>
      </c>
      <c r="G65" s="12">
        <v>10</v>
      </c>
      <c r="H65" s="8">
        <v>1.81</v>
      </c>
      <c r="I65" s="12">
        <v>0</v>
      </c>
    </row>
    <row r="66" spans="2:9" ht="15" customHeight="1" x14ac:dyDescent="0.2">
      <c r="B66" t="s">
        <v>136</v>
      </c>
      <c r="C66" s="12">
        <v>16</v>
      </c>
      <c r="D66" s="8">
        <v>1.29</v>
      </c>
      <c r="E66" s="12">
        <v>16</v>
      </c>
      <c r="F66" s="8">
        <v>2.39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998-1ADB-42B8-BE46-8281BD6EB7A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337</v>
      </c>
      <c r="D6" s="8">
        <v>21.44</v>
      </c>
      <c r="E6" s="12">
        <v>144</v>
      </c>
      <c r="F6" s="8">
        <v>17.12</v>
      </c>
      <c r="G6" s="12">
        <v>193</v>
      </c>
      <c r="H6" s="8">
        <v>26.77</v>
      </c>
      <c r="I6" s="12">
        <v>0</v>
      </c>
    </row>
    <row r="7" spans="2:9" ht="15" customHeight="1" x14ac:dyDescent="0.2">
      <c r="B7" t="s">
        <v>47</v>
      </c>
      <c r="C7" s="12">
        <v>224</v>
      </c>
      <c r="D7" s="8">
        <v>14.25</v>
      </c>
      <c r="E7" s="12">
        <v>74</v>
      </c>
      <c r="F7" s="8">
        <v>8.8000000000000007</v>
      </c>
      <c r="G7" s="12">
        <v>150</v>
      </c>
      <c r="H7" s="8">
        <v>20.8</v>
      </c>
      <c r="I7" s="12">
        <v>0</v>
      </c>
    </row>
    <row r="8" spans="2:9" ht="15" customHeight="1" x14ac:dyDescent="0.2">
      <c r="B8" t="s">
        <v>48</v>
      </c>
      <c r="C8" s="12">
        <v>5</v>
      </c>
      <c r="D8" s="8">
        <v>0.32</v>
      </c>
      <c r="E8" s="12">
        <v>0</v>
      </c>
      <c r="F8" s="8">
        <v>0</v>
      </c>
      <c r="G8" s="12">
        <v>5</v>
      </c>
      <c r="H8" s="8">
        <v>0.69</v>
      </c>
      <c r="I8" s="12">
        <v>0</v>
      </c>
    </row>
    <row r="9" spans="2:9" ht="15" customHeight="1" x14ac:dyDescent="0.2">
      <c r="B9" t="s">
        <v>49</v>
      </c>
      <c r="C9" s="12">
        <v>7</v>
      </c>
      <c r="D9" s="8">
        <v>0.45</v>
      </c>
      <c r="E9" s="12">
        <v>0</v>
      </c>
      <c r="F9" s="8">
        <v>0</v>
      </c>
      <c r="G9" s="12">
        <v>7</v>
      </c>
      <c r="H9" s="8">
        <v>0.97</v>
      </c>
      <c r="I9" s="12">
        <v>0</v>
      </c>
    </row>
    <row r="10" spans="2:9" ht="15" customHeight="1" x14ac:dyDescent="0.2">
      <c r="B10" t="s">
        <v>50</v>
      </c>
      <c r="C10" s="12">
        <v>23</v>
      </c>
      <c r="D10" s="8">
        <v>1.46</v>
      </c>
      <c r="E10" s="12">
        <v>1</v>
      </c>
      <c r="F10" s="8">
        <v>0.12</v>
      </c>
      <c r="G10" s="12">
        <v>22</v>
      </c>
      <c r="H10" s="8">
        <v>3.05</v>
      </c>
      <c r="I10" s="12">
        <v>0</v>
      </c>
    </row>
    <row r="11" spans="2:9" ht="15" customHeight="1" x14ac:dyDescent="0.2">
      <c r="B11" t="s">
        <v>51</v>
      </c>
      <c r="C11" s="12">
        <v>370</v>
      </c>
      <c r="D11" s="8">
        <v>23.54</v>
      </c>
      <c r="E11" s="12">
        <v>188</v>
      </c>
      <c r="F11" s="8">
        <v>22.35</v>
      </c>
      <c r="G11" s="12">
        <v>182</v>
      </c>
      <c r="H11" s="8">
        <v>25.24</v>
      </c>
      <c r="I11" s="12">
        <v>0</v>
      </c>
    </row>
    <row r="12" spans="2:9" ht="15" customHeight="1" x14ac:dyDescent="0.2">
      <c r="B12" t="s">
        <v>52</v>
      </c>
      <c r="C12" s="12">
        <v>3</v>
      </c>
      <c r="D12" s="8">
        <v>0.19</v>
      </c>
      <c r="E12" s="12">
        <v>1</v>
      </c>
      <c r="F12" s="8">
        <v>0.12</v>
      </c>
      <c r="G12" s="12">
        <v>2</v>
      </c>
      <c r="H12" s="8">
        <v>0.28000000000000003</v>
      </c>
      <c r="I12" s="12">
        <v>0</v>
      </c>
    </row>
    <row r="13" spans="2:9" ht="15" customHeight="1" x14ac:dyDescent="0.2">
      <c r="B13" t="s">
        <v>53</v>
      </c>
      <c r="C13" s="12">
        <v>67</v>
      </c>
      <c r="D13" s="8">
        <v>4.26</v>
      </c>
      <c r="E13" s="12">
        <v>20</v>
      </c>
      <c r="F13" s="8">
        <v>2.38</v>
      </c>
      <c r="G13" s="12">
        <v>46</v>
      </c>
      <c r="H13" s="8">
        <v>6.38</v>
      </c>
      <c r="I13" s="12">
        <v>0</v>
      </c>
    </row>
    <row r="14" spans="2:9" ht="15" customHeight="1" x14ac:dyDescent="0.2">
      <c r="B14" t="s">
        <v>54</v>
      </c>
      <c r="C14" s="12">
        <v>57</v>
      </c>
      <c r="D14" s="8">
        <v>3.63</v>
      </c>
      <c r="E14" s="12">
        <v>31</v>
      </c>
      <c r="F14" s="8">
        <v>3.69</v>
      </c>
      <c r="G14" s="12">
        <v>24</v>
      </c>
      <c r="H14" s="8">
        <v>3.33</v>
      </c>
      <c r="I14" s="12">
        <v>0</v>
      </c>
    </row>
    <row r="15" spans="2:9" ht="15" customHeight="1" x14ac:dyDescent="0.2">
      <c r="B15" t="s">
        <v>55</v>
      </c>
      <c r="C15" s="12">
        <v>137</v>
      </c>
      <c r="D15" s="8">
        <v>8.7200000000000006</v>
      </c>
      <c r="E15" s="12">
        <v>107</v>
      </c>
      <c r="F15" s="8">
        <v>12.72</v>
      </c>
      <c r="G15" s="12">
        <v>28</v>
      </c>
      <c r="H15" s="8">
        <v>3.88</v>
      </c>
      <c r="I15" s="12">
        <v>0</v>
      </c>
    </row>
    <row r="16" spans="2:9" ht="15" customHeight="1" x14ac:dyDescent="0.2">
      <c r="B16" t="s">
        <v>56</v>
      </c>
      <c r="C16" s="12">
        <v>193</v>
      </c>
      <c r="D16" s="8">
        <v>12.28</v>
      </c>
      <c r="E16" s="12">
        <v>170</v>
      </c>
      <c r="F16" s="8">
        <v>20.21</v>
      </c>
      <c r="G16" s="12">
        <v>23</v>
      </c>
      <c r="H16" s="8">
        <v>3.19</v>
      </c>
      <c r="I16" s="12">
        <v>0</v>
      </c>
    </row>
    <row r="17" spans="2:9" ht="15" customHeight="1" x14ac:dyDescent="0.2">
      <c r="B17" t="s">
        <v>57</v>
      </c>
      <c r="C17" s="12">
        <v>35</v>
      </c>
      <c r="D17" s="8">
        <v>2.23</v>
      </c>
      <c r="E17" s="12">
        <v>33</v>
      </c>
      <c r="F17" s="8">
        <v>3.92</v>
      </c>
      <c r="G17" s="12">
        <v>2</v>
      </c>
      <c r="H17" s="8">
        <v>0.28000000000000003</v>
      </c>
      <c r="I17" s="12">
        <v>0</v>
      </c>
    </row>
    <row r="18" spans="2:9" ht="15" customHeight="1" x14ac:dyDescent="0.2">
      <c r="B18" t="s">
        <v>58</v>
      </c>
      <c r="C18" s="12">
        <v>59</v>
      </c>
      <c r="D18" s="8">
        <v>3.75</v>
      </c>
      <c r="E18" s="12">
        <v>43</v>
      </c>
      <c r="F18" s="8">
        <v>5.1100000000000003</v>
      </c>
      <c r="G18" s="12">
        <v>13</v>
      </c>
      <c r="H18" s="8">
        <v>1.8</v>
      </c>
      <c r="I18" s="12">
        <v>0</v>
      </c>
    </row>
    <row r="19" spans="2:9" ht="15" customHeight="1" x14ac:dyDescent="0.2">
      <c r="B19" t="s">
        <v>59</v>
      </c>
      <c r="C19" s="12">
        <v>55</v>
      </c>
      <c r="D19" s="8">
        <v>3.5</v>
      </c>
      <c r="E19" s="12">
        <v>29</v>
      </c>
      <c r="F19" s="8">
        <v>3.45</v>
      </c>
      <c r="G19" s="12">
        <v>24</v>
      </c>
      <c r="H19" s="8">
        <v>3.33</v>
      </c>
      <c r="I19" s="12">
        <v>0</v>
      </c>
    </row>
    <row r="20" spans="2:9" ht="15" customHeight="1" x14ac:dyDescent="0.2">
      <c r="B20" s="9" t="s">
        <v>195</v>
      </c>
      <c r="C20" s="12">
        <f>SUM(LTBL_08211[総数／事業所数])</f>
        <v>1572</v>
      </c>
      <c r="E20" s="12">
        <f>SUBTOTAL(109,LTBL_08211[個人／事業所数])</f>
        <v>841</v>
      </c>
      <c r="G20" s="12">
        <f>SUBTOTAL(109,LTBL_08211[法人／事業所数])</f>
        <v>721</v>
      </c>
      <c r="I20" s="12">
        <f>SUBTOTAL(109,LTBL_08211[法人以外の団体／事業所数])</f>
        <v>0</v>
      </c>
    </row>
    <row r="21" spans="2:9" ht="15" customHeight="1" x14ac:dyDescent="0.2">
      <c r="E21" s="11">
        <f>LTBL_08211[[#Totals],[個人／事業所数]]/LTBL_08211[[#Totals],[総数／事業所数]]</f>
        <v>0.53498727735368956</v>
      </c>
      <c r="G21" s="11">
        <f>LTBL_08211[[#Totals],[法人／事業所数]]/LTBL_08211[[#Totals],[総数／事業所数]]</f>
        <v>0.45865139949109412</v>
      </c>
      <c r="I21" s="11">
        <f>LTBL_08211[[#Totals],[法人以外の団体／事業所数]]/LTBL_08211[[#Totals],[総数／事業所数]]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172</v>
      </c>
      <c r="D24" s="8">
        <v>10.94</v>
      </c>
      <c r="E24" s="12">
        <v>160</v>
      </c>
      <c r="F24" s="8">
        <v>19.02</v>
      </c>
      <c r="G24" s="12">
        <v>12</v>
      </c>
      <c r="H24" s="8">
        <v>1.66</v>
      </c>
      <c r="I24" s="12">
        <v>0</v>
      </c>
    </row>
    <row r="25" spans="2:9" ht="15" customHeight="1" x14ac:dyDescent="0.2">
      <c r="B25" t="s">
        <v>69</v>
      </c>
      <c r="C25" s="12">
        <v>130</v>
      </c>
      <c r="D25" s="8">
        <v>8.27</v>
      </c>
      <c r="E25" s="12">
        <v>60</v>
      </c>
      <c r="F25" s="8">
        <v>7.13</v>
      </c>
      <c r="G25" s="12">
        <v>70</v>
      </c>
      <c r="H25" s="8">
        <v>9.7100000000000009</v>
      </c>
      <c r="I25" s="12">
        <v>0</v>
      </c>
    </row>
    <row r="26" spans="2:9" ht="15" customHeight="1" x14ac:dyDescent="0.2">
      <c r="B26" t="s">
        <v>68</v>
      </c>
      <c r="C26" s="12">
        <v>127</v>
      </c>
      <c r="D26" s="8">
        <v>8.08</v>
      </c>
      <c r="E26" s="12">
        <v>52</v>
      </c>
      <c r="F26" s="8">
        <v>6.18</v>
      </c>
      <c r="G26" s="12">
        <v>75</v>
      </c>
      <c r="H26" s="8">
        <v>10.4</v>
      </c>
      <c r="I26" s="12">
        <v>0</v>
      </c>
    </row>
    <row r="27" spans="2:9" ht="15" customHeight="1" x14ac:dyDescent="0.2">
      <c r="B27" t="s">
        <v>82</v>
      </c>
      <c r="C27" s="12">
        <v>119</v>
      </c>
      <c r="D27" s="8">
        <v>7.57</v>
      </c>
      <c r="E27" s="12">
        <v>101</v>
      </c>
      <c r="F27" s="8">
        <v>12.01</v>
      </c>
      <c r="G27" s="12">
        <v>18</v>
      </c>
      <c r="H27" s="8">
        <v>2.5</v>
      </c>
      <c r="I27" s="12">
        <v>0</v>
      </c>
    </row>
    <row r="28" spans="2:9" ht="15" customHeight="1" x14ac:dyDescent="0.2">
      <c r="B28" t="s">
        <v>77</v>
      </c>
      <c r="C28" s="12">
        <v>115</v>
      </c>
      <c r="D28" s="8">
        <v>7.32</v>
      </c>
      <c r="E28" s="12">
        <v>64</v>
      </c>
      <c r="F28" s="8">
        <v>7.61</v>
      </c>
      <c r="G28" s="12">
        <v>51</v>
      </c>
      <c r="H28" s="8">
        <v>7.07</v>
      </c>
      <c r="I28" s="12">
        <v>0</v>
      </c>
    </row>
    <row r="29" spans="2:9" ht="15" customHeight="1" x14ac:dyDescent="0.2">
      <c r="B29" t="s">
        <v>70</v>
      </c>
      <c r="C29" s="12">
        <v>80</v>
      </c>
      <c r="D29" s="8">
        <v>5.09</v>
      </c>
      <c r="E29" s="12">
        <v>32</v>
      </c>
      <c r="F29" s="8">
        <v>3.8</v>
      </c>
      <c r="G29" s="12">
        <v>48</v>
      </c>
      <c r="H29" s="8">
        <v>6.66</v>
      </c>
      <c r="I29" s="12">
        <v>0</v>
      </c>
    </row>
    <row r="30" spans="2:9" ht="15" customHeight="1" x14ac:dyDescent="0.2">
      <c r="B30" t="s">
        <v>75</v>
      </c>
      <c r="C30" s="12">
        <v>75</v>
      </c>
      <c r="D30" s="8">
        <v>4.7699999999999996</v>
      </c>
      <c r="E30" s="12">
        <v>53</v>
      </c>
      <c r="F30" s="8">
        <v>6.3</v>
      </c>
      <c r="G30" s="12">
        <v>22</v>
      </c>
      <c r="H30" s="8">
        <v>3.05</v>
      </c>
      <c r="I30" s="12">
        <v>0</v>
      </c>
    </row>
    <row r="31" spans="2:9" ht="15" customHeight="1" x14ac:dyDescent="0.2">
      <c r="B31" t="s">
        <v>76</v>
      </c>
      <c r="C31" s="12">
        <v>64</v>
      </c>
      <c r="D31" s="8">
        <v>4.07</v>
      </c>
      <c r="E31" s="12">
        <v>41</v>
      </c>
      <c r="F31" s="8">
        <v>4.88</v>
      </c>
      <c r="G31" s="12">
        <v>23</v>
      </c>
      <c r="H31" s="8">
        <v>3.19</v>
      </c>
      <c r="I31" s="12">
        <v>0</v>
      </c>
    </row>
    <row r="32" spans="2:9" ht="15" customHeight="1" x14ac:dyDescent="0.2">
      <c r="B32" t="s">
        <v>79</v>
      </c>
      <c r="C32" s="12">
        <v>50</v>
      </c>
      <c r="D32" s="8">
        <v>3.18</v>
      </c>
      <c r="E32" s="12">
        <v>18</v>
      </c>
      <c r="F32" s="8">
        <v>2.14</v>
      </c>
      <c r="G32" s="12">
        <v>31</v>
      </c>
      <c r="H32" s="8">
        <v>4.3</v>
      </c>
      <c r="I32" s="12">
        <v>0</v>
      </c>
    </row>
    <row r="33" spans="2:9" ht="15" customHeight="1" x14ac:dyDescent="0.2">
      <c r="B33" t="s">
        <v>86</v>
      </c>
      <c r="C33" s="12">
        <v>43</v>
      </c>
      <c r="D33" s="8">
        <v>2.74</v>
      </c>
      <c r="E33" s="12">
        <v>43</v>
      </c>
      <c r="F33" s="8">
        <v>5.1100000000000003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71</v>
      </c>
      <c r="C34" s="12">
        <v>38</v>
      </c>
      <c r="D34" s="8">
        <v>2.42</v>
      </c>
      <c r="E34" s="12">
        <v>9</v>
      </c>
      <c r="F34" s="8">
        <v>1.07</v>
      </c>
      <c r="G34" s="12">
        <v>29</v>
      </c>
      <c r="H34" s="8">
        <v>4.0199999999999996</v>
      </c>
      <c r="I34" s="12">
        <v>0</v>
      </c>
    </row>
    <row r="35" spans="2:9" ht="15" customHeight="1" x14ac:dyDescent="0.2">
      <c r="B35" t="s">
        <v>87</v>
      </c>
      <c r="C35" s="12">
        <v>36</v>
      </c>
      <c r="D35" s="8">
        <v>2.29</v>
      </c>
      <c r="E35" s="12">
        <v>26</v>
      </c>
      <c r="F35" s="8">
        <v>3.09</v>
      </c>
      <c r="G35" s="12">
        <v>10</v>
      </c>
      <c r="H35" s="8">
        <v>1.39</v>
      </c>
      <c r="I35" s="12">
        <v>0</v>
      </c>
    </row>
    <row r="36" spans="2:9" ht="15" customHeight="1" x14ac:dyDescent="0.2">
      <c r="B36" t="s">
        <v>81</v>
      </c>
      <c r="C36" s="12">
        <v>35</v>
      </c>
      <c r="D36" s="8">
        <v>2.23</v>
      </c>
      <c r="E36" s="12">
        <v>18</v>
      </c>
      <c r="F36" s="8">
        <v>2.14</v>
      </c>
      <c r="G36" s="12">
        <v>15</v>
      </c>
      <c r="H36" s="8">
        <v>2.08</v>
      </c>
      <c r="I36" s="12">
        <v>0</v>
      </c>
    </row>
    <row r="37" spans="2:9" ht="15" customHeight="1" x14ac:dyDescent="0.2">
      <c r="B37" t="s">
        <v>85</v>
      </c>
      <c r="C37" s="12">
        <v>35</v>
      </c>
      <c r="D37" s="8">
        <v>2.23</v>
      </c>
      <c r="E37" s="12">
        <v>33</v>
      </c>
      <c r="F37" s="8">
        <v>3.92</v>
      </c>
      <c r="G37" s="12">
        <v>2</v>
      </c>
      <c r="H37" s="8">
        <v>0.28000000000000003</v>
      </c>
      <c r="I37" s="12">
        <v>0</v>
      </c>
    </row>
    <row r="38" spans="2:9" ht="15" customHeight="1" x14ac:dyDescent="0.2">
      <c r="B38" t="s">
        <v>72</v>
      </c>
      <c r="C38" s="12">
        <v>29</v>
      </c>
      <c r="D38" s="8">
        <v>1.84</v>
      </c>
      <c r="E38" s="12">
        <v>6</v>
      </c>
      <c r="F38" s="8">
        <v>0.71</v>
      </c>
      <c r="G38" s="12">
        <v>23</v>
      </c>
      <c r="H38" s="8">
        <v>3.19</v>
      </c>
      <c r="I38" s="12">
        <v>0</v>
      </c>
    </row>
    <row r="39" spans="2:9" ht="15" customHeight="1" x14ac:dyDescent="0.2">
      <c r="B39" t="s">
        <v>73</v>
      </c>
      <c r="C39" s="12">
        <v>25</v>
      </c>
      <c r="D39" s="8">
        <v>1.59</v>
      </c>
      <c r="E39" s="12">
        <v>2</v>
      </c>
      <c r="F39" s="8">
        <v>0.24</v>
      </c>
      <c r="G39" s="12">
        <v>23</v>
      </c>
      <c r="H39" s="8">
        <v>3.19</v>
      </c>
      <c r="I39" s="12">
        <v>0</v>
      </c>
    </row>
    <row r="40" spans="2:9" ht="15" customHeight="1" x14ac:dyDescent="0.2">
      <c r="B40" t="s">
        <v>92</v>
      </c>
      <c r="C40" s="12">
        <v>23</v>
      </c>
      <c r="D40" s="8">
        <v>1.46</v>
      </c>
      <c r="E40" s="12">
        <v>6</v>
      </c>
      <c r="F40" s="8">
        <v>0.71</v>
      </c>
      <c r="G40" s="12">
        <v>17</v>
      </c>
      <c r="H40" s="8">
        <v>2.36</v>
      </c>
      <c r="I40" s="12">
        <v>0</v>
      </c>
    </row>
    <row r="41" spans="2:9" ht="15" customHeight="1" x14ac:dyDescent="0.2">
      <c r="B41" t="s">
        <v>74</v>
      </c>
      <c r="C41" s="12">
        <v>22</v>
      </c>
      <c r="D41" s="8">
        <v>1.4</v>
      </c>
      <c r="E41" s="12">
        <v>11</v>
      </c>
      <c r="F41" s="8">
        <v>1.31</v>
      </c>
      <c r="G41" s="12">
        <v>11</v>
      </c>
      <c r="H41" s="8">
        <v>1.53</v>
      </c>
      <c r="I41" s="12">
        <v>0</v>
      </c>
    </row>
    <row r="42" spans="2:9" ht="15" customHeight="1" x14ac:dyDescent="0.2">
      <c r="B42" t="s">
        <v>91</v>
      </c>
      <c r="C42" s="12">
        <v>21</v>
      </c>
      <c r="D42" s="8">
        <v>1.34</v>
      </c>
      <c r="E42" s="12">
        <v>4</v>
      </c>
      <c r="F42" s="8">
        <v>0.48</v>
      </c>
      <c r="G42" s="12">
        <v>17</v>
      </c>
      <c r="H42" s="8">
        <v>2.36</v>
      </c>
      <c r="I42" s="12">
        <v>0</v>
      </c>
    </row>
    <row r="43" spans="2:9" ht="15" customHeight="1" x14ac:dyDescent="0.2">
      <c r="B43" t="s">
        <v>97</v>
      </c>
      <c r="C43" s="12">
        <v>20</v>
      </c>
      <c r="D43" s="8">
        <v>1.27</v>
      </c>
      <c r="E43" s="12">
        <v>10</v>
      </c>
      <c r="F43" s="8">
        <v>1.19</v>
      </c>
      <c r="G43" s="12">
        <v>10</v>
      </c>
      <c r="H43" s="8">
        <v>1.39</v>
      </c>
      <c r="I43" s="12">
        <v>0</v>
      </c>
    </row>
    <row r="44" spans="2:9" ht="15" customHeight="1" x14ac:dyDescent="0.2">
      <c r="B44" t="s">
        <v>93</v>
      </c>
      <c r="C44" s="12">
        <v>20</v>
      </c>
      <c r="D44" s="8">
        <v>1.27</v>
      </c>
      <c r="E44" s="12">
        <v>4</v>
      </c>
      <c r="F44" s="8">
        <v>0.48</v>
      </c>
      <c r="G44" s="12">
        <v>16</v>
      </c>
      <c r="H44" s="8">
        <v>2.2200000000000002</v>
      </c>
      <c r="I44" s="12">
        <v>0</v>
      </c>
    </row>
    <row r="45" spans="2:9" ht="15" customHeight="1" x14ac:dyDescent="0.2">
      <c r="B45" t="s">
        <v>80</v>
      </c>
      <c r="C45" s="12">
        <v>20</v>
      </c>
      <c r="D45" s="8">
        <v>1.27</v>
      </c>
      <c r="E45" s="12">
        <v>13</v>
      </c>
      <c r="F45" s="8">
        <v>1.55</v>
      </c>
      <c r="G45" s="12">
        <v>7</v>
      </c>
      <c r="H45" s="8">
        <v>0.97</v>
      </c>
      <c r="I45" s="12">
        <v>0</v>
      </c>
    </row>
    <row r="48" spans="2:9" ht="33" customHeight="1" x14ac:dyDescent="0.2">
      <c r="B48" t="s">
        <v>197</v>
      </c>
      <c r="C48" s="10" t="s">
        <v>61</v>
      </c>
      <c r="D48" s="10" t="s">
        <v>62</v>
      </c>
      <c r="E48" s="10" t="s">
        <v>63</v>
      </c>
      <c r="F48" s="10" t="s">
        <v>64</v>
      </c>
      <c r="G48" s="10" t="s">
        <v>65</v>
      </c>
      <c r="H48" s="10" t="s">
        <v>66</v>
      </c>
      <c r="I48" s="10" t="s">
        <v>67</v>
      </c>
    </row>
    <row r="49" spans="2:9" ht="15" customHeight="1" x14ac:dyDescent="0.2">
      <c r="B49" t="s">
        <v>134</v>
      </c>
      <c r="C49" s="12">
        <v>79</v>
      </c>
      <c r="D49" s="8">
        <v>5.03</v>
      </c>
      <c r="E49" s="12">
        <v>77</v>
      </c>
      <c r="F49" s="8">
        <v>9.16</v>
      </c>
      <c r="G49" s="12">
        <v>2</v>
      </c>
      <c r="H49" s="8">
        <v>0.28000000000000003</v>
      </c>
      <c r="I49" s="12">
        <v>0</v>
      </c>
    </row>
    <row r="50" spans="2:9" ht="15" customHeight="1" x14ac:dyDescent="0.2">
      <c r="B50" t="s">
        <v>133</v>
      </c>
      <c r="C50" s="12">
        <v>75</v>
      </c>
      <c r="D50" s="8">
        <v>4.7699999999999996</v>
      </c>
      <c r="E50" s="12">
        <v>73</v>
      </c>
      <c r="F50" s="8">
        <v>8.68</v>
      </c>
      <c r="G50" s="12">
        <v>2</v>
      </c>
      <c r="H50" s="8">
        <v>0.28000000000000003</v>
      </c>
      <c r="I50" s="12">
        <v>0</v>
      </c>
    </row>
    <row r="51" spans="2:9" ht="15" customHeight="1" x14ac:dyDescent="0.2">
      <c r="B51" t="s">
        <v>120</v>
      </c>
      <c r="C51" s="12">
        <v>53</v>
      </c>
      <c r="D51" s="8">
        <v>3.37</v>
      </c>
      <c r="E51" s="12">
        <v>41</v>
      </c>
      <c r="F51" s="8">
        <v>4.88</v>
      </c>
      <c r="G51" s="12">
        <v>12</v>
      </c>
      <c r="H51" s="8">
        <v>1.66</v>
      </c>
      <c r="I51" s="12">
        <v>0</v>
      </c>
    </row>
    <row r="52" spans="2:9" ht="15" customHeight="1" x14ac:dyDescent="0.2">
      <c r="B52" t="s">
        <v>124</v>
      </c>
      <c r="C52" s="12">
        <v>52</v>
      </c>
      <c r="D52" s="8">
        <v>3.31</v>
      </c>
      <c r="E52" s="12">
        <v>35</v>
      </c>
      <c r="F52" s="8">
        <v>4.16</v>
      </c>
      <c r="G52" s="12">
        <v>17</v>
      </c>
      <c r="H52" s="8">
        <v>2.36</v>
      </c>
      <c r="I52" s="12">
        <v>0</v>
      </c>
    </row>
    <row r="53" spans="2:9" ht="15" customHeight="1" x14ac:dyDescent="0.2">
      <c r="B53" t="s">
        <v>131</v>
      </c>
      <c r="C53" s="12">
        <v>37</v>
      </c>
      <c r="D53" s="8">
        <v>2.35</v>
      </c>
      <c r="E53" s="12">
        <v>32</v>
      </c>
      <c r="F53" s="8">
        <v>3.8</v>
      </c>
      <c r="G53" s="12">
        <v>5</v>
      </c>
      <c r="H53" s="8">
        <v>0.69</v>
      </c>
      <c r="I53" s="12">
        <v>0</v>
      </c>
    </row>
    <row r="54" spans="2:9" ht="15" customHeight="1" x14ac:dyDescent="0.2">
      <c r="B54" t="s">
        <v>121</v>
      </c>
      <c r="C54" s="12">
        <v>36</v>
      </c>
      <c r="D54" s="8">
        <v>2.29</v>
      </c>
      <c r="E54" s="12">
        <v>20</v>
      </c>
      <c r="F54" s="8">
        <v>2.38</v>
      </c>
      <c r="G54" s="12">
        <v>16</v>
      </c>
      <c r="H54" s="8">
        <v>2.2200000000000002</v>
      </c>
      <c r="I54" s="12">
        <v>0</v>
      </c>
    </row>
    <row r="55" spans="2:9" ht="15" customHeight="1" x14ac:dyDescent="0.2">
      <c r="B55" t="s">
        <v>132</v>
      </c>
      <c r="C55" s="12">
        <v>36</v>
      </c>
      <c r="D55" s="8">
        <v>2.29</v>
      </c>
      <c r="E55" s="12">
        <v>34</v>
      </c>
      <c r="F55" s="8">
        <v>4.04</v>
      </c>
      <c r="G55" s="12">
        <v>2</v>
      </c>
      <c r="H55" s="8">
        <v>0.28000000000000003</v>
      </c>
      <c r="I55" s="12">
        <v>0</v>
      </c>
    </row>
    <row r="56" spans="2:9" ht="15" customHeight="1" x14ac:dyDescent="0.2">
      <c r="B56" t="s">
        <v>137</v>
      </c>
      <c r="C56" s="12">
        <v>36</v>
      </c>
      <c r="D56" s="8">
        <v>2.29</v>
      </c>
      <c r="E56" s="12">
        <v>26</v>
      </c>
      <c r="F56" s="8">
        <v>3.09</v>
      </c>
      <c r="G56" s="12">
        <v>10</v>
      </c>
      <c r="H56" s="8">
        <v>1.39</v>
      </c>
      <c r="I56" s="12">
        <v>0</v>
      </c>
    </row>
    <row r="57" spans="2:9" ht="15" customHeight="1" x14ac:dyDescent="0.2">
      <c r="B57" t="s">
        <v>118</v>
      </c>
      <c r="C57" s="12">
        <v>35</v>
      </c>
      <c r="D57" s="8">
        <v>2.23</v>
      </c>
      <c r="E57" s="12">
        <v>4</v>
      </c>
      <c r="F57" s="8">
        <v>0.48</v>
      </c>
      <c r="G57" s="12">
        <v>31</v>
      </c>
      <c r="H57" s="8">
        <v>4.3</v>
      </c>
      <c r="I57" s="12">
        <v>0</v>
      </c>
    </row>
    <row r="58" spans="2:9" ht="15" customHeight="1" x14ac:dyDescent="0.2">
      <c r="B58" t="s">
        <v>129</v>
      </c>
      <c r="C58" s="12">
        <v>32</v>
      </c>
      <c r="D58" s="8">
        <v>2.04</v>
      </c>
      <c r="E58" s="12">
        <v>17</v>
      </c>
      <c r="F58" s="8">
        <v>2.02</v>
      </c>
      <c r="G58" s="12">
        <v>14</v>
      </c>
      <c r="H58" s="8">
        <v>1.94</v>
      </c>
      <c r="I58" s="12">
        <v>0</v>
      </c>
    </row>
    <row r="59" spans="2:9" ht="15" customHeight="1" x14ac:dyDescent="0.2">
      <c r="B59" t="s">
        <v>123</v>
      </c>
      <c r="C59" s="12">
        <v>29</v>
      </c>
      <c r="D59" s="8">
        <v>1.84</v>
      </c>
      <c r="E59" s="12">
        <v>21</v>
      </c>
      <c r="F59" s="8">
        <v>2.5</v>
      </c>
      <c r="G59" s="12">
        <v>8</v>
      </c>
      <c r="H59" s="8">
        <v>1.1100000000000001</v>
      </c>
      <c r="I59" s="12">
        <v>0</v>
      </c>
    </row>
    <row r="60" spans="2:9" ht="15" customHeight="1" x14ac:dyDescent="0.2">
      <c r="B60" t="s">
        <v>122</v>
      </c>
      <c r="C60" s="12">
        <v>28</v>
      </c>
      <c r="D60" s="8">
        <v>1.78</v>
      </c>
      <c r="E60" s="12">
        <v>11</v>
      </c>
      <c r="F60" s="8">
        <v>1.31</v>
      </c>
      <c r="G60" s="12">
        <v>17</v>
      </c>
      <c r="H60" s="8">
        <v>2.36</v>
      </c>
      <c r="I60" s="12">
        <v>0</v>
      </c>
    </row>
    <row r="61" spans="2:9" ht="15" customHeight="1" x14ac:dyDescent="0.2">
      <c r="B61" t="s">
        <v>126</v>
      </c>
      <c r="C61" s="12">
        <v>28</v>
      </c>
      <c r="D61" s="8">
        <v>1.78</v>
      </c>
      <c r="E61" s="12">
        <v>13</v>
      </c>
      <c r="F61" s="8">
        <v>1.55</v>
      </c>
      <c r="G61" s="12">
        <v>15</v>
      </c>
      <c r="H61" s="8">
        <v>2.08</v>
      </c>
      <c r="I61" s="12">
        <v>0</v>
      </c>
    </row>
    <row r="62" spans="2:9" ht="15" customHeight="1" x14ac:dyDescent="0.2">
      <c r="B62" t="s">
        <v>127</v>
      </c>
      <c r="C62" s="12">
        <v>28</v>
      </c>
      <c r="D62" s="8">
        <v>1.78</v>
      </c>
      <c r="E62" s="12">
        <v>19</v>
      </c>
      <c r="F62" s="8">
        <v>2.2599999999999998</v>
      </c>
      <c r="G62" s="12">
        <v>9</v>
      </c>
      <c r="H62" s="8">
        <v>1.25</v>
      </c>
      <c r="I62" s="12">
        <v>0</v>
      </c>
    </row>
    <row r="63" spans="2:9" ht="15" customHeight="1" x14ac:dyDescent="0.2">
      <c r="B63" t="s">
        <v>136</v>
      </c>
      <c r="C63" s="12">
        <v>28</v>
      </c>
      <c r="D63" s="8">
        <v>1.78</v>
      </c>
      <c r="E63" s="12">
        <v>28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146</v>
      </c>
      <c r="C64" s="12">
        <v>24</v>
      </c>
      <c r="D64" s="8">
        <v>1.53</v>
      </c>
      <c r="E64" s="12">
        <v>11</v>
      </c>
      <c r="F64" s="8">
        <v>1.31</v>
      </c>
      <c r="G64" s="12">
        <v>13</v>
      </c>
      <c r="H64" s="8">
        <v>1.8</v>
      </c>
      <c r="I64" s="12">
        <v>0</v>
      </c>
    </row>
    <row r="65" spans="2:9" ht="15" customHeight="1" x14ac:dyDescent="0.2">
      <c r="B65" t="s">
        <v>130</v>
      </c>
      <c r="C65" s="12">
        <v>23</v>
      </c>
      <c r="D65" s="8">
        <v>1.46</v>
      </c>
      <c r="E65" s="12">
        <v>10</v>
      </c>
      <c r="F65" s="8">
        <v>1.19</v>
      </c>
      <c r="G65" s="12">
        <v>11</v>
      </c>
      <c r="H65" s="8">
        <v>1.53</v>
      </c>
      <c r="I65" s="12">
        <v>0</v>
      </c>
    </row>
    <row r="66" spans="2:9" ht="15" customHeight="1" x14ac:dyDescent="0.2">
      <c r="B66" t="s">
        <v>152</v>
      </c>
      <c r="C66" s="12">
        <v>22</v>
      </c>
      <c r="D66" s="8">
        <v>1.4</v>
      </c>
      <c r="E66" s="12">
        <v>17</v>
      </c>
      <c r="F66" s="8">
        <v>2.02</v>
      </c>
      <c r="G66" s="12">
        <v>5</v>
      </c>
      <c r="H66" s="8">
        <v>0.69</v>
      </c>
      <c r="I66" s="12">
        <v>0</v>
      </c>
    </row>
    <row r="67" spans="2:9" ht="15" customHeight="1" x14ac:dyDescent="0.2">
      <c r="B67" t="s">
        <v>119</v>
      </c>
      <c r="C67" s="12">
        <v>21</v>
      </c>
      <c r="D67" s="8">
        <v>1.34</v>
      </c>
      <c r="E67" s="12">
        <v>4</v>
      </c>
      <c r="F67" s="8">
        <v>0.48</v>
      </c>
      <c r="G67" s="12">
        <v>17</v>
      </c>
      <c r="H67" s="8">
        <v>2.36</v>
      </c>
      <c r="I67" s="12">
        <v>0</v>
      </c>
    </row>
    <row r="68" spans="2:9" ht="15" customHeight="1" x14ac:dyDescent="0.2">
      <c r="B68" t="s">
        <v>155</v>
      </c>
      <c r="C68" s="12">
        <v>20</v>
      </c>
      <c r="D68" s="8">
        <v>1.27</v>
      </c>
      <c r="E68" s="12">
        <v>4</v>
      </c>
      <c r="F68" s="8">
        <v>0.48</v>
      </c>
      <c r="G68" s="12">
        <v>16</v>
      </c>
      <c r="H68" s="8">
        <v>2.2200000000000002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B520-1FBD-4868-9723-36746BCC86A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0.28000000000000003</v>
      </c>
      <c r="I5" s="12">
        <v>0</v>
      </c>
    </row>
    <row r="6" spans="2:9" ht="15" customHeight="1" x14ac:dyDescent="0.2">
      <c r="B6" t="s">
        <v>46</v>
      </c>
      <c r="C6" s="12">
        <v>210</v>
      </c>
      <c r="D6" s="8">
        <v>19.89</v>
      </c>
      <c r="E6" s="12">
        <v>119</v>
      </c>
      <c r="F6" s="8">
        <v>17.89</v>
      </c>
      <c r="G6" s="12">
        <v>91</v>
      </c>
      <c r="H6" s="8">
        <v>25.28</v>
      </c>
      <c r="I6" s="12">
        <v>0</v>
      </c>
    </row>
    <row r="7" spans="2:9" ht="15" customHeight="1" x14ac:dyDescent="0.2">
      <c r="B7" t="s">
        <v>47</v>
      </c>
      <c r="C7" s="12">
        <v>124</v>
      </c>
      <c r="D7" s="8">
        <v>11.74</v>
      </c>
      <c r="E7" s="12">
        <v>60</v>
      </c>
      <c r="F7" s="8">
        <v>9.02</v>
      </c>
      <c r="G7" s="12">
        <v>64</v>
      </c>
      <c r="H7" s="8">
        <v>17.78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0.28000000000000003</v>
      </c>
      <c r="I8" s="12">
        <v>0</v>
      </c>
    </row>
    <row r="9" spans="2:9" ht="15" customHeight="1" x14ac:dyDescent="0.2">
      <c r="B9" t="s">
        <v>49</v>
      </c>
      <c r="C9" s="12">
        <v>7</v>
      </c>
      <c r="D9" s="8">
        <v>0.66</v>
      </c>
      <c r="E9" s="12">
        <v>1</v>
      </c>
      <c r="F9" s="8">
        <v>0.15</v>
      </c>
      <c r="G9" s="12">
        <v>6</v>
      </c>
      <c r="H9" s="8">
        <v>1.67</v>
      </c>
      <c r="I9" s="12">
        <v>0</v>
      </c>
    </row>
    <row r="10" spans="2:9" ht="15" customHeight="1" x14ac:dyDescent="0.2">
      <c r="B10" t="s">
        <v>50</v>
      </c>
      <c r="C10" s="12">
        <v>8</v>
      </c>
      <c r="D10" s="8">
        <v>0.76</v>
      </c>
      <c r="E10" s="12">
        <v>2</v>
      </c>
      <c r="F10" s="8">
        <v>0.3</v>
      </c>
      <c r="G10" s="12">
        <v>6</v>
      </c>
      <c r="H10" s="8">
        <v>1.67</v>
      </c>
      <c r="I10" s="12">
        <v>0</v>
      </c>
    </row>
    <row r="11" spans="2:9" ht="15" customHeight="1" x14ac:dyDescent="0.2">
      <c r="B11" t="s">
        <v>51</v>
      </c>
      <c r="C11" s="12">
        <v>237</v>
      </c>
      <c r="D11" s="8">
        <v>22.44</v>
      </c>
      <c r="E11" s="12">
        <v>165</v>
      </c>
      <c r="F11" s="8">
        <v>24.81</v>
      </c>
      <c r="G11" s="12">
        <v>72</v>
      </c>
      <c r="H11" s="8">
        <v>20</v>
      </c>
      <c r="I11" s="12">
        <v>0</v>
      </c>
    </row>
    <row r="12" spans="2:9" ht="15" customHeight="1" x14ac:dyDescent="0.2">
      <c r="B12" t="s">
        <v>52</v>
      </c>
      <c r="C12" s="12">
        <v>7</v>
      </c>
      <c r="D12" s="8">
        <v>0.66</v>
      </c>
      <c r="E12" s="12">
        <v>2</v>
      </c>
      <c r="F12" s="8">
        <v>0.3</v>
      </c>
      <c r="G12" s="12">
        <v>5</v>
      </c>
      <c r="H12" s="8">
        <v>1.39</v>
      </c>
      <c r="I12" s="12">
        <v>0</v>
      </c>
    </row>
    <row r="13" spans="2:9" ht="15" customHeight="1" x14ac:dyDescent="0.2">
      <c r="B13" t="s">
        <v>53</v>
      </c>
      <c r="C13" s="12">
        <v>33</v>
      </c>
      <c r="D13" s="8">
        <v>3.13</v>
      </c>
      <c r="E13" s="12">
        <v>15</v>
      </c>
      <c r="F13" s="8">
        <v>2.2599999999999998</v>
      </c>
      <c r="G13" s="12">
        <v>18</v>
      </c>
      <c r="H13" s="8">
        <v>5</v>
      </c>
      <c r="I13" s="12">
        <v>0</v>
      </c>
    </row>
    <row r="14" spans="2:9" ht="15" customHeight="1" x14ac:dyDescent="0.2">
      <c r="B14" t="s">
        <v>54</v>
      </c>
      <c r="C14" s="12">
        <v>35</v>
      </c>
      <c r="D14" s="8">
        <v>3.31</v>
      </c>
      <c r="E14" s="12">
        <v>16</v>
      </c>
      <c r="F14" s="8">
        <v>2.41</v>
      </c>
      <c r="G14" s="12">
        <v>18</v>
      </c>
      <c r="H14" s="8">
        <v>5</v>
      </c>
      <c r="I14" s="12">
        <v>0</v>
      </c>
    </row>
    <row r="15" spans="2:9" ht="15" customHeight="1" x14ac:dyDescent="0.2">
      <c r="B15" t="s">
        <v>55</v>
      </c>
      <c r="C15" s="12">
        <v>110</v>
      </c>
      <c r="D15" s="8">
        <v>10.42</v>
      </c>
      <c r="E15" s="12">
        <v>90</v>
      </c>
      <c r="F15" s="8">
        <v>13.53</v>
      </c>
      <c r="G15" s="12">
        <v>20</v>
      </c>
      <c r="H15" s="8">
        <v>5.56</v>
      </c>
      <c r="I15" s="12">
        <v>0</v>
      </c>
    </row>
    <row r="16" spans="2:9" ht="15" customHeight="1" x14ac:dyDescent="0.2">
      <c r="B16" t="s">
        <v>56</v>
      </c>
      <c r="C16" s="12">
        <v>152</v>
      </c>
      <c r="D16" s="8">
        <v>14.39</v>
      </c>
      <c r="E16" s="12">
        <v>127</v>
      </c>
      <c r="F16" s="8">
        <v>19.100000000000001</v>
      </c>
      <c r="G16" s="12">
        <v>22</v>
      </c>
      <c r="H16" s="8">
        <v>6.11</v>
      </c>
      <c r="I16" s="12">
        <v>0</v>
      </c>
    </row>
    <row r="17" spans="2:9" ht="15" customHeight="1" x14ac:dyDescent="0.2">
      <c r="B17" t="s">
        <v>57</v>
      </c>
      <c r="C17" s="12">
        <v>36</v>
      </c>
      <c r="D17" s="8">
        <v>3.41</v>
      </c>
      <c r="E17" s="12">
        <v>13</v>
      </c>
      <c r="F17" s="8">
        <v>1.95</v>
      </c>
      <c r="G17" s="12">
        <v>8</v>
      </c>
      <c r="H17" s="8">
        <v>2.2200000000000002</v>
      </c>
      <c r="I17" s="12">
        <v>1</v>
      </c>
    </row>
    <row r="18" spans="2:9" ht="15" customHeight="1" x14ac:dyDescent="0.2">
      <c r="B18" t="s">
        <v>58</v>
      </c>
      <c r="C18" s="12">
        <v>42</v>
      </c>
      <c r="D18" s="8">
        <v>3.98</v>
      </c>
      <c r="E18" s="12">
        <v>23</v>
      </c>
      <c r="F18" s="8">
        <v>3.46</v>
      </c>
      <c r="G18" s="12">
        <v>12</v>
      </c>
      <c r="H18" s="8">
        <v>3.33</v>
      </c>
      <c r="I18" s="12">
        <v>2</v>
      </c>
    </row>
    <row r="19" spans="2:9" ht="15" customHeight="1" x14ac:dyDescent="0.2">
      <c r="B19" t="s">
        <v>59</v>
      </c>
      <c r="C19" s="12">
        <v>53</v>
      </c>
      <c r="D19" s="8">
        <v>5.0199999999999996</v>
      </c>
      <c r="E19" s="12">
        <v>32</v>
      </c>
      <c r="F19" s="8">
        <v>4.8099999999999996</v>
      </c>
      <c r="G19" s="12">
        <v>16</v>
      </c>
      <c r="H19" s="8">
        <v>4.4400000000000004</v>
      </c>
      <c r="I19" s="12">
        <v>0</v>
      </c>
    </row>
    <row r="20" spans="2:9" ht="15" customHeight="1" x14ac:dyDescent="0.2">
      <c r="B20" s="9" t="s">
        <v>195</v>
      </c>
      <c r="C20" s="12">
        <f>SUM(LTBL_08212[総数／事業所数])</f>
        <v>1056</v>
      </c>
      <c r="E20" s="12">
        <f>SUBTOTAL(109,LTBL_08212[個人／事業所数])</f>
        <v>665</v>
      </c>
      <c r="G20" s="12">
        <f>SUBTOTAL(109,LTBL_08212[法人／事業所数])</f>
        <v>360</v>
      </c>
      <c r="I20" s="12">
        <f>SUBTOTAL(109,LTBL_08212[法人以外の団体／事業所数])</f>
        <v>3</v>
      </c>
    </row>
    <row r="21" spans="2:9" ht="15" customHeight="1" x14ac:dyDescent="0.2">
      <c r="E21" s="11">
        <f>LTBL_08212[[#Totals],[個人／事業所数]]/LTBL_08212[[#Totals],[総数／事業所数]]</f>
        <v>0.62973484848484851</v>
      </c>
      <c r="G21" s="11">
        <f>LTBL_08212[[#Totals],[法人／事業所数]]/LTBL_08212[[#Totals],[総数／事業所数]]</f>
        <v>0.34090909090909088</v>
      </c>
      <c r="I21" s="11">
        <f>LTBL_08212[[#Totals],[法人以外の団体／事業所数]]/LTBL_08212[[#Totals],[総数／事業所数]]</f>
        <v>2.840909090909091E-3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131</v>
      </c>
      <c r="D24" s="8">
        <v>12.41</v>
      </c>
      <c r="E24" s="12">
        <v>117</v>
      </c>
      <c r="F24" s="8">
        <v>17.59</v>
      </c>
      <c r="G24" s="12">
        <v>14</v>
      </c>
      <c r="H24" s="8">
        <v>3.89</v>
      </c>
      <c r="I24" s="12">
        <v>0</v>
      </c>
    </row>
    <row r="25" spans="2:9" ht="15" customHeight="1" x14ac:dyDescent="0.2">
      <c r="B25" t="s">
        <v>68</v>
      </c>
      <c r="C25" s="12">
        <v>99</v>
      </c>
      <c r="D25" s="8">
        <v>9.3800000000000008</v>
      </c>
      <c r="E25" s="12">
        <v>51</v>
      </c>
      <c r="F25" s="8">
        <v>7.67</v>
      </c>
      <c r="G25" s="12">
        <v>48</v>
      </c>
      <c r="H25" s="8">
        <v>13.33</v>
      </c>
      <c r="I25" s="12">
        <v>0</v>
      </c>
    </row>
    <row r="26" spans="2:9" ht="15" customHeight="1" x14ac:dyDescent="0.2">
      <c r="B26" t="s">
        <v>82</v>
      </c>
      <c r="C26" s="12">
        <v>85</v>
      </c>
      <c r="D26" s="8">
        <v>8.0500000000000007</v>
      </c>
      <c r="E26" s="12">
        <v>77</v>
      </c>
      <c r="F26" s="8">
        <v>11.58</v>
      </c>
      <c r="G26" s="12">
        <v>8</v>
      </c>
      <c r="H26" s="8">
        <v>2.2200000000000002</v>
      </c>
      <c r="I26" s="12">
        <v>0</v>
      </c>
    </row>
    <row r="27" spans="2:9" ht="15" customHeight="1" x14ac:dyDescent="0.2">
      <c r="B27" t="s">
        <v>75</v>
      </c>
      <c r="C27" s="12">
        <v>76</v>
      </c>
      <c r="D27" s="8">
        <v>7.2</v>
      </c>
      <c r="E27" s="12">
        <v>69</v>
      </c>
      <c r="F27" s="8">
        <v>10.38</v>
      </c>
      <c r="G27" s="12">
        <v>7</v>
      </c>
      <c r="H27" s="8">
        <v>1.94</v>
      </c>
      <c r="I27" s="12">
        <v>0</v>
      </c>
    </row>
    <row r="28" spans="2:9" ht="15" customHeight="1" x14ac:dyDescent="0.2">
      <c r="B28" t="s">
        <v>69</v>
      </c>
      <c r="C28" s="12">
        <v>69</v>
      </c>
      <c r="D28" s="8">
        <v>6.53</v>
      </c>
      <c r="E28" s="12">
        <v>48</v>
      </c>
      <c r="F28" s="8">
        <v>7.22</v>
      </c>
      <c r="G28" s="12">
        <v>21</v>
      </c>
      <c r="H28" s="8">
        <v>5.83</v>
      </c>
      <c r="I28" s="12">
        <v>0</v>
      </c>
    </row>
    <row r="29" spans="2:9" ht="15" customHeight="1" x14ac:dyDescent="0.2">
      <c r="B29" t="s">
        <v>77</v>
      </c>
      <c r="C29" s="12">
        <v>67</v>
      </c>
      <c r="D29" s="8">
        <v>6.34</v>
      </c>
      <c r="E29" s="12">
        <v>44</v>
      </c>
      <c r="F29" s="8">
        <v>6.62</v>
      </c>
      <c r="G29" s="12">
        <v>23</v>
      </c>
      <c r="H29" s="8">
        <v>6.39</v>
      </c>
      <c r="I29" s="12">
        <v>0</v>
      </c>
    </row>
    <row r="30" spans="2:9" ht="15" customHeight="1" x14ac:dyDescent="0.2">
      <c r="B30" t="s">
        <v>70</v>
      </c>
      <c r="C30" s="12">
        <v>42</v>
      </c>
      <c r="D30" s="8">
        <v>3.98</v>
      </c>
      <c r="E30" s="12">
        <v>20</v>
      </c>
      <c r="F30" s="8">
        <v>3.01</v>
      </c>
      <c r="G30" s="12">
        <v>22</v>
      </c>
      <c r="H30" s="8">
        <v>6.11</v>
      </c>
      <c r="I30" s="12">
        <v>0</v>
      </c>
    </row>
    <row r="31" spans="2:9" ht="15" customHeight="1" x14ac:dyDescent="0.2">
      <c r="B31" t="s">
        <v>76</v>
      </c>
      <c r="C31" s="12">
        <v>42</v>
      </c>
      <c r="D31" s="8">
        <v>3.98</v>
      </c>
      <c r="E31" s="12">
        <v>30</v>
      </c>
      <c r="F31" s="8">
        <v>4.51</v>
      </c>
      <c r="G31" s="12">
        <v>12</v>
      </c>
      <c r="H31" s="8">
        <v>3.33</v>
      </c>
      <c r="I31" s="12">
        <v>0</v>
      </c>
    </row>
    <row r="32" spans="2:9" ht="15" customHeight="1" x14ac:dyDescent="0.2">
      <c r="B32" t="s">
        <v>85</v>
      </c>
      <c r="C32" s="12">
        <v>36</v>
      </c>
      <c r="D32" s="8">
        <v>3.41</v>
      </c>
      <c r="E32" s="12">
        <v>13</v>
      </c>
      <c r="F32" s="8">
        <v>1.95</v>
      </c>
      <c r="G32" s="12">
        <v>8</v>
      </c>
      <c r="H32" s="8">
        <v>2.2200000000000002</v>
      </c>
      <c r="I32" s="12">
        <v>1</v>
      </c>
    </row>
    <row r="33" spans="2:9" ht="15" customHeight="1" x14ac:dyDescent="0.2">
      <c r="B33" t="s">
        <v>87</v>
      </c>
      <c r="C33" s="12">
        <v>30</v>
      </c>
      <c r="D33" s="8">
        <v>2.84</v>
      </c>
      <c r="E33" s="12">
        <v>28</v>
      </c>
      <c r="F33" s="8">
        <v>4.21</v>
      </c>
      <c r="G33" s="12">
        <v>2</v>
      </c>
      <c r="H33" s="8">
        <v>0.56000000000000005</v>
      </c>
      <c r="I33" s="12">
        <v>0</v>
      </c>
    </row>
    <row r="34" spans="2:9" ht="15" customHeight="1" x14ac:dyDescent="0.2">
      <c r="B34" t="s">
        <v>79</v>
      </c>
      <c r="C34" s="12">
        <v>27</v>
      </c>
      <c r="D34" s="8">
        <v>2.56</v>
      </c>
      <c r="E34" s="12">
        <v>15</v>
      </c>
      <c r="F34" s="8">
        <v>2.2599999999999998</v>
      </c>
      <c r="G34" s="12">
        <v>12</v>
      </c>
      <c r="H34" s="8">
        <v>3.33</v>
      </c>
      <c r="I34" s="12">
        <v>0</v>
      </c>
    </row>
    <row r="35" spans="2:9" ht="15" customHeight="1" x14ac:dyDescent="0.2">
      <c r="B35" t="s">
        <v>81</v>
      </c>
      <c r="C35" s="12">
        <v>26</v>
      </c>
      <c r="D35" s="8">
        <v>2.46</v>
      </c>
      <c r="E35" s="12">
        <v>8</v>
      </c>
      <c r="F35" s="8">
        <v>1.2</v>
      </c>
      <c r="G35" s="12">
        <v>17</v>
      </c>
      <c r="H35" s="8">
        <v>4.72</v>
      </c>
      <c r="I35" s="12">
        <v>0</v>
      </c>
    </row>
    <row r="36" spans="2:9" ht="15" customHeight="1" x14ac:dyDescent="0.2">
      <c r="B36" t="s">
        <v>86</v>
      </c>
      <c r="C36" s="12">
        <v>25</v>
      </c>
      <c r="D36" s="8">
        <v>2.37</v>
      </c>
      <c r="E36" s="12">
        <v>23</v>
      </c>
      <c r="F36" s="8">
        <v>3.46</v>
      </c>
      <c r="G36" s="12">
        <v>2</v>
      </c>
      <c r="H36" s="8">
        <v>0.56000000000000005</v>
      </c>
      <c r="I36" s="12">
        <v>0</v>
      </c>
    </row>
    <row r="37" spans="2:9" ht="15" customHeight="1" x14ac:dyDescent="0.2">
      <c r="B37" t="s">
        <v>71</v>
      </c>
      <c r="C37" s="12">
        <v>20</v>
      </c>
      <c r="D37" s="8">
        <v>1.89</v>
      </c>
      <c r="E37" s="12">
        <v>11</v>
      </c>
      <c r="F37" s="8">
        <v>1.65</v>
      </c>
      <c r="G37" s="12">
        <v>9</v>
      </c>
      <c r="H37" s="8">
        <v>2.5</v>
      </c>
      <c r="I37" s="12">
        <v>0</v>
      </c>
    </row>
    <row r="38" spans="2:9" ht="15" customHeight="1" x14ac:dyDescent="0.2">
      <c r="B38" t="s">
        <v>96</v>
      </c>
      <c r="C38" s="12">
        <v>17</v>
      </c>
      <c r="D38" s="8">
        <v>1.61</v>
      </c>
      <c r="E38" s="12">
        <v>0</v>
      </c>
      <c r="F38" s="8">
        <v>0</v>
      </c>
      <c r="G38" s="12">
        <v>10</v>
      </c>
      <c r="H38" s="8">
        <v>2.78</v>
      </c>
      <c r="I38" s="12">
        <v>2</v>
      </c>
    </row>
    <row r="39" spans="2:9" ht="15" customHeight="1" x14ac:dyDescent="0.2">
      <c r="B39" t="s">
        <v>97</v>
      </c>
      <c r="C39" s="12">
        <v>16</v>
      </c>
      <c r="D39" s="8">
        <v>1.52</v>
      </c>
      <c r="E39" s="12">
        <v>7</v>
      </c>
      <c r="F39" s="8">
        <v>1.05</v>
      </c>
      <c r="G39" s="12">
        <v>9</v>
      </c>
      <c r="H39" s="8">
        <v>2.5</v>
      </c>
      <c r="I39" s="12">
        <v>0</v>
      </c>
    </row>
    <row r="40" spans="2:9" ht="15" customHeight="1" x14ac:dyDescent="0.2">
      <c r="B40" t="s">
        <v>74</v>
      </c>
      <c r="C40" s="12">
        <v>16</v>
      </c>
      <c r="D40" s="8">
        <v>1.52</v>
      </c>
      <c r="E40" s="12">
        <v>9</v>
      </c>
      <c r="F40" s="8">
        <v>1.35</v>
      </c>
      <c r="G40" s="12">
        <v>7</v>
      </c>
      <c r="H40" s="8">
        <v>1.94</v>
      </c>
      <c r="I40" s="12">
        <v>0</v>
      </c>
    </row>
    <row r="41" spans="2:9" ht="15" customHeight="1" x14ac:dyDescent="0.2">
      <c r="B41" t="s">
        <v>99</v>
      </c>
      <c r="C41" s="12">
        <v>15</v>
      </c>
      <c r="D41" s="8">
        <v>1.42</v>
      </c>
      <c r="E41" s="12">
        <v>9</v>
      </c>
      <c r="F41" s="8">
        <v>1.35</v>
      </c>
      <c r="G41" s="12">
        <v>6</v>
      </c>
      <c r="H41" s="8">
        <v>1.67</v>
      </c>
      <c r="I41" s="12">
        <v>0</v>
      </c>
    </row>
    <row r="42" spans="2:9" ht="15" customHeight="1" x14ac:dyDescent="0.2">
      <c r="B42" t="s">
        <v>84</v>
      </c>
      <c r="C42" s="12">
        <v>15</v>
      </c>
      <c r="D42" s="8">
        <v>1.42</v>
      </c>
      <c r="E42" s="12">
        <v>7</v>
      </c>
      <c r="F42" s="8">
        <v>1.05</v>
      </c>
      <c r="G42" s="12">
        <v>7</v>
      </c>
      <c r="H42" s="8">
        <v>1.94</v>
      </c>
      <c r="I42" s="12">
        <v>0</v>
      </c>
    </row>
    <row r="43" spans="2:9" ht="15" customHeight="1" x14ac:dyDescent="0.2">
      <c r="B43" t="s">
        <v>98</v>
      </c>
      <c r="C43" s="12">
        <v>14</v>
      </c>
      <c r="D43" s="8">
        <v>1.33</v>
      </c>
      <c r="E43" s="12">
        <v>4</v>
      </c>
      <c r="F43" s="8">
        <v>0.6</v>
      </c>
      <c r="G43" s="12">
        <v>10</v>
      </c>
      <c r="H43" s="8">
        <v>2.78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63</v>
      </c>
      <c r="D47" s="8">
        <v>5.97</v>
      </c>
      <c r="E47" s="12">
        <v>60</v>
      </c>
      <c r="F47" s="8">
        <v>9.02</v>
      </c>
      <c r="G47" s="12">
        <v>3</v>
      </c>
      <c r="H47" s="8">
        <v>0.83</v>
      </c>
      <c r="I47" s="12">
        <v>0</v>
      </c>
    </row>
    <row r="48" spans="2:9" ht="15" customHeight="1" x14ac:dyDescent="0.2">
      <c r="B48" t="s">
        <v>133</v>
      </c>
      <c r="C48" s="12">
        <v>53</v>
      </c>
      <c r="D48" s="8">
        <v>5.0199999999999996</v>
      </c>
      <c r="E48" s="12">
        <v>52</v>
      </c>
      <c r="F48" s="8">
        <v>7.82</v>
      </c>
      <c r="G48" s="12">
        <v>1</v>
      </c>
      <c r="H48" s="8">
        <v>0.28000000000000003</v>
      </c>
      <c r="I48" s="12">
        <v>0</v>
      </c>
    </row>
    <row r="49" spans="2:9" ht="15" customHeight="1" x14ac:dyDescent="0.2">
      <c r="B49" t="s">
        <v>120</v>
      </c>
      <c r="C49" s="12">
        <v>44</v>
      </c>
      <c r="D49" s="8">
        <v>4.17</v>
      </c>
      <c r="E49" s="12">
        <v>37</v>
      </c>
      <c r="F49" s="8">
        <v>5.56</v>
      </c>
      <c r="G49" s="12">
        <v>7</v>
      </c>
      <c r="H49" s="8">
        <v>1.94</v>
      </c>
      <c r="I49" s="12">
        <v>0</v>
      </c>
    </row>
    <row r="50" spans="2:9" ht="15" customHeight="1" x14ac:dyDescent="0.2">
      <c r="B50" t="s">
        <v>118</v>
      </c>
      <c r="C50" s="12">
        <v>36</v>
      </c>
      <c r="D50" s="8">
        <v>3.41</v>
      </c>
      <c r="E50" s="12">
        <v>4</v>
      </c>
      <c r="F50" s="8">
        <v>0.6</v>
      </c>
      <c r="G50" s="12">
        <v>32</v>
      </c>
      <c r="H50" s="8">
        <v>8.89</v>
      </c>
      <c r="I50" s="12">
        <v>0</v>
      </c>
    </row>
    <row r="51" spans="2:9" ht="15" customHeight="1" x14ac:dyDescent="0.2">
      <c r="B51" t="s">
        <v>137</v>
      </c>
      <c r="C51" s="12">
        <v>30</v>
      </c>
      <c r="D51" s="8">
        <v>2.84</v>
      </c>
      <c r="E51" s="12">
        <v>28</v>
      </c>
      <c r="F51" s="8">
        <v>4.21</v>
      </c>
      <c r="G51" s="12">
        <v>2</v>
      </c>
      <c r="H51" s="8">
        <v>0.56000000000000005</v>
      </c>
      <c r="I51" s="12">
        <v>0</v>
      </c>
    </row>
    <row r="52" spans="2:9" ht="15" customHeight="1" x14ac:dyDescent="0.2">
      <c r="B52" t="s">
        <v>123</v>
      </c>
      <c r="C52" s="12">
        <v>28</v>
      </c>
      <c r="D52" s="8">
        <v>2.65</v>
      </c>
      <c r="E52" s="12">
        <v>26</v>
      </c>
      <c r="F52" s="8">
        <v>3.91</v>
      </c>
      <c r="G52" s="12">
        <v>2</v>
      </c>
      <c r="H52" s="8">
        <v>0.56000000000000005</v>
      </c>
      <c r="I52" s="12">
        <v>0</v>
      </c>
    </row>
    <row r="53" spans="2:9" ht="15" customHeight="1" x14ac:dyDescent="0.2">
      <c r="B53" t="s">
        <v>131</v>
      </c>
      <c r="C53" s="12">
        <v>28</v>
      </c>
      <c r="D53" s="8">
        <v>2.65</v>
      </c>
      <c r="E53" s="12">
        <v>27</v>
      </c>
      <c r="F53" s="8">
        <v>4.0599999999999996</v>
      </c>
      <c r="G53" s="12">
        <v>1</v>
      </c>
      <c r="H53" s="8">
        <v>0.28000000000000003</v>
      </c>
      <c r="I53" s="12">
        <v>0</v>
      </c>
    </row>
    <row r="54" spans="2:9" ht="15" customHeight="1" x14ac:dyDescent="0.2">
      <c r="B54" t="s">
        <v>124</v>
      </c>
      <c r="C54" s="12">
        <v>27</v>
      </c>
      <c r="D54" s="8">
        <v>2.56</v>
      </c>
      <c r="E54" s="12">
        <v>19</v>
      </c>
      <c r="F54" s="8">
        <v>2.86</v>
      </c>
      <c r="G54" s="12">
        <v>8</v>
      </c>
      <c r="H54" s="8">
        <v>2.2200000000000002</v>
      </c>
      <c r="I54" s="12">
        <v>0</v>
      </c>
    </row>
    <row r="55" spans="2:9" ht="15" customHeight="1" x14ac:dyDescent="0.2">
      <c r="B55" t="s">
        <v>121</v>
      </c>
      <c r="C55" s="12">
        <v>23</v>
      </c>
      <c r="D55" s="8">
        <v>2.1800000000000002</v>
      </c>
      <c r="E55" s="12">
        <v>12</v>
      </c>
      <c r="F55" s="8">
        <v>1.8</v>
      </c>
      <c r="G55" s="12">
        <v>11</v>
      </c>
      <c r="H55" s="8">
        <v>3.06</v>
      </c>
      <c r="I55" s="12">
        <v>0</v>
      </c>
    </row>
    <row r="56" spans="2:9" ht="15" customHeight="1" x14ac:dyDescent="0.2">
      <c r="B56" t="s">
        <v>147</v>
      </c>
      <c r="C56" s="12">
        <v>22</v>
      </c>
      <c r="D56" s="8">
        <v>2.08</v>
      </c>
      <c r="E56" s="12">
        <v>19</v>
      </c>
      <c r="F56" s="8">
        <v>2.86</v>
      </c>
      <c r="G56" s="12">
        <v>3</v>
      </c>
      <c r="H56" s="8">
        <v>0.83</v>
      </c>
      <c r="I56" s="12">
        <v>0</v>
      </c>
    </row>
    <row r="57" spans="2:9" ht="15" customHeight="1" x14ac:dyDescent="0.2">
      <c r="B57" t="s">
        <v>129</v>
      </c>
      <c r="C57" s="12">
        <v>19</v>
      </c>
      <c r="D57" s="8">
        <v>1.8</v>
      </c>
      <c r="E57" s="12">
        <v>12</v>
      </c>
      <c r="F57" s="8">
        <v>1.8</v>
      </c>
      <c r="G57" s="12">
        <v>7</v>
      </c>
      <c r="H57" s="8">
        <v>1.94</v>
      </c>
      <c r="I57" s="12">
        <v>0</v>
      </c>
    </row>
    <row r="58" spans="2:9" ht="15" customHeight="1" x14ac:dyDescent="0.2">
      <c r="B58" t="s">
        <v>127</v>
      </c>
      <c r="C58" s="12">
        <v>16</v>
      </c>
      <c r="D58" s="8">
        <v>1.52</v>
      </c>
      <c r="E58" s="12">
        <v>13</v>
      </c>
      <c r="F58" s="8">
        <v>1.95</v>
      </c>
      <c r="G58" s="12">
        <v>3</v>
      </c>
      <c r="H58" s="8">
        <v>0.83</v>
      </c>
      <c r="I58" s="12">
        <v>0</v>
      </c>
    </row>
    <row r="59" spans="2:9" ht="15" customHeight="1" x14ac:dyDescent="0.2">
      <c r="B59" t="s">
        <v>130</v>
      </c>
      <c r="C59" s="12">
        <v>16</v>
      </c>
      <c r="D59" s="8">
        <v>1.52</v>
      </c>
      <c r="E59" s="12">
        <v>3</v>
      </c>
      <c r="F59" s="8">
        <v>0.45</v>
      </c>
      <c r="G59" s="12">
        <v>12</v>
      </c>
      <c r="H59" s="8">
        <v>3.33</v>
      </c>
      <c r="I59" s="12">
        <v>0</v>
      </c>
    </row>
    <row r="60" spans="2:9" ht="15" customHeight="1" x14ac:dyDescent="0.2">
      <c r="B60" t="s">
        <v>136</v>
      </c>
      <c r="C60" s="12">
        <v>16</v>
      </c>
      <c r="D60" s="8">
        <v>1.52</v>
      </c>
      <c r="E60" s="12">
        <v>15</v>
      </c>
      <c r="F60" s="8">
        <v>2.2599999999999998</v>
      </c>
      <c r="G60" s="12">
        <v>1</v>
      </c>
      <c r="H60" s="8">
        <v>0.28000000000000003</v>
      </c>
      <c r="I60" s="12">
        <v>0</v>
      </c>
    </row>
    <row r="61" spans="2:9" ht="15" customHeight="1" x14ac:dyDescent="0.2">
      <c r="B61" t="s">
        <v>145</v>
      </c>
      <c r="C61" s="12">
        <v>15</v>
      </c>
      <c r="D61" s="8">
        <v>1.42</v>
      </c>
      <c r="E61" s="12">
        <v>14</v>
      </c>
      <c r="F61" s="8">
        <v>2.11</v>
      </c>
      <c r="G61" s="12">
        <v>1</v>
      </c>
      <c r="H61" s="8">
        <v>0.28000000000000003</v>
      </c>
      <c r="I61" s="12">
        <v>0</v>
      </c>
    </row>
    <row r="62" spans="2:9" ht="15" customHeight="1" x14ac:dyDescent="0.2">
      <c r="B62" t="s">
        <v>132</v>
      </c>
      <c r="C62" s="12">
        <v>15</v>
      </c>
      <c r="D62" s="8">
        <v>1.42</v>
      </c>
      <c r="E62" s="12">
        <v>14</v>
      </c>
      <c r="F62" s="8">
        <v>2.11</v>
      </c>
      <c r="G62" s="12">
        <v>1</v>
      </c>
      <c r="H62" s="8">
        <v>0.28000000000000003</v>
      </c>
      <c r="I62" s="12">
        <v>0</v>
      </c>
    </row>
    <row r="63" spans="2:9" ht="15" customHeight="1" x14ac:dyDescent="0.2">
      <c r="B63" t="s">
        <v>156</v>
      </c>
      <c r="C63" s="12">
        <v>15</v>
      </c>
      <c r="D63" s="8">
        <v>1.42</v>
      </c>
      <c r="E63" s="12">
        <v>0</v>
      </c>
      <c r="F63" s="8">
        <v>0</v>
      </c>
      <c r="G63" s="12">
        <v>1</v>
      </c>
      <c r="H63" s="8">
        <v>0.28000000000000003</v>
      </c>
      <c r="I63" s="12">
        <v>0</v>
      </c>
    </row>
    <row r="64" spans="2:9" ht="15" customHeight="1" x14ac:dyDescent="0.2">
      <c r="B64" t="s">
        <v>122</v>
      </c>
      <c r="C64" s="12">
        <v>14</v>
      </c>
      <c r="D64" s="8">
        <v>1.33</v>
      </c>
      <c r="E64" s="12">
        <v>7</v>
      </c>
      <c r="F64" s="8">
        <v>1.05</v>
      </c>
      <c r="G64" s="12">
        <v>7</v>
      </c>
      <c r="H64" s="8">
        <v>1.94</v>
      </c>
      <c r="I64" s="12">
        <v>0</v>
      </c>
    </row>
    <row r="65" spans="2:9" ht="15" customHeight="1" x14ac:dyDescent="0.2">
      <c r="B65" t="s">
        <v>126</v>
      </c>
      <c r="C65" s="12">
        <v>14</v>
      </c>
      <c r="D65" s="8">
        <v>1.33</v>
      </c>
      <c r="E65" s="12">
        <v>7</v>
      </c>
      <c r="F65" s="8">
        <v>1.05</v>
      </c>
      <c r="G65" s="12">
        <v>7</v>
      </c>
      <c r="H65" s="8">
        <v>1.94</v>
      </c>
      <c r="I65" s="12">
        <v>0</v>
      </c>
    </row>
    <row r="66" spans="2:9" ht="15" customHeight="1" x14ac:dyDescent="0.2">
      <c r="B66" t="s">
        <v>152</v>
      </c>
      <c r="C66" s="12">
        <v>14</v>
      </c>
      <c r="D66" s="8">
        <v>1.33</v>
      </c>
      <c r="E66" s="12">
        <v>11</v>
      </c>
      <c r="F66" s="8">
        <v>1.65</v>
      </c>
      <c r="G66" s="12">
        <v>3</v>
      </c>
      <c r="H66" s="8">
        <v>0.83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1EED-FCE0-4253-98D1-5F8EBE21D25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0.5</v>
      </c>
      <c r="I5" s="12">
        <v>0</v>
      </c>
    </row>
    <row r="6" spans="2:9" ht="15" customHeight="1" x14ac:dyDescent="0.2">
      <c r="B6" t="s">
        <v>46</v>
      </c>
      <c r="C6" s="12">
        <v>89</v>
      </c>
      <c r="D6" s="8">
        <v>13.28</v>
      </c>
      <c r="E6" s="12">
        <v>48</v>
      </c>
      <c r="F6" s="8">
        <v>10.62</v>
      </c>
      <c r="G6" s="12">
        <v>41</v>
      </c>
      <c r="H6" s="8">
        <v>20.3</v>
      </c>
      <c r="I6" s="12">
        <v>0</v>
      </c>
    </row>
    <row r="7" spans="2:9" ht="15" customHeight="1" x14ac:dyDescent="0.2">
      <c r="B7" t="s">
        <v>47</v>
      </c>
      <c r="C7" s="12">
        <v>31</v>
      </c>
      <c r="D7" s="8">
        <v>4.63</v>
      </c>
      <c r="E7" s="12">
        <v>17</v>
      </c>
      <c r="F7" s="8">
        <v>3.76</v>
      </c>
      <c r="G7" s="12">
        <v>14</v>
      </c>
      <c r="H7" s="8">
        <v>6.93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0.45</v>
      </c>
      <c r="E8" s="12">
        <v>0</v>
      </c>
      <c r="F8" s="8">
        <v>0</v>
      </c>
      <c r="G8" s="12">
        <v>1</v>
      </c>
      <c r="H8" s="8">
        <v>0.5</v>
      </c>
      <c r="I8" s="12">
        <v>0</v>
      </c>
    </row>
    <row r="9" spans="2:9" ht="15" customHeight="1" x14ac:dyDescent="0.2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50</v>
      </c>
      <c r="C10" s="12">
        <v>6</v>
      </c>
      <c r="D10" s="8">
        <v>0.9</v>
      </c>
      <c r="E10" s="12">
        <v>1</v>
      </c>
      <c r="F10" s="8">
        <v>0.22</v>
      </c>
      <c r="G10" s="12">
        <v>5</v>
      </c>
      <c r="H10" s="8">
        <v>2.48</v>
      </c>
      <c r="I10" s="12">
        <v>0</v>
      </c>
    </row>
    <row r="11" spans="2:9" ht="15" customHeight="1" x14ac:dyDescent="0.2">
      <c r="B11" t="s">
        <v>51</v>
      </c>
      <c r="C11" s="12">
        <v>162</v>
      </c>
      <c r="D11" s="8">
        <v>24.18</v>
      </c>
      <c r="E11" s="12">
        <v>101</v>
      </c>
      <c r="F11" s="8">
        <v>22.35</v>
      </c>
      <c r="G11" s="12">
        <v>61</v>
      </c>
      <c r="H11" s="8">
        <v>30.2</v>
      </c>
      <c r="I11" s="12">
        <v>0</v>
      </c>
    </row>
    <row r="12" spans="2:9" ht="15" customHeight="1" x14ac:dyDescent="0.2">
      <c r="B12" t="s">
        <v>52</v>
      </c>
      <c r="C12" s="12">
        <v>3</v>
      </c>
      <c r="D12" s="8">
        <v>0.45</v>
      </c>
      <c r="E12" s="12">
        <v>1</v>
      </c>
      <c r="F12" s="8">
        <v>0.22</v>
      </c>
      <c r="G12" s="12">
        <v>2</v>
      </c>
      <c r="H12" s="8">
        <v>0.99</v>
      </c>
      <c r="I12" s="12">
        <v>0</v>
      </c>
    </row>
    <row r="13" spans="2:9" ht="15" customHeight="1" x14ac:dyDescent="0.2">
      <c r="B13" t="s">
        <v>53</v>
      </c>
      <c r="C13" s="12">
        <v>49</v>
      </c>
      <c r="D13" s="8">
        <v>7.31</v>
      </c>
      <c r="E13" s="12">
        <v>27</v>
      </c>
      <c r="F13" s="8">
        <v>5.97</v>
      </c>
      <c r="G13" s="12">
        <v>22</v>
      </c>
      <c r="H13" s="8">
        <v>10.89</v>
      </c>
      <c r="I13" s="12">
        <v>0</v>
      </c>
    </row>
    <row r="14" spans="2:9" ht="15" customHeight="1" x14ac:dyDescent="0.2">
      <c r="B14" t="s">
        <v>54</v>
      </c>
      <c r="C14" s="12">
        <v>28</v>
      </c>
      <c r="D14" s="8">
        <v>4.18</v>
      </c>
      <c r="E14" s="12">
        <v>22</v>
      </c>
      <c r="F14" s="8">
        <v>4.87</v>
      </c>
      <c r="G14" s="12">
        <v>6</v>
      </c>
      <c r="H14" s="8">
        <v>2.97</v>
      </c>
      <c r="I14" s="12">
        <v>0</v>
      </c>
    </row>
    <row r="15" spans="2:9" ht="15" customHeight="1" x14ac:dyDescent="0.2">
      <c r="B15" t="s">
        <v>55</v>
      </c>
      <c r="C15" s="12">
        <v>85</v>
      </c>
      <c r="D15" s="8">
        <v>12.69</v>
      </c>
      <c r="E15" s="12">
        <v>74</v>
      </c>
      <c r="F15" s="8">
        <v>16.37</v>
      </c>
      <c r="G15" s="12">
        <v>11</v>
      </c>
      <c r="H15" s="8">
        <v>5.45</v>
      </c>
      <c r="I15" s="12">
        <v>0</v>
      </c>
    </row>
    <row r="16" spans="2:9" ht="15" customHeight="1" x14ac:dyDescent="0.2">
      <c r="B16" t="s">
        <v>56</v>
      </c>
      <c r="C16" s="12">
        <v>126</v>
      </c>
      <c r="D16" s="8">
        <v>18.809999999999999</v>
      </c>
      <c r="E16" s="12">
        <v>106</v>
      </c>
      <c r="F16" s="8">
        <v>23.45</v>
      </c>
      <c r="G16" s="12">
        <v>16</v>
      </c>
      <c r="H16" s="8">
        <v>7.92</v>
      </c>
      <c r="I16" s="12">
        <v>0</v>
      </c>
    </row>
    <row r="17" spans="2:9" ht="15" customHeight="1" x14ac:dyDescent="0.2">
      <c r="B17" t="s">
        <v>57</v>
      </c>
      <c r="C17" s="12">
        <v>37</v>
      </c>
      <c r="D17" s="8">
        <v>5.52</v>
      </c>
      <c r="E17" s="12">
        <v>28</v>
      </c>
      <c r="F17" s="8">
        <v>6.19</v>
      </c>
      <c r="G17" s="12">
        <v>7</v>
      </c>
      <c r="H17" s="8">
        <v>3.47</v>
      </c>
      <c r="I17" s="12">
        <v>0</v>
      </c>
    </row>
    <row r="18" spans="2:9" ht="15" customHeight="1" x14ac:dyDescent="0.2">
      <c r="B18" t="s">
        <v>58</v>
      </c>
      <c r="C18" s="12">
        <v>31</v>
      </c>
      <c r="D18" s="8">
        <v>4.63</v>
      </c>
      <c r="E18" s="12">
        <v>18</v>
      </c>
      <c r="F18" s="8">
        <v>3.98</v>
      </c>
      <c r="G18" s="12">
        <v>8</v>
      </c>
      <c r="H18" s="8">
        <v>3.96</v>
      </c>
      <c r="I18" s="12">
        <v>0</v>
      </c>
    </row>
    <row r="19" spans="2:9" ht="15" customHeight="1" x14ac:dyDescent="0.2">
      <c r="B19" t="s">
        <v>59</v>
      </c>
      <c r="C19" s="12">
        <v>19</v>
      </c>
      <c r="D19" s="8">
        <v>2.84</v>
      </c>
      <c r="E19" s="12">
        <v>9</v>
      </c>
      <c r="F19" s="8">
        <v>1.99</v>
      </c>
      <c r="G19" s="12">
        <v>7</v>
      </c>
      <c r="H19" s="8">
        <v>3.47</v>
      </c>
      <c r="I19" s="12">
        <v>0</v>
      </c>
    </row>
    <row r="20" spans="2:9" ht="15" customHeight="1" x14ac:dyDescent="0.2">
      <c r="B20" s="9" t="s">
        <v>195</v>
      </c>
      <c r="C20" s="12">
        <f>SUM(LTBL_08214[総数／事業所数])</f>
        <v>670</v>
      </c>
      <c r="E20" s="12">
        <f>SUBTOTAL(109,LTBL_08214[個人／事業所数])</f>
        <v>452</v>
      </c>
      <c r="G20" s="12">
        <f>SUBTOTAL(109,LTBL_08214[法人／事業所数])</f>
        <v>202</v>
      </c>
      <c r="I20" s="12">
        <f>SUBTOTAL(109,LTBL_08214[法人以外の団体／事業所数])</f>
        <v>0</v>
      </c>
    </row>
    <row r="21" spans="2:9" ht="15" customHeight="1" x14ac:dyDescent="0.2">
      <c r="E21" s="11">
        <f>LTBL_08214[[#Totals],[個人／事業所数]]/LTBL_08214[[#Totals],[総数／事業所数]]</f>
        <v>0.67462686567164176</v>
      </c>
      <c r="G21" s="11">
        <f>LTBL_08214[[#Totals],[法人／事業所数]]/LTBL_08214[[#Totals],[総数／事業所数]]</f>
        <v>0.30149253731343284</v>
      </c>
      <c r="I21" s="11">
        <f>LTBL_08214[[#Totals],[法人以外の団体／事業所数]]/LTBL_08214[[#Totals],[総数／事業所数]]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105</v>
      </c>
      <c r="D24" s="8">
        <v>15.67</v>
      </c>
      <c r="E24" s="12">
        <v>98</v>
      </c>
      <c r="F24" s="8">
        <v>21.68</v>
      </c>
      <c r="G24" s="12">
        <v>7</v>
      </c>
      <c r="H24" s="8">
        <v>3.47</v>
      </c>
      <c r="I24" s="12">
        <v>0</v>
      </c>
    </row>
    <row r="25" spans="2:9" ht="15" customHeight="1" x14ac:dyDescent="0.2">
      <c r="B25" t="s">
        <v>82</v>
      </c>
      <c r="C25" s="12">
        <v>72</v>
      </c>
      <c r="D25" s="8">
        <v>10.75</v>
      </c>
      <c r="E25" s="12">
        <v>68</v>
      </c>
      <c r="F25" s="8">
        <v>15.04</v>
      </c>
      <c r="G25" s="12">
        <v>4</v>
      </c>
      <c r="H25" s="8">
        <v>1.98</v>
      </c>
      <c r="I25" s="12">
        <v>0</v>
      </c>
    </row>
    <row r="26" spans="2:9" ht="15" customHeight="1" x14ac:dyDescent="0.2">
      <c r="B26" t="s">
        <v>77</v>
      </c>
      <c r="C26" s="12">
        <v>60</v>
      </c>
      <c r="D26" s="8">
        <v>8.9600000000000009</v>
      </c>
      <c r="E26" s="12">
        <v>38</v>
      </c>
      <c r="F26" s="8">
        <v>8.41</v>
      </c>
      <c r="G26" s="12">
        <v>22</v>
      </c>
      <c r="H26" s="8">
        <v>10.89</v>
      </c>
      <c r="I26" s="12">
        <v>0</v>
      </c>
    </row>
    <row r="27" spans="2:9" ht="15" customHeight="1" x14ac:dyDescent="0.2">
      <c r="B27" t="s">
        <v>68</v>
      </c>
      <c r="C27" s="12">
        <v>41</v>
      </c>
      <c r="D27" s="8">
        <v>6.12</v>
      </c>
      <c r="E27" s="12">
        <v>20</v>
      </c>
      <c r="F27" s="8">
        <v>4.42</v>
      </c>
      <c r="G27" s="12">
        <v>21</v>
      </c>
      <c r="H27" s="8">
        <v>10.4</v>
      </c>
      <c r="I27" s="12">
        <v>0</v>
      </c>
    </row>
    <row r="28" spans="2:9" ht="15" customHeight="1" x14ac:dyDescent="0.2">
      <c r="B28" t="s">
        <v>79</v>
      </c>
      <c r="C28" s="12">
        <v>41</v>
      </c>
      <c r="D28" s="8">
        <v>6.12</v>
      </c>
      <c r="E28" s="12">
        <v>25</v>
      </c>
      <c r="F28" s="8">
        <v>5.53</v>
      </c>
      <c r="G28" s="12">
        <v>16</v>
      </c>
      <c r="H28" s="8">
        <v>7.92</v>
      </c>
      <c r="I28" s="12">
        <v>0</v>
      </c>
    </row>
    <row r="29" spans="2:9" ht="15" customHeight="1" x14ac:dyDescent="0.2">
      <c r="B29" t="s">
        <v>75</v>
      </c>
      <c r="C29" s="12">
        <v>40</v>
      </c>
      <c r="D29" s="8">
        <v>5.97</v>
      </c>
      <c r="E29" s="12">
        <v>31</v>
      </c>
      <c r="F29" s="8">
        <v>6.86</v>
      </c>
      <c r="G29" s="12">
        <v>9</v>
      </c>
      <c r="H29" s="8">
        <v>4.46</v>
      </c>
      <c r="I29" s="12">
        <v>0</v>
      </c>
    </row>
    <row r="30" spans="2:9" ht="15" customHeight="1" x14ac:dyDescent="0.2">
      <c r="B30" t="s">
        <v>85</v>
      </c>
      <c r="C30" s="12">
        <v>37</v>
      </c>
      <c r="D30" s="8">
        <v>5.52</v>
      </c>
      <c r="E30" s="12">
        <v>28</v>
      </c>
      <c r="F30" s="8">
        <v>6.19</v>
      </c>
      <c r="G30" s="12">
        <v>7</v>
      </c>
      <c r="H30" s="8">
        <v>3.47</v>
      </c>
      <c r="I30" s="12">
        <v>0</v>
      </c>
    </row>
    <row r="31" spans="2:9" ht="15" customHeight="1" x14ac:dyDescent="0.2">
      <c r="B31" t="s">
        <v>69</v>
      </c>
      <c r="C31" s="12">
        <v>26</v>
      </c>
      <c r="D31" s="8">
        <v>3.88</v>
      </c>
      <c r="E31" s="12">
        <v>19</v>
      </c>
      <c r="F31" s="8">
        <v>4.2</v>
      </c>
      <c r="G31" s="12">
        <v>7</v>
      </c>
      <c r="H31" s="8">
        <v>3.47</v>
      </c>
      <c r="I31" s="12">
        <v>0</v>
      </c>
    </row>
    <row r="32" spans="2:9" ht="15" customHeight="1" x14ac:dyDescent="0.2">
      <c r="B32" t="s">
        <v>70</v>
      </c>
      <c r="C32" s="12">
        <v>22</v>
      </c>
      <c r="D32" s="8">
        <v>3.28</v>
      </c>
      <c r="E32" s="12">
        <v>9</v>
      </c>
      <c r="F32" s="8">
        <v>1.99</v>
      </c>
      <c r="G32" s="12">
        <v>13</v>
      </c>
      <c r="H32" s="8">
        <v>6.44</v>
      </c>
      <c r="I32" s="12">
        <v>0</v>
      </c>
    </row>
    <row r="33" spans="2:9" ht="15" customHeight="1" x14ac:dyDescent="0.2">
      <c r="B33" t="s">
        <v>76</v>
      </c>
      <c r="C33" s="12">
        <v>21</v>
      </c>
      <c r="D33" s="8">
        <v>3.13</v>
      </c>
      <c r="E33" s="12">
        <v>15</v>
      </c>
      <c r="F33" s="8">
        <v>3.32</v>
      </c>
      <c r="G33" s="12">
        <v>6</v>
      </c>
      <c r="H33" s="8">
        <v>2.97</v>
      </c>
      <c r="I33" s="12">
        <v>0</v>
      </c>
    </row>
    <row r="34" spans="2:9" ht="15" customHeight="1" x14ac:dyDescent="0.2">
      <c r="B34" t="s">
        <v>86</v>
      </c>
      <c r="C34" s="12">
        <v>19</v>
      </c>
      <c r="D34" s="8">
        <v>2.84</v>
      </c>
      <c r="E34" s="12">
        <v>18</v>
      </c>
      <c r="F34" s="8">
        <v>3.98</v>
      </c>
      <c r="G34" s="12">
        <v>1</v>
      </c>
      <c r="H34" s="8">
        <v>0.5</v>
      </c>
      <c r="I34" s="12">
        <v>0</v>
      </c>
    </row>
    <row r="35" spans="2:9" ht="15" customHeight="1" x14ac:dyDescent="0.2">
      <c r="B35" t="s">
        <v>74</v>
      </c>
      <c r="C35" s="12">
        <v>18</v>
      </c>
      <c r="D35" s="8">
        <v>2.69</v>
      </c>
      <c r="E35" s="12">
        <v>9</v>
      </c>
      <c r="F35" s="8">
        <v>1.99</v>
      </c>
      <c r="G35" s="12">
        <v>9</v>
      </c>
      <c r="H35" s="8">
        <v>4.46</v>
      </c>
      <c r="I35" s="12">
        <v>0</v>
      </c>
    </row>
    <row r="36" spans="2:9" ht="15" customHeight="1" x14ac:dyDescent="0.2">
      <c r="B36" t="s">
        <v>81</v>
      </c>
      <c r="C36" s="12">
        <v>15</v>
      </c>
      <c r="D36" s="8">
        <v>2.2400000000000002</v>
      </c>
      <c r="E36" s="12">
        <v>10</v>
      </c>
      <c r="F36" s="8">
        <v>2.21</v>
      </c>
      <c r="G36" s="12">
        <v>5</v>
      </c>
      <c r="H36" s="8">
        <v>2.48</v>
      </c>
      <c r="I36" s="12">
        <v>0</v>
      </c>
    </row>
    <row r="37" spans="2:9" ht="15" customHeight="1" x14ac:dyDescent="0.2">
      <c r="B37" t="s">
        <v>84</v>
      </c>
      <c r="C37" s="12">
        <v>14</v>
      </c>
      <c r="D37" s="8">
        <v>2.09</v>
      </c>
      <c r="E37" s="12">
        <v>7</v>
      </c>
      <c r="F37" s="8">
        <v>1.55</v>
      </c>
      <c r="G37" s="12">
        <v>7</v>
      </c>
      <c r="H37" s="8">
        <v>3.47</v>
      </c>
      <c r="I37" s="12">
        <v>0</v>
      </c>
    </row>
    <row r="38" spans="2:9" ht="15" customHeight="1" x14ac:dyDescent="0.2">
      <c r="B38" t="s">
        <v>80</v>
      </c>
      <c r="C38" s="12">
        <v>12</v>
      </c>
      <c r="D38" s="8">
        <v>1.79</v>
      </c>
      <c r="E38" s="12">
        <v>12</v>
      </c>
      <c r="F38" s="8">
        <v>2.65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96</v>
      </c>
      <c r="C39" s="12">
        <v>12</v>
      </c>
      <c r="D39" s="8">
        <v>1.79</v>
      </c>
      <c r="E39" s="12">
        <v>0</v>
      </c>
      <c r="F39" s="8">
        <v>0</v>
      </c>
      <c r="G39" s="12">
        <v>7</v>
      </c>
      <c r="H39" s="8">
        <v>3.47</v>
      </c>
      <c r="I39" s="12">
        <v>0</v>
      </c>
    </row>
    <row r="40" spans="2:9" ht="15" customHeight="1" x14ac:dyDescent="0.2">
      <c r="B40" t="s">
        <v>72</v>
      </c>
      <c r="C40" s="12">
        <v>8</v>
      </c>
      <c r="D40" s="8">
        <v>1.19</v>
      </c>
      <c r="E40" s="12">
        <v>2</v>
      </c>
      <c r="F40" s="8">
        <v>0.44</v>
      </c>
      <c r="G40" s="12">
        <v>6</v>
      </c>
      <c r="H40" s="8">
        <v>2.97</v>
      </c>
      <c r="I40" s="12">
        <v>0</v>
      </c>
    </row>
    <row r="41" spans="2:9" ht="15" customHeight="1" x14ac:dyDescent="0.2">
      <c r="B41" t="s">
        <v>87</v>
      </c>
      <c r="C41" s="12">
        <v>8</v>
      </c>
      <c r="D41" s="8">
        <v>1.19</v>
      </c>
      <c r="E41" s="12">
        <v>7</v>
      </c>
      <c r="F41" s="8">
        <v>1.55</v>
      </c>
      <c r="G41" s="12">
        <v>1</v>
      </c>
      <c r="H41" s="8">
        <v>0.5</v>
      </c>
      <c r="I41" s="12">
        <v>0</v>
      </c>
    </row>
    <row r="42" spans="2:9" ht="15" customHeight="1" x14ac:dyDescent="0.2">
      <c r="B42" t="s">
        <v>99</v>
      </c>
      <c r="C42" s="12">
        <v>7</v>
      </c>
      <c r="D42" s="8">
        <v>1.04</v>
      </c>
      <c r="E42" s="12">
        <v>4</v>
      </c>
      <c r="F42" s="8">
        <v>0.88</v>
      </c>
      <c r="G42" s="12">
        <v>3</v>
      </c>
      <c r="H42" s="8">
        <v>1.49</v>
      </c>
      <c r="I42" s="12">
        <v>0</v>
      </c>
    </row>
    <row r="43" spans="2:9" ht="15" customHeight="1" x14ac:dyDescent="0.2">
      <c r="B43" t="s">
        <v>100</v>
      </c>
      <c r="C43" s="12">
        <v>7</v>
      </c>
      <c r="D43" s="8">
        <v>1.04</v>
      </c>
      <c r="E43" s="12">
        <v>1</v>
      </c>
      <c r="F43" s="8">
        <v>0.22</v>
      </c>
      <c r="G43" s="12">
        <v>2</v>
      </c>
      <c r="H43" s="8">
        <v>0.99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54</v>
      </c>
      <c r="D47" s="8">
        <v>8.06</v>
      </c>
      <c r="E47" s="12">
        <v>51</v>
      </c>
      <c r="F47" s="8">
        <v>11.28</v>
      </c>
      <c r="G47" s="12">
        <v>3</v>
      </c>
      <c r="H47" s="8">
        <v>1.49</v>
      </c>
      <c r="I47" s="12">
        <v>0</v>
      </c>
    </row>
    <row r="48" spans="2:9" ht="15" customHeight="1" x14ac:dyDescent="0.2">
      <c r="B48" t="s">
        <v>133</v>
      </c>
      <c r="C48" s="12">
        <v>37</v>
      </c>
      <c r="D48" s="8">
        <v>5.52</v>
      </c>
      <c r="E48" s="12">
        <v>36</v>
      </c>
      <c r="F48" s="8">
        <v>7.96</v>
      </c>
      <c r="G48" s="12">
        <v>1</v>
      </c>
      <c r="H48" s="8">
        <v>0.5</v>
      </c>
      <c r="I48" s="12">
        <v>0</v>
      </c>
    </row>
    <row r="49" spans="2:9" ht="15" customHeight="1" x14ac:dyDescent="0.2">
      <c r="B49" t="s">
        <v>129</v>
      </c>
      <c r="C49" s="12">
        <v>32</v>
      </c>
      <c r="D49" s="8">
        <v>4.78</v>
      </c>
      <c r="E49" s="12">
        <v>22</v>
      </c>
      <c r="F49" s="8">
        <v>4.87</v>
      </c>
      <c r="G49" s="12">
        <v>10</v>
      </c>
      <c r="H49" s="8">
        <v>4.95</v>
      </c>
      <c r="I49" s="12">
        <v>0</v>
      </c>
    </row>
    <row r="50" spans="2:9" ht="15" customHeight="1" x14ac:dyDescent="0.2">
      <c r="B50" t="s">
        <v>135</v>
      </c>
      <c r="C50" s="12">
        <v>25</v>
      </c>
      <c r="D50" s="8">
        <v>3.73</v>
      </c>
      <c r="E50" s="12">
        <v>22</v>
      </c>
      <c r="F50" s="8">
        <v>4.87</v>
      </c>
      <c r="G50" s="12">
        <v>3</v>
      </c>
      <c r="H50" s="8">
        <v>1.49</v>
      </c>
      <c r="I50" s="12">
        <v>0</v>
      </c>
    </row>
    <row r="51" spans="2:9" ht="15" customHeight="1" x14ac:dyDescent="0.2">
      <c r="B51" t="s">
        <v>127</v>
      </c>
      <c r="C51" s="12">
        <v>21</v>
      </c>
      <c r="D51" s="8">
        <v>3.13</v>
      </c>
      <c r="E51" s="12">
        <v>18</v>
      </c>
      <c r="F51" s="8">
        <v>3.98</v>
      </c>
      <c r="G51" s="12">
        <v>3</v>
      </c>
      <c r="H51" s="8">
        <v>1.49</v>
      </c>
      <c r="I51" s="12">
        <v>0</v>
      </c>
    </row>
    <row r="52" spans="2:9" ht="15" customHeight="1" x14ac:dyDescent="0.2">
      <c r="B52" t="s">
        <v>132</v>
      </c>
      <c r="C52" s="12">
        <v>20</v>
      </c>
      <c r="D52" s="8">
        <v>2.99</v>
      </c>
      <c r="E52" s="12">
        <v>19</v>
      </c>
      <c r="F52" s="8">
        <v>4.2</v>
      </c>
      <c r="G52" s="12">
        <v>1</v>
      </c>
      <c r="H52" s="8">
        <v>0.5</v>
      </c>
      <c r="I52" s="12">
        <v>0</v>
      </c>
    </row>
    <row r="53" spans="2:9" ht="15" customHeight="1" x14ac:dyDescent="0.2">
      <c r="B53" t="s">
        <v>138</v>
      </c>
      <c r="C53" s="12">
        <v>20</v>
      </c>
      <c r="D53" s="8">
        <v>2.99</v>
      </c>
      <c r="E53" s="12">
        <v>20</v>
      </c>
      <c r="F53" s="8">
        <v>4.42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131</v>
      </c>
      <c r="C54" s="12">
        <v>18</v>
      </c>
      <c r="D54" s="8">
        <v>2.69</v>
      </c>
      <c r="E54" s="12">
        <v>17</v>
      </c>
      <c r="F54" s="8">
        <v>3.76</v>
      </c>
      <c r="G54" s="12">
        <v>1</v>
      </c>
      <c r="H54" s="8">
        <v>0.5</v>
      </c>
      <c r="I54" s="12">
        <v>0</v>
      </c>
    </row>
    <row r="55" spans="2:9" ht="15" customHeight="1" x14ac:dyDescent="0.2">
      <c r="B55" t="s">
        <v>120</v>
      </c>
      <c r="C55" s="12">
        <v>14</v>
      </c>
      <c r="D55" s="8">
        <v>2.09</v>
      </c>
      <c r="E55" s="12">
        <v>11</v>
      </c>
      <c r="F55" s="8">
        <v>2.4300000000000002</v>
      </c>
      <c r="G55" s="12">
        <v>3</v>
      </c>
      <c r="H55" s="8">
        <v>1.49</v>
      </c>
      <c r="I55" s="12">
        <v>0</v>
      </c>
    </row>
    <row r="56" spans="2:9" ht="15" customHeight="1" x14ac:dyDescent="0.2">
      <c r="B56" t="s">
        <v>124</v>
      </c>
      <c r="C56" s="12">
        <v>14</v>
      </c>
      <c r="D56" s="8">
        <v>2.09</v>
      </c>
      <c r="E56" s="12">
        <v>9</v>
      </c>
      <c r="F56" s="8">
        <v>1.99</v>
      </c>
      <c r="G56" s="12">
        <v>5</v>
      </c>
      <c r="H56" s="8">
        <v>2.48</v>
      </c>
      <c r="I56" s="12">
        <v>0</v>
      </c>
    </row>
    <row r="57" spans="2:9" ht="15" customHeight="1" x14ac:dyDescent="0.2">
      <c r="B57" t="s">
        <v>118</v>
      </c>
      <c r="C57" s="12">
        <v>13</v>
      </c>
      <c r="D57" s="8">
        <v>1.94</v>
      </c>
      <c r="E57" s="12">
        <v>2</v>
      </c>
      <c r="F57" s="8">
        <v>0.44</v>
      </c>
      <c r="G57" s="12">
        <v>11</v>
      </c>
      <c r="H57" s="8">
        <v>5.45</v>
      </c>
      <c r="I57" s="12">
        <v>0</v>
      </c>
    </row>
    <row r="58" spans="2:9" ht="15" customHeight="1" x14ac:dyDescent="0.2">
      <c r="B58" t="s">
        <v>122</v>
      </c>
      <c r="C58" s="12">
        <v>11</v>
      </c>
      <c r="D58" s="8">
        <v>1.64</v>
      </c>
      <c r="E58" s="12">
        <v>2</v>
      </c>
      <c r="F58" s="8">
        <v>0.44</v>
      </c>
      <c r="G58" s="12">
        <v>9</v>
      </c>
      <c r="H58" s="8">
        <v>4.46</v>
      </c>
      <c r="I58" s="12">
        <v>0</v>
      </c>
    </row>
    <row r="59" spans="2:9" ht="15" customHeight="1" x14ac:dyDescent="0.2">
      <c r="B59" t="s">
        <v>123</v>
      </c>
      <c r="C59" s="12">
        <v>11</v>
      </c>
      <c r="D59" s="8">
        <v>1.64</v>
      </c>
      <c r="E59" s="12">
        <v>6</v>
      </c>
      <c r="F59" s="8">
        <v>1.33</v>
      </c>
      <c r="G59" s="12">
        <v>5</v>
      </c>
      <c r="H59" s="8">
        <v>2.48</v>
      </c>
      <c r="I59" s="12">
        <v>0</v>
      </c>
    </row>
    <row r="60" spans="2:9" ht="15" customHeight="1" x14ac:dyDescent="0.2">
      <c r="B60" t="s">
        <v>126</v>
      </c>
      <c r="C60" s="12">
        <v>11</v>
      </c>
      <c r="D60" s="8">
        <v>1.64</v>
      </c>
      <c r="E60" s="12">
        <v>3</v>
      </c>
      <c r="F60" s="8">
        <v>0.66</v>
      </c>
      <c r="G60" s="12">
        <v>8</v>
      </c>
      <c r="H60" s="8">
        <v>3.96</v>
      </c>
      <c r="I60" s="12">
        <v>0</v>
      </c>
    </row>
    <row r="61" spans="2:9" ht="15" customHeight="1" x14ac:dyDescent="0.2">
      <c r="B61" t="s">
        <v>136</v>
      </c>
      <c r="C61" s="12">
        <v>11</v>
      </c>
      <c r="D61" s="8">
        <v>1.64</v>
      </c>
      <c r="E61" s="12">
        <v>11</v>
      </c>
      <c r="F61" s="8">
        <v>2.4300000000000002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119</v>
      </c>
      <c r="C62" s="12">
        <v>10</v>
      </c>
      <c r="D62" s="8">
        <v>1.49</v>
      </c>
      <c r="E62" s="12">
        <v>4</v>
      </c>
      <c r="F62" s="8">
        <v>0.88</v>
      </c>
      <c r="G62" s="12">
        <v>6</v>
      </c>
      <c r="H62" s="8">
        <v>2.97</v>
      </c>
      <c r="I62" s="12">
        <v>0</v>
      </c>
    </row>
    <row r="63" spans="2:9" ht="15" customHeight="1" x14ac:dyDescent="0.2">
      <c r="B63" t="s">
        <v>157</v>
      </c>
      <c r="C63" s="12">
        <v>10</v>
      </c>
      <c r="D63" s="8">
        <v>1.49</v>
      </c>
      <c r="E63" s="12">
        <v>8</v>
      </c>
      <c r="F63" s="8">
        <v>1.77</v>
      </c>
      <c r="G63" s="12">
        <v>2</v>
      </c>
      <c r="H63" s="8">
        <v>0.99</v>
      </c>
      <c r="I63" s="12">
        <v>0</v>
      </c>
    </row>
    <row r="64" spans="2:9" ht="15" customHeight="1" x14ac:dyDescent="0.2">
      <c r="B64" t="s">
        <v>125</v>
      </c>
      <c r="C64" s="12">
        <v>10</v>
      </c>
      <c r="D64" s="8">
        <v>1.49</v>
      </c>
      <c r="E64" s="12">
        <v>7</v>
      </c>
      <c r="F64" s="8">
        <v>1.55</v>
      </c>
      <c r="G64" s="12">
        <v>3</v>
      </c>
      <c r="H64" s="8">
        <v>1.49</v>
      </c>
      <c r="I64" s="12">
        <v>0</v>
      </c>
    </row>
    <row r="65" spans="2:9" ht="15" customHeight="1" x14ac:dyDescent="0.2">
      <c r="B65" t="s">
        <v>130</v>
      </c>
      <c r="C65" s="12">
        <v>10</v>
      </c>
      <c r="D65" s="8">
        <v>1.49</v>
      </c>
      <c r="E65" s="12">
        <v>7</v>
      </c>
      <c r="F65" s="8">
        <v>1.55</v>
      </c>
      <c r="G65" s="12">
        <v>3</v>
      </c>
      <c r="H65" s="8">
        <v>1.49</v>
      </c>
      <c r="I65" s="12">
        <v>0</v>
      </c>
    </row>
    <row r="66" spans="2:9" ht="15" customHeight="1" x14ac:dyDescent="0.2">
      <c r="B66" t="s">
        <v>121</v>
      </c>
      <c r="C66" s="12">
        <v>9</v>
      </c>
      <c r="D66" s="8">
        <v>1.34</v>
      </c>
      <c r="E66" s="12">
        <v>6</v>
      </c>
      <c r="F66" s="8">
        <v>1.33</v>
      </c>
      <c r="G66" s="12">
        <v>3</v>
      </c>
      <c r="H66" s="8">
        <v>1.49</v>
      </c>
      <c r="I66" s="12">
        <v>0</v>
      </c>
    </row>
    <row r="67" spans="2:9" ht="15" customHeight="1" x14ac:dyDescent="0.2">
      <c r="B67" t="s">
        <v>139</v>
      </c>
      <c r="C67" s="12">
        <v>9</v>
      </c>
      <c r="D67" s="8">
        <v>1.34</v>
      </c>
      <c r="E67" s="12">
        <v>6</v>
      </c>
      <c r="F67" s="8">
        <v>1.33</v>
      </c>
      <c r="G67" s="12">
        <v>3</v>
      </c>
      <c r="H67" s="8">
        <v>1.49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08CC-06B2-473C-BD0B-C597A04B2A6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161</v>
      </c>
      <c r="D6" s="8">
        <v>17.239999999999998</v>
      </c>
      <c r="E6" s="12">
        <v>76</v>
      </c>
      <c r="F6" s="8">
        <v>13.33</v>
      </c>
      <c r="G6" s="12">
        <v>85</v>
      </c>
      <c r="H6" s="8">
        <v>24.71</v>
      </c>
      <c r="I6" s="12">
        <v>0</v>
      </c>
    </row>
    <row r="7" spans="2:9" ht="15" customHeight="1" x14ac:dyDescent="0.2">
      <c r="B7" t="s">
        <v>47</v>
      </c>
      <c r="C7" s="12">
        <v>114</v>
      </c>
      <c r="D7" s="8">
        <v>12.21</v>
      </c>
      <c r="E7" s="12">
        <v>56</v>
      </c>
      <c r="F7" s="8">
        <v>9.82</v>
      </c>
      <c r="G7" s="12">
        <v>58</v>
      </c>
      <c r="H7" s="8">
        <v>16.86</v>
      </c>
      <c r="I7" s="12">
        <v>0</v>
      </c>
    </row>
    <row r="8" spans="2:9" ht="15" customHeight="1" x14ac:dyDescent="0.2">
      <c r="B8" t="s">
        <v>48</v>
      </c>
      <c r="C8" s="12">
        <v>5</v>
      </c>
      <c r="D8" s="8">
        <v>0.54</v>
      </c>
      <c r="E8" s="12">
        <v>0</v>
      </c>
      <c r="F8" s="8">
        <v>0</v>
      </c>
      <c r="G8" s="12">
        <v>2</v>
      </c>
      <c r="H8" s="8">
        <v>0.57999999999999996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0.32</v>
      </c>
      <c r="E9" s="12">
        <v>0</v>
      </c>
      <c r="F9" s="8">
        <v>0</v>
      </c>
      <c r="G9" s="12">
        <v>3</v>
      </c>
      <c r="H9" s="8">
        <v>0.87</v>
      </c>
      <c r="I9" s="12">
        <v>0</v>
      </c>
    </row>
    <row r="10" spans="2:9" ht="15" customHeight="1" x14ac:dyDescent="0.2">
      <c r="B10" t="s">
        <v>50</v>
      </c>
      <c r="C10" s="12">
        <v>13</v>
      </c>
      <c r="D10" s="8">
        <v>1.39</v>
      </c>
      <c r="E10" s="12">
        <v>2</v>
      </c>
      <c r="F10" s="8">
        <v>0.35</v>
      </c>
      <c r="G10" s="12">
        <v>11</v>
      </c>
      <c r="H10" s="8">
        <v>3.2</v>
      </c>
      <c r="I10" s="12">
        <v>0</v>
      </c>
    </row>
    <row r="11" spans="2:9" ht="15" customHeight="1" x14ac:dyDescent="0.2">
      <c r="B11" t="s">
        <v>51</v>
      </c>
      <c r="C11" s="12">
        <v>219</v>
      </c>
      <c r="D11" s="8">
        <v>23.45</v>
      </c>
      <c r="E11" s="12">
        <v>136</v>
      </c>
      <c r="F11" s="8">
        <v>23.86</v>
      </c>
      <c r="G11" s="12">
        <v>83</v>
      </c>
      <c r="H11" s="8">
        <v>24.13</v>
      </c>
      <c r="I11" s="12">
        <v>0</v>
      </c>
    </row>
    <row r="12" spans="2:9" ht="15" customHeight="1" x14ac:dyDescent="0.2">
      <c r="B12" t="s">
        <v>52</v>
      </c>
      <c r="C12" s="12">
        <v>6</v>
      </c>
      <c r="D12" s="8">
        <v>0.64</v>
      </c>
      <c r="E12" s="12">
        <v>1</v>
      </c>
      <c r="F12" s="8">
        <v>0.18</v>
      </c>
      <c r="G12" s="12">
        <v>5</v>
      </c>
      <c r="H12" s="8">
        <v>1.45</v>
      </c>
      <c r="I12" s="12">
        <v>0</v>
      </c>
    </row>
    <row r="13" spans="2:9" ht="15" customHeight="1" x14ac:dyDescent="0.2">
      <c r="B13" t="s">
        <v>53</v>
      </c>
      <c r="C13" s="12">
        <v>61</v>
      </c>
      <c r="D13" s="8">
        <v>6.53</v>
      </c>
      <c r="E13" s="12">
        <v>36</v>
      </c>
      <c r="F13" s="8">
        <v>6.32</v>
      </c>
      <c r="G13" s="12">
        <v>25</v>
      </c>
      <c r="H13" s="8">
        <v>7.27</v>
      </c>
      <c r="I13" s="12">
        <v>0</v>
      </c>
    </row>
    <row r="14" spans="2:9" ht="15" customHeight="1" x14ac:dyDescent="0.2">
      <c r="B14" t="s">
        <v>54</v>
      </c>
      <c r="C14" s="12">
        <v>34</v>
      </c>
      <c r="D14" s="8">
        <v>3.64</v>
      </c>
      <c r="E14" s="12">
        <v>22</v>
      </c>
      <c r="F14" s="8">
        <v>3.86</v>
      </c>
      <c r="G14" s="12">
        <v>11</v>
      </c>
      <c r="H14" s="8">
        <v>3.2</v>
      </c>
      <c r="I14" s="12">
        <v>0</v>
      </c>
    </row>
    <row r="15" spans="2:9" ht="15" customHeight="1" x14ac:dyDescent="0.2">
      <c r="B15" t="s">
        <v>55</v>
      </c>
      <c r="C15" s="12">
        <v>84</v>
      </c>
      <c r="D15" s="8">
        <v>8.99</v>
      </c>
      <c r="E15" s="12">
        <v>70</v>
      </c>
      <c r="F15" s="8">
        <v>12.28</v>
      </c>
      <c r="G15" s="12">
        <v>14</v>
      </c>
      <c r="H15" s="8">
        <v>4.07</v>
      </c>
      <c r="I15" s="12">
        <v>0</v>
      </c>
    </row>
    <row r="16" spans="2:9" ht="15" customHeight="1" x14ac:dyDescent="0.2">
      <c r="B16" t="s">
        <v>56</v>
      </c>
      <c r="C16" s="12">
        <v>121</v>
      </c>
      <c r="D16" s="8">
        <v>12.96</v>
      </c>
      <c r="E16" s="12">
        <v>104</v>
      </c>
      <c r="F16" s="8">
        <v>18.25</v>
      </c>
      <c r="G16" s="12">
        <v>16</v>
      </c>
      <c r="H16" s="8">
        <v>4.6500000000000004</v>
      </c>
      <c r="I16" s="12">
        <v>0</v>
      </c>
    </row>
    <row r="17" spans="2:9" ht="15" customHeight="1" x14ac:dyDescent="0.2">
      <c r="B17" t="s">
        <v>57</v>
      </c>
      <c r="C17" s="12">
        <v>36</v>
      </c>
      <c r="D17" s="8">
        <v>3.85</v>
      </c>
      <c r="E17" s="12">
        <v>19</v>
      </c>
      <c r="F17" s="8">
        <v>3.33</v>
      </c>
      <c r="G17" s="12">
        <v>6</v>
      </c>
      <c r="H17" s="8">
        <v>1.74</v>
      </c>
      <c r="I17" s="12">
        <v>0</v>
      </c>
    </row>
    <row r="18" spans="2:9" ht="15" customHeight="1" x14ac:dyDescent="0.2">
      <c r="B18" t="s">
        <v>58</v>
      </c>
      <c r="C18" s="12">
        <v>45</v>
      </c>
      <c r="D18" s="8">
        <v>4.82</v>
      </c>
      <c r="E18" s="12">
        <v>26</v>
      </c>
      <c r="F18" s="8">
        <v>4.5599999999999996</v>
      </c>
      <c r="G18" s="12">
        <v>18</v>
      </c>
      <c r="H18" s="8">
        <v>5.23</v>
      </c>
      <c r="I18" s="12">
        <v>0</v>
      </c>
    </row>
    <row r="19" spans="2:9" ht="15" customHeight="1" x14ac:dyDescent="0.2">
      <c r="B19" t="s">
        <v>59</v>
      </c>
      <c r="C19" s="12">
        <v>32</v>
      </c>
      <c r="D19" s="8">
        <v>3.43</v>
      </c>
      <c r="E19" s="12">
        <v>22</v>
      </c>
      <c r="F19" s="8">
        <v>3.86</v>
      </c>
      <c r="G19" s="12">
        <v>7</v>
      </c>
      <c r="H19" s="8">
        <v>2.0299999999999998</v>
      </c>
      <c r="I19" s="12">
        <v>0</v>
      </c>
    </row>
    <row r="20" spans="2:9" ht="15" customHeight="1" x14ac:dyDescent="0.2">
      <c r="B20" s="9" t="s">
        <v>195</v>
      </c>
      <c r="C20" s="12">
        <f>SUM(LTBL_08215[総数／事業所数])</f>
        <v>934</v>
      </c>
      <c r="E20" s="12">
        <f>SUBTOTAL(109,LTBL_08215[個人／事業所数])</f>
        <v>570</v>
      </c>
      <c r="G20" s="12">
        <f>SUBTOTAL(109,LTBL_08215[法人／事業所数])</f>
        <v>344</v>
      </c>
      <c r="I20" s="12">
        <f>SUBTOTAL(109,LTBL_08215[法人以外の団体／事業所数])</f>
        <v>0</v>
      </c>
    </row>
    <row r="21" spans="2:9" ht="15" customHeight="1" x14ac:dyDescent="0.2">
      <c r="E21" s="11">
        <f>LTBL_08215[[#Totals],[個人／事業所数]]/LTBL_08215[[#Totals],[総数／事業所数]]</f>
        <v>0.61027837259100648</v>
      </c>
      <c r="G21" s="11">
        <f>LTBL_08215[[#Totals],[法人／事業所数]]/LTBL_08215[[#Totals],[総数／事業所数]]</f>
        <v>0.3683083511777302</v>
      </c>
      <c r="I21" s="11">
        <f>LTBL_08215[[#Totals],[法人以外の団体／事業所数]]/LTBL_08215[[#Totals],[総数／事業所数]]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106</v>
      </c>
      <c r="D24" s="8">
        <v>11.35</v>
      </c>
      <c r="E24" s="12">
        <v>98</v>
      </c>
      <c r="F24" s="8">
        <v>17.190000000000001</v>
      </c>
      <c r="G24" s="12">
        <v>8</v>
      </c>
      <c r="H24" s="8">
        <v>2.33</v>
      </c>
      <c r="I24" s="12">
        <v>0</v>
      </c>
    </row>
    <row r="25" spans="2:9" ht="15" customHeight="1" x14ac:dyDescent="0.2">
      <c r="B25" t="s">
        <v>68</v>
      </c>
      <c r="C25" s="12">
        <v>73</v>
      </c>
      <c r="D25" s="8">
        <v>7.82</v>
      </c>
      <c r="E25" s="12">
        <v>33</v>
      </c>
      <c r="F25" s="8">
        <v>5.79</v>
      </c>
      <c r="G25" s="12">
        <v>40</v>
      </c>
      <c r="H25" s="8">
        <v>11.63</v>
      </c>
      <c r="I25" s="12">
        <v>0</v>
      </c>
    </row>
    <row r="26" spans="2:9" ht="15" customHeight="1" x14ac:dyDescent="0.2">
      <c r="B26" t="s">
        <v>82</v>
      </c>
      <c r="C26" s="12">
        <v>68</v>
      </c>
      <c r="D26" s="8">
        <v>7.28</v>
      </c>
      <c r="E26" s="12">
        <v>57</v>
      </c>
      <c r="F26" s="8">
        <v>10</v>
      </c>
      <c r="G26" s="12">
        <v>11</v>
      </c>
      <c r="H26" s="8">
        <v>3.2</v>
      </c>
      <c r="I26" s="12">
        <v>0</v>
      </c>
    </row>
    <row r="27" spans="2:9" ht="15" customHeight="1" x14ac:dyDescent="0.2">
      <c r="B27" t="s">
        <v>77</v>
      </c>
      <c r="C27" s="12">
        <v>61</v>
      </c>
      <c r="D27" s="8">
        <v>6.53</v>
      </c>
      <c r="E27" s="12">
        <v>35</v>
      </c>
      <c r="F27" s="8">
        <v>6.14</v>
      </c>
      <c r="G27" s="12">
        <v>26</v>
      </c>
      <c r="H27" s="8">
        <v>7.56</v>
      </c>
      <c r="I27" s="12">
        <v>0</v>
      </c>
    </row>
    <row r="28" spans="2:9" ht="15" customHeight="1" x14ac:dyDescent="0.2">
      <c r="B28" t="s">
        <v>75</v>
      </c>
      <c r="C28" s="12">
        <v>58</v>
      </c>
      <c r="D28" s="8">
        <v>6.21</v>
      </c>
      <c r="E28" s="12">
        <v>46</v>
      </c>
      <c r="F28" s="8">
        <v>8.07</v>
      </c>
      <c r="G28" s="12">
        <v>12</v>
      </c>
      <c r="H28" s="8">
        <v>3.49</v>
      </c>
      <c r="I28" s="12">
        <v>0</v>
      </c>
    </row>
    <row r="29" spans="2:9" ht="15" customHeight="1" x14ac:dyDescent="0.2">
      <c r="B29" t="s">
        <v>79</v>
      </c>
      <c r="C29" s="12">
        <v>50</v>
      </c>
      <c r="D29" s="8">
        <v>5.35</v>
      </c>
      <c r="E29" s="12">
        <v>35</v>
      </c>
      <c r="F29" s="8">
        <v>6.14</v>
      </c>
      <c r="G29" s="12">
        <v>15</v>
      </c>
      <c r="H29" s="8">
        <v>4.3600000000000003</v>
      </c>
      <c r="I29" s="12">
        <v>0</v>
      </c>
    </row>
    <row r="30" spans="2:9" ht="15" customHeight="1" x14ac:dyDescent="0.2">
      <c r="B30" t="s">
        <v>69</v>
      </c>
      <c r="C30" s="12">
        <v>47</v>
      </c>
      <c r="D30" s="8">
        <v>5.03</v>
      </c>
      <c r="E30" s="12">
        <v>30</v>
      </c>
      <c r="F30" s="8">
        <v>5.26</v>
      </c>
      <c r="G30" s="12">
        <v>17</v>
      </c>
      <c r="H30" s="8">
        <v>4.9400000000000004</v>
      </c>
      <c r="I30" s="12">
        <v>0</v>
      </c>
    </row>
    <row r="31" spans="2:9" ht="15" customHeight="1" x14ac:dyDescent="0.2">
      <c r="B31" t="s">
        <v>70</v>
      </c>
      <c r="C31" s="12">
        <v>41</v>
      </c>
      <c r="D31" s="8">
        <v>4.3899999999999997</v>
      </c>
      <c r="E31" s="12">
        <v>13</v>
      </c>
      <c r="F31" s="8">
        <v>2.2799999999999998</v>
      </c>
      <c r="G31" s="12">
        <v>28</v>
      </c>
      <c r="H31" s="8">
        <v>8.14</v>
      </c>
      <c r="I31" s="12">
        <v>0</v>
      </c>
    </row>
    <row r="32" spans="2:9" ht="15" customHeight="1" x14ac:dyDescent="0.2">
      <c r="B32" t="s">
        <v>85</v>
      </c>
      <c r="C32" s="12">
        <v>36</v>
      </c>
      <c r="D32" s="8">
        <v>3.85</v>
      </c>
      <c r="E32" s="12">
        <v>19</v>
      </c>
      <c r="F32" s="8">
        <v>3.33</v>
      </c>
      <c r="G32" s="12">
        <v>6</v>
      </c>
      <c r="H32" s="8">
        <v>1.74</v>
      </c>
      <c r="I32" s="12">
        <v>0</v>
      </c>
    </row>
    <row r="33" spans="2:9" ht="15" customHeight="1" x14ac:dyDescent="0.2">
      <c r="B33" t="s">
        <v>86</v>
      </c>
      <c r="C33" s="12">
        <v>35</v>
      </c>
      <c r="D33" s="8">
        <v>3.75</v>
      </c>
      <c r="E33" s="12">
        <v>26</v>
      </c>
      <c r="F33" s="8">
        <v>4.5599999999999996</v>
      </c>
      <c r="G33" s="12">
        <v>9</v>
      </c>
      <c r="H33" s="8">
        <v>2.62</v>
      </c>
      <c r="I33" s="12">
        <v>0</v>
      </c>
    </row>
    <row r="34" spans="2:9" ht="15" customHeight="1" x14ac:dyDescent="0.2">
      <c r="B34" t="s">
        <v>76</v>
      </c>
      <c r="C34" s="12">
        <v>34</v>
      </c>
      <c r="D34" s="8">
        <v>3.64</v>
      </c>
      <c r="E34" s="12">
        <v>28</v>
      </c>
      <c r="F34" s="8">
        <v>4.91</v>
      </c>
      <c r="G34" s="12">
        <v>6</v>
      </c>
      <c r="H34" s="8">
        <v>1.74</v>
      </c>
      <c r="I34" s="12">
        <v>0</v>
      </c>
    </row>
    <row r="35" spans="2:9" ht="15" customHeight="1" x14ac:dyDescent="0.2">
      <c r="B35" t="s">
        <v>97</v>
      </c>
      <c r="C35" s="12">
        <v>24</v>
      </c>
      <c r="D35" s="8">
        <v>2.57</v>
      </c>
      <c r="E35" s="12">
        <v>15</v>
      </c>
      <c r="F35" s="8">
        <v>2.63</v>
      </c>
      <c r="G35" s="12">
        <v>9</v>
      </c>
      <c r="H35" s="8">
        <v>2.62</v>
      </c>
      <c r="I35" s="12">
        <v>0</v>
      </c>
    </row>
    <row r="36" spans="2:9" ht="15" customHeight="1" x14ac:dyDescent="0.2">
      <c r="B36" t="s">
        <v>74</v>
      </c>
      <c r="C36" s="12">
        <v>22</v>
      </c>
      <c r="D36" s="8">
        <v>2.36</v>
      </c>
      <c r="E36" s="12">
        <v>14</v>
      </c>
      <c r="F36" s="8">
        <v>2.46</v>
      </c>
      <c r="G36" s="12">
        <v>8</v>
      </c>
      <c r="H36" s="8">
        <v>2.33</v>
      </c>
      <c r="I36" s="12">
        <v>0</v>
      </c>
    </row>
    <row r="37" spans="2:9" ht="15" customHeight="1" x14ac:dyDescent="0.2">
      <c r="B37" t="s">
        <v>80</v>
      </c>
      <c r="C37" s="12">
        <v>17</v>
      </c>
      <c r="D37" s="8">
        <v>1.82</v>
      </c>
      <c r="E37" s="12">
        <v>14</v>
      </c>
      <c r="F37" s="8">
        <v>2.46</v>
      </c>
      <c r="G37" s="12">
        <v>3</v>
      </c>
      <c r="H37" s="8">
        <v>0.87</v>
      </c>
      <c r="I37" s="12">
        <v>0</v>
      </c>
    </row>
    <row r="38" spans="2:9" ht="15" customHeight="1" x14ac:dyDescent="0.2">
      <c r="B38" t="s">
        <v>87</v>
      </c>
      <c r="C38" s="12">
        <v>17</v>
      </c>
      <c r="D38" s="8">
        <v>1.82</v>
      </c>
      <c r="E38" s="12">
        <v>16</v>
      </c>
      <c r="F38" s="8">
        <v>2.81</v>
      </c>
      <c r="G38" s="12">
        <v>1</v>
      </c>
      <c r="H38" s="8">
        <v>0.28999999999999998</v>
      </c>
      <c r="I38" s="12">
        <v>0</v>
      </c>
    </row>
    <row r="39" spans="2:9" ht="15" customHeight="1" x14ac:dyDescent="0.2">
      <c r="B39" t="s">
        <v>81</v>
      </c>
      <c r="C39" s="12">
        <v>15</v>
      </c>
      <c r="D39" s="8">
        <v>1.61</v>
      </c>
      <c r="E39" s="12">
        <v>8</v>
      </c>
      <c r="F39" s="8">
        <v>1.4</v>
      </c>
      <c r="G39" s="12">
        <v>6</v>
      </c>
      <c r="H39" s="8">
        <v>1.74</v>
      </c>
      <c r="I39" s="12">
        <v>0</v>
      </c>
    </row>
    <row r="40" spans="2:9" ht="15" customHeight="1" x14ac:dyDescent="0.2">
      <c r="B40" t="s">
        <v>84</v>
      </c>
      <c r="C40" s="12">
        <v>15</v>
      </c>
      <c r="D40" s="8">
        <v>1.61</v>
      </c>
      <c r="E40" s="12">
        <v>6</v>
      </c>
      <c r="F40" s="8">
        <v>1.05</v>
      </c>
      <c r="G40" s="12">
        <v>8</v>
      </c>
      <c r="H40" s="8">
        <v>2.33</v>
      </c>
      <c r="I40" s="12">
        <v>0</v>
      </c>
    </row>
    <row r="41" spans="2:9" ht="15" customHeight="1" x14ac:dyDescent="0.2">
      <c r="B41" t="s">
        <v>72</v>
      </c>
      <c r="C41" s="12">
        <v>14</v>
      </c>
      <c r="D41" s="8">
        <v>1.5</v>
      </c>
      <c r="E41" s="12">
        <v>2</v>
      </c>
      <c r="F41" s="8">
        <v>0.35</v>
      </c>
      <c r="G41" s="12">
        <v>12</v>
      </c>
      <c r="H41" s="8">
        <v>3.49</v>
      </c>
      <c r="I41" s="12">
        <v>0</v>
      </c>
    </row>
    <row r="42" spans="2:9" ht="15" customHeight="1" x14ac:dyDescent="0.2">
      <c r="B42" t="s">
        <v>99</v>
      </c>
      <c r="C42" s="12">
        <v>13</v>
      </c>
      <c r="D42" s="8">
        <v>1.39</v>
      </c>
      <c r="E42" s="12">
        <v>13</v>
      </c>
      <c r="F42" s="8">
        <v>2.2799999999999998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92</v>
      </c>
      <c r="C43" s="12">
        <v>12</v>
      </c>
      <c r="D43" s="8">
        <v>1.28</v>
      </c>
      <c r="E43" s="12">
        <v>2</v>
      </c>
      <c r="F43" s="8">
        <v>0.35</v>
      </c>
      <c r="G43" s="12">
        <v>10</v>
      </c>
      <c r="H43" s="8">
        <v>2.91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49</v>
      </c>
      <c r="D47" s="8">
        <v>5.25</v>
      </c>
      <c r="E47" s="12">
        <v>49</v>
      </c>
      <c r="F47" s="8">
        <v>8.6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133</v>
      </c>
      <c r="C48" s="12">
        <v>45</v>
      </c>
      <c r="D48" s="8">
        <v>4.82</v>
      </c>
      <c r="E48" s="12">
        <v>43</v>
      </c>
      <c r="F48" s="8">
        <v>7.54</v>
      </c>
      <c r="G48" s="12">
        <v>2</v>
      </c>
      <c r="H48" s="8">
        <v>0.57999999999999996</v>
      </c>
      <c r="I48" s="12">
        <v>0</v>
      </c>
    </row>
    <row r="49" spans="2:9" ht="15" customHeight="1" x14ac:dyDescent="0.2">
      <c r="B49" t="s">
        <v>129</v>
      </c>
      <c r="C49" s="12">
        <v>40</v>
      </c>
      <c r="D49" s="8">
        <v>4.28</v>
      </c>
      <c r="E49" s="12">
        <v>31</v>
      </c>
      <c r="F49" s="8">
        <v>5.44</v>
      </c>
      <c r="G49" s="12">
        <v>9</v>
      </c>
      <c r="H49" s="8">
        <v>2.62</v>
      </c>
      <c r="I49" s="12">
        <v>0</v>
      </c>
    </row>
    <row r="50" spans="2:9" ht="15" customHeight="1" x14ac:dyDescent="0.2">
      <c r="B50" t="s">
        <v>118</v>
      </c>
      <c r="C50" s="12">
        <v>29</v>
      </c>
      <c r="D50" s="8">
        <v>3.1</v>
      </c>
      <c r="E50" s="12">
        <v>9</v>
      </c>
      <c r="F50" s="8">
        <v>1.58</v>
      </c>
      <c r="G50" s="12">
        <v>20</v>
      </c>
      <c r="H50" s="8">
        <v>5.81</v>
      </c>
      <c r="I50" s="12">
        <v>0</v>
      </c>
    </row>
    <row r="51" spans="2:9" ht="15" customHeight="1" x14ac:dyDescent="0.2">
      <c r="B51" t="s">
        <v>136</v>
      </c>
      <c r="C51" s="12">
        <v>27</v>
      </c>
      <c r="D51" s="8">
        <v>2.89</v>
      </c>
      <c r="E51" s="12">
        <v>20</v>
      </c>
      <c r="F51" s="8">
        <v>3.51</v>
      </c>
      <c r="G51" s="12">
        <v>7</v>
      </c>
      <c r="H51" s="8">
        <v>2.0299999999999998</v>
      </c>
      <c r="I51" s="12">
        <v>0</v>
      </c>
    </row>
    <row r="52" spans="2:9" ht="15" customHeight="1" x14ac:dyDescent="0.2">
      <c r="B52" t="s">
        <v>123</v>
      </c>
      <c r="C52" s="12">
        <v>25</v>
      </c>
      <c r="D52" s="8">
        <v>2.68</v>
      </c>
      <c r="E52" s="12">
        <v>20</v>
      </c>
      <c r="F52" s="8">
        <v>3.51</v>
      </c>
      <c r="G52" s="12">
        <v>5</v>
      </c>
      <c r="H52" s="8">
        <v>1.45</v>
      </c>
      <c r="I52" s="12">
        <v>0</v>
      </c>
    </row>
    <row r="53" spans="2:9" ht="15" customHeight="1" x14ac:dyDescent="0.2">
      <c r="B53" t="s">
        <v>124</v>
      </c>
      <c r="C53" s="12">
        <v>24</v>
      </c>
      <c r="D53" s="8">
        <v>2.57</v>
      </c>
      <c r="E53" s="12">
        <v>21</v>
      </c>
      <c r="F53" s="8">
        <v>3.68</v>
      </c>
      <c r="G53" s="12">
        <v>3</v>
      </c>
      <c r="H53" s="8">
        <v>0.87</v>
      </c>
      <c r="I53" s="12">
        <v>0</v>
      </c>
    </row>
    <row r="54" spans="2:9" ht="15" customHeight="1" x14ac:dyDescent="0.2">
      <c r="B54" t="s">
        <v>121</v>
      </c>
      <c r="C54" s="12">
        <v>21</v>
      </c>
      <c r="D54" s="8">
        <v>2.25</v>
      </c>
      <c r="E54" s="12">
        <v>8</v>
      </c>
      <c r="F54" s="8">
        <v>1.4</v>
      </c>
      <c r="G54" s="12">
        <v>13</v>
      </c>
      <c r="H54" s="8">
        <v>3.78</v>
      </c>
      <c r="I54" s="12">
        <v>0</v>
      </c>
    </row>
    <row r="55" spans="2:9" ht="15" customHeight="1" x14ac:dyDescent="0.2">
      <c r="B55" t="s">
        <v>120</v>
      </c>
      <c r="C55" s="12">
        <v>19</v>
      </c>
      <c r="D55" s="8">
        <v>2.0299999999999998</v>
      </c>
      <c r="E55" s="12">
        <v>14</v>
      </c>
      <c r="F55" s="8">
        <v>2.46</v>
      </c>
      <c r="G55" s="12">
        <v>5</v>
      </c>
      <c r="H55" s="8">
        <v>1.45</v>
      </c>
      <c r="I55" s="12">
        <v>0</v>
      </c>
    </row>
    <row r="56" spans="2:9" ht="15" customHeight="1" x14ac:dyDescent="0.2">
      <c r="B56" t="s">
        <v>158</v>
      </c>
      <c r="C56" s="12">
        <v>19</v>
      </c>
      <c r="D56" s="8">
        <v>2.0299999999999998</v>
      </c>
      <c r="E56" s="12">
        <v>11</v>
      </c>
      <c r="F56" s="8">
        <v>1.93</v>
      </c>
      <c r="G56" s="12">
        <v>8</v>
      </c>
      <c r="H56" s="8">
        <v>2.33</v>
      </c>
      <c r="I56" s="12">
        <v>0</v>
      </c>
    </row>
    <row r="57" spans="2:9" ht="15" customHeight="1" x14ac:dyDescent="0.2">
      <c r="B57" t="s">
        <v>122</v>
      </c>
      <c r="C57" s="12">
        <v>17</v>
      </c>
      <c r="D57" s="8">
        <v>1.82</v>
      </c>
      <c r="E57" s="12">
        <v>5</v>
      </c>
      <c r="F57" s="8">
        <v>0.88</v>
      </c>
      <c r="G57" s="12">
        <v>12</v>
      </c>
      <c r="H57" s="8">
        <v>3.49</v>
      </c>
      <c r="I57" s="12">
        <v>0</v>
      </c>
    </row>
    <row r="58" spans="2:9" ht="15" customHeight="1" x14ac:dyDescent="0.2">
      <c r="B58" t="s">
        <v>132</v>
      </c>
      <c r="C58" s="12">
        <v>17</v>
      </c>
      <c r="D58" s="8">
        <v>1.82</v>
      </c>
      <c r="E58" s="12">
        <v>16</v>
      </c>
      <c r="F58" s="8">
        <v>2.81</v>
      </c>
      <c r="G58" s="12">
        <v>1</v>
      </c>
      <c r="H58" s="8">
        <v>0.28999999999999998</v>
      </c>
      <c r="I58" s="12">
        <v>0</v>
      </c>
    </row>
    <row r="59" spans="2:9" ht="15" customHeight="1" x14ac:dyDescent="0.2">
      <c r="B59" t="s">
        <v>137</v>
      </c>
      <c r="C59" s="12">
        <v>17</v>
      </c>
      <c r="D59" s="8">
        <v>1.82</v>
      </c>
      <c r="E59" s="12">
        <v>16</v>
      </c>
      <c r="F59" s="8">
        <v>2.81</v>
      </c>
      <c r="G59" s="12">
        <v>1</v>
      </c>
      <c r="H59" s="8">
        <v>0.28999999999999998</v>
      </c>
      <c r="I59" s="12">
        <v>0</v>
      </c>
    </row>
    <row r="60" spans="2:9" ht="15" customHeight="1" x14ac:dyDescent="0.2">
      <c r="B60" t="s">
        <v>119</v>
      </c>
      <c r="C60" s="12">
        <v>16</v>
      </c>
      <c r="D60" s="8">
        <v>1.71</v>
      </c>
      <c r="E60" s="12">
        <v>6</v>
      </c>
      <c r="F60" s="8">
        <v>1.05</v>
      </c>
      <c r="G60" s="12">
        <v>10</v>
      </c>
      <c r="H60" s="8">
        <v>2.91</v>
      </c>
      <c r="I60" s="12">
        <v>0</v>
      </c>
    </row>
    <row r="61" spans="2:9" ht="15" customHeight="1" x14ac:dyDescent="0.2">
      <c r="B61" t="s">
        <v>127</v>
      </c>
      <c r="C61" s="12">
        <v>16</v>
      </c>
      <c r="D61" s="8">
        <v>1.71</v>
      </c>
      <c r="E61" s="12">
        <v>10</v>
      </c>
      <c r="F61" s="8">
        <v>1.75</v>
      </c>
      <c r="G61" s="12">
        <v>6</v>
      </c>
      <c r="H61" s="8">
        <v>1.74</v>
      </c>
      <c r="I61" s="12">
        <v>0</v>
      </c>
    </row>
    <row r="62" spans="2:9" ht="15" customHeight="1" x14ac:dyDescent="0.2">
      <c r="B62" t="s">
        <v>131</v>
      </c>
      <c r="C62" s="12">
        <v>16</v>
      </c>
      <c r="D62" s="8">
        <v>1.71</v>
      </c>
      <c r="E62" s="12">
        <v>12</v>
      </c>
      <c r="F62" s="8">
        <v>2.11</v>
      </c>
      <c r="G62" s="12">
        <v>4</v>
      </c>
      <c r="H62" s="8">
        <v>1.1599999999999999</v>
      </c>
      <c r="I62" s="12">
        <v>0</v>
      </c>
    </row>
    <row r="63" spans="2:9" ht="15" customHeight="1" x14ac:dyDescent="0.2">
      <c r="B63" t="s">
        <v>141</v>
      </c>
      <c r="C63" s="12">
        <v>16</v>
      </c>
      <c r="D63" s="8">
        <v>1.71</v>
      </c>
      <c r="E63" s="12">
        <v>13</v>
      </c>
      <c r="F63" s="8">
        <v>2.2799999999999998</v>
      </c>
      <c r="G63" s="12">
        <v>3</v>
      </c>
      <c r="H63" s="8">
        <v>0.87</v>
      </c>
      <c r="I63" s="12">
        <v>0</v>
      </c>
    </row>
    <row r="64" spans="2:9" ht="15" customHeight="1" x14ac:dyDescent="0.2">
      <c r="B64" t="s">
        <v>147</v>
      </c>
      <c r="C64" s="12">
        <v>14</v>
      </c>
      <c r="D64" s="8">
        <v>1.5</v>
      </c>
      <c r="E64" s="12">
        <v>9</v>
      </c>
      <c r="F64" s="8">
        <v>1.58</v>
      </c>
      <c r="G64" s="12">
        <v>5</v>
      </c>
      <c r="H64" s="8">
        <v>1.45</v>
      </c>
      <c r="I64" s="12">
        <v>0</v>
      </c>
    </row>
    <row r="65" spans="2:9" ht="15" customHeight="1" x14ac:dyDescent="0.2">
      <c r="B65" t="s">
        <v>125</v>
      </c>
      <c r="C65" s="12">
        <v>14</v>
      </c>
      <c r="D65" s="8">
        <v>1.5</v>
      </c>
      <c r="E65" s="12">
        <v>10</v>
      </c>
      <c r="F65" s="8">
        <v>1.75</v>
      </c>
      <c r="G65" s="12">
        <v>4</v>
      </c>
      <c r="H65" s="8">
        <v>1.1599999999999999</v>
      </c>
      <c r="I65" s="12">
        <v>0</v>
      </c>
    </row>
    <row r="66" spans="2:9" ht="15" customHeight="1" x14ac:dyDescent="0.2">
      <c r="B66" t="s">
        <v>126</v>
      </c>
      <c r="C66" s="12">
        <v>13</v>
      </c>
      <c r="D66" s="8">
        <v>1.39</v>
      </c>
      <c r="E66" s="12">
        <v>4</v>
      </c>
      <c r="F66" s="8">
        <v>0.7</v>
      </c>
      <c r="G66" s="12">
        <v>9</v>
      </c>
      <c r="H66" s="8">
        <v>2.62</v>
      </c>
      <c r="I66" s="12">
        <v>0</v>
      </c>
    </row>
    <row r="67" spans="2:9" ht="15" customHeight="1" x14ac:dyDescent="0.2">
      <c r="B67" t="s">
        <v>159</v>
      </c>
      <c r="C67" s="12">
        <v>13</v>
      </c>
      <c r="D67" s="8">
        <v>1.39</v>
      </c>
      <c r="E67" s="12">
        <v>13</v>
      </c>
      <c r="F67" s="8">
        <v>2.2799999999999998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D566-E7B8-4FA8-90A1-930319B9BBD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0.05</v>
      </c>
      <c r="E5" s="12">
        <v>1</v>
      </c>
      <c r="F5" s="8">
        <v>7.0000000000000007E-2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367</v>
      </c>
      <c r="D6" s="8">
        <v>17.93</v>
      </c>
      <c r="E6" s="12">
        <v>221</v>
      </c>
      <c r="F6" s="8">
        <v>16.47</v>
      </c>
      <c r="G6" s="12">
        <v>146</v>
      </c>
      <c r="H6" s="8">
        <v>20.92</v>
      </c>
      <c r="I6" s="12">
        <v>0</v>
      </c>
    </row>
    <row r="7" spans="2:9" ht="15" customHeight="1" x14ac:dyDescent="0.2">
      <c r="B7" t="s">
        <v>47</v>
      </c>
      <c r="C7" s="12">
        <v>288</v>
      </c>
      <c r="D7" s="8">
        <v>14.07</v>
      </c>
      <c r="E7" s="12">
        <v>163</v>
      </c>
      <c r="F7" s="8">
        <v>12.15</v>
      </c>
      <c r="G7" s="12">
        <v>125</v>
      </c>
      <c r="H7" s="8">
        <v>17.91</v>
      </c>
      <c r="I7" s="12">
        <v>0</v>
      </c>
    </row>
    <row r="8" spans="2:9" ht="15" customHeight="1" x14ac:dyDescent="0.2">
      <c r="B8" t="s">
        <v>48</v>
      </c>
      <c r="C8" s="12">
        <v>8</v>
      </c>
      <c r="D8" s="8">
        <v>0.39</v>
      </c>
      <c r="E8" s="12">
        <v>0</v>
      </c>
      <c r="F8" s="8">
        <v>0</v>
      </c>
      <c r="G8" s="12">
        <v>8</v>
      </c>
      <c r="H8" s="8">
        <v>1.1499999999999999</v>
      </c>
      <c r="I8" s="12">
        <v>0</v>
      </c>
    </row>
    <row r="9" spans="2:9" ht="15" customHeight="1" x14ac:dyDescent="0.2">
      <c r="B9" t="s">
        <v>49</v>
      </c>
      <c r="C9" s="12">
        <v>7</v>
      </c>
      <c r="D9" s="8">
        <v>0.34</v>
      </c>
      <c r="E9" s="12">
        <v>2</v>
      </c>
      <c r="F9" s="8">
        <v>0.15</v>
      </c>
      <c r="G9" s="12">
        <v>5</v>
      </c>
      <c r="H9" s="8">
        <v>0.72</v>
      </c>
      <c r="I9" s="12">
        <v>0</v>
      </c>
    </row>
    <row r="10" spans="2:9" ht="15" customHeight="1" x14ac:dyDescent="0.2">
      <c r="B10" t="s">
        <v>50</v>
      </c>
      <c r="C10" s="12">
        <v>18</v>
      </c>
      <c r="D10" s="8">
        <v>0.88</v>
      </c>
      <c r="E10" s="12">
        <v>4</v>
      </c>
      <c r="F10" s="8">
        <v>0.3</v>
      </c>
      <c r="G10" s="12">
        <v>13</v>
      </c>
      <c r="H10" s="8">
        <v>1.86</v>
      </c>
      <c r="I10" s="12">
        <v>1</v>
      </c>
    </row>
    <row r="11" spans="2:9" ht="15" customHeight="1" x14ac:dyDescent="0.2">
      <c r="B11" t="s">
        <v>51</v>
      </c>
      <c r="C11" s="12">
        <v>474</v>
      </c>
      <c r="D11" s="8">
        <v>23.16</v>
      </c>
      <c r="E11" s="12">
        <v>280</v>
      </c>
      <c r="F11" s="8">
        <v>20.86</v>
      </c>
      <c r="G11" s="12">
        <v>193</v>
      </c>
      <c r="H11" s="8">
        <v>27.65</v>
      </c>
      <c r="I11" s="12">
        <v>1</v>
      </c>
    </row>
    <row r="12" spans="2:9" ht="15" customHeight="1" x14ac:dyDescent="0.2">
      <c r="B12" t="s">
        <v>52</v>
      </c>
      <c r="C12" s="12">
        <v>12</v>
      </c>
      <c r="D12" s="8">
        <v>0.59</v>
      </c>
      <c r="E12" s="12">
        <v>4</v>
      </c>
      <c r="F12" s="8">
        <v>0.3</v>
      </c>
      <c r="G12" s="12">
        <v>8</v>
      </c>
      <c r="H12" s="8">
        <v>1.1499999999999999</v>
      </c>
      <c r="I12" s="12">
        <v>0</v>
      </c>
    </row>
    <row r="13" spans="2:9" ht="15" customHeight="1" x14ac:dyDescent="0.2">
      <c r="B13" t="s">
        <v>53</v>
      </c>
      <c r="C13" s="12">
        <v>143</v>
      </c>
      <c r="D13" s="8">
        <v>6.99</v>
      </c>
      <c r="E13" s="12">
        <v>96</v>
      </c>
      <c r="F13" s="8">
        <v>7.15</v>
      </c>
      <c r="G13" s="12">
        <v>46</v>
      </c>
      <c r="H13" s="8">
        <v>6.59</v>
      </c>
      <c r="I13" s="12">
        <v>1</v>
      </c>
    </row>
    <row r="14" spans="2:9" ht="15" customHeight="1" x14ac:dyDescent="0.2">
      <c r="B14" t="s">
        <v>54</v>
      </c>
      <c r="C14" s="12">
        <v>93</v>
      </c>
      <c r="D14" s="8">
        <v>4.54</v>
      </c>
      <c r="E14" s="12">
        <v>64</v>
      </c>
      <c r="F14" s="8">
        <v>4.7699999999999996</v>
      </c>
      <c r="G14" s="12">
        <v>28</v>
      </c>
      <c r="H14" s="8">
        <v>4.01</v>
      </c>
      <c r="I14" s="12">
        <v>0</v>
      </c>
    </row>
    <row r="15" spans="2:9" ht="15" customHeight="1" x14ac:dyDescent="0.2">
      <c r="B15" t="s">
        <v>55</v>
      </c>
      <c r="C15" s="12">
        <v>188</v>
      </c>
      <c r="D15" s="8">
        <v>9.18</v>
      </c>
      <c r="E15" s="12">
        <v>155</v>
      </c>
      <c r="F15" s="8">
        <v>11.55</v>
      </c>
      <c r="G15" s="12">
        <v>31</v>
      </c>
      <c r="H15" s="8">
        <v>4.4400000000000004</v>
      </c>
      <c r="I15" s="12">
        <v>0</v>
      </c>
    </row>
    <row r="16" spans="2:9" ht="15" customHeight="1" x14ac:dyDescent="0.2">
      <c r="B16" t="s">
        <v>56</v>
      </c>
      <c r="C16" s="12">
        <v>237</v>
      </c>
      <c r="D16" s="8">
        <v>11.58</v>
      </c>
      <c r="E16" s="12">
        <v>202</v>
      </c>
      <c r="F16" s="8">
        <v>15.05</v>
      </c>
      <c r="G16" s="12">
        <v>35</v>
      </c>
      <c r="H16" s="8">
        <v>5.01</v>
      </c>
      <c r="I16" s="12">
        <v>0</v>
      </c>
    </row>
    <row r="17" spans="2:9" ht="15" customHeight="1" x14ac:dyDescent="0.2">
      <c r="B17" t="s">
        <v>57</v>
      </c>
      <c r="C17" s="12">
        <v>68</v>
      </c>
      <c r="D17" s="8">
        <v>3.32</v>
      </c>
      <c r="E17" s="12">
        <v>52</v>
      </c>
      <c r="F17" s="8">
        <v>3.87</v>
      </c>
      <c r="G17" s="12">
        <v>16</v>
      </c>
      <c r="H17" s="8">
        <v>2.29</v>
      </c>
      <c r="I17" s="12">
        <v>0</v>
      </c>
    </row>
    <row r="18" spans="2:9" ht="15" customHeight="1" x14ac:dyDescent="0.2">
      <c r="B18" t="s">
        <v>58</v>
      </c>
      <c r="C18" s="12">
        <v>65</v>
      </c>
      <c r="D18" s="8">
        <v>3.18</v>
      </c>
      <c r="E18" s="12">
        <v>44</v>
      </c>
      <c r="F18" s="8">
        <v>3.28</v>
      </c>
      <c r="G18" s="12">
        <v>20</v>
      </c>
      <c r="H18" s="8">
        <v>2.87</v>
      </c>
      <c r="I18" s="12">
        <v>1</v>
      </c>
    </row>
    <row r="19" spans="2:9" ht="15" customHeight="1" x14ac:dyDescent="0.2">
      <c r="B19" t="s">
        <v>59</v>
      </c>
      <c r="C19" s="12">
        <v>78</v>
      </c>
      <c r="D19" s="8">
        <v>3.81</v>
      </c>
      <c r="E19" s="12">
        <v>54</v>
      </c>
      <c r="F19" s="8">
        <v>4.0199999999999996</v>
      </c>
      <c r="G19" s="12">
        <v>24</v>
      </c>
      <c r="H19" s="8">
        <v>3.44</v>
      </c>
      <c r="I19" s="12">
        <v>0</v>
      </c>
    </row>
    <row r="20" spans="2:9" ht="15" customHeight="1" x14ac:dyDescent="0.2">
      <c r="B20" s="9" t="s">
        <v>195</v>
      </c>
      <c r="C20" s="12">
        <f>SUM(LTBL_08216[総数／事業所数])</f>
        <v>2047</v>
      </c>
      <c r="E20" s="12">
        <f>SUBTOTAL(109,LTBL_08216[個人／事業所数])</f>
        <v>1342</v>
      </c>
      <c r="G20" s="12">
        <f>SUBTOTAL(109,LTBL_08216[法人／事業所数])</f>
        <v>698</v>
      </c>
      <c r="I20" s="12">
        <f>SUBTOTAL(109,LTBL_08216[法人以外の団体／事業所数])</f>
        <v>4</v>
      </c>
    </row>
    <row r="21" spans="2:9" ht="15" customHeight="1" x14ac:dyDescent="0.2">
      <c r="E21" s="11">
        <f>LTBL_08216[[#Totals],[個人／事業所数]]/LTBL_08216[[#Totals],[総数／事業所数]]</f>
        <v>0.65559355153883736</v>
      </c>
      <c r="G21" s="11">
        <f>LTBL_08216[[#Totals],[法人／事業所数]]/LTBL_08216[[#Totals],[総数／事業所数]]</f>
        <v>0.34098680996580361</v>
      </c>
      <c r="I21" s="11">
        <f>LTBL_08216[[#Totals],[法人以外の団体／事業所数]]/LTBL_08216[[#Totals],[総数／事業所数]]</f>
        <v>1.9540791402051783E-3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206</v>
      </c>
      <c r="D24" s="8">
        <v>10.06</v>
      </c>
      <c r="E24" s="12">
        <v>185</v>
      </c>
      <c r="F24" s="8">
        <v>13.79</v>
      </c>
      <c r="G24" s="12">
        <v>21</v>
      </c>
      <c r="H24" s="8">
        <v>3.01</v>
      </c>
      <c r="I24" s="12">
        <v>0</v>
      </c>
    </row>
    <row r="25" spans="2:9" ht="15" customHeight="1" x14ac:dyDescent="0.2">
      <c r="B25" t="s">
        <v>77</v>
      </c>
      <c r="C25" s="12">
        <v>174</v>
      </c>
      <c r="D25" s="8">
        <v>8.5</v>
      </c>
      <c r="E25" s="12">
        <v>100</v>
      </c>
      <c r="F25" s="8">
        <v>7.45</v>
      </c>
      <c r="G25" s="12">
        <v>73</v>
      </c>
      <c r="H25" s="8">
        <v>10.46</v>
      </c>
      <c r="I25" s="12">
        <v>1</v>
      </c>
    </row>
    <row r="26" spans="2:9" ht="15" customHeight="1" x14ac:dyDescent="0.2">
      <c r="B26" t="s">
        <v>82</v>
      </c>
      <c r="C26" s="12">
        <v>161</v>
      </c>
      <c r="D26" s="8">
        <v>7.87</v>
      </c>
      <c r="E26" s="12">
        <v>144</v>
      </c>
      <c r="F26" s="8">
        <v>10.73</v>
      </c>
      <c r="G26" s="12">
        <v>17</v>
      </c>
      <c r="H26" s="8">
        <v>2.44</v>
      </c>
      <c r="I26" s="12">
        <v>0</v>
      </c>
    </row>
    <row r="27" spans="2:9" ht="15" customHeight="1" x14ac:dyDescent="0.2">
      <c r="B27" t="s">
        <v>68</v>
      </c>
      <c r="C27" s="12">
        <v>151</v>
      </c>
      <c r="D27" s="8">
        <v>7.38</v>
      </c>
      <c r="E27" s="12">
        <v>89</v>
      </c>
      <c r="F27" s="8">
        <v>6.63</v>
      </c>
      <c r="G27" s="12">
        <v>62</v>
      </c>
      <c r="H27" s="8">
        <v>8.8800000000000008</v>
      </c>
      <c r="I27" s="12">
        <v>0</v>
      </c>
    </row>
    <row r="28" spans="2:9" ht="15" customHeight="1" x14ac:dyDescent="0.2">
      <c r="B28" t="s">
        <v>69</v>
      </c>
      <c r="C28" s="12">
        <v>144</v>
      </c>
      <c r="D28" s="8">
        <v>7.03</v>
      </c>
      <c r="E28" s="12">
        <v>96</v>
      </c>
      <c r="F28" s="8">
        <v>7.15</v>
      </c>
      <c r="G28" s="12">
        <v>48</v>
      </c>
      <c r="H28" s="8">
        <v>6.88</v>
      </c>
      <c r="I28" s="12">
        <v>0</v>
      </c>
    </row>
    <row r="29" spans="2:9" ht="15" customHeight="1" x14ac:dyDescent="0.2">
      <c r="B29" t="s">
        <v>95</v>
      </c>
      <c r="C29" s="12">
        <v>140</v>
      </c>
      <c r="D29" s="8">
        <v>6.84</v>
      </c>
      <c r="E29" s="12">
        <v>106</v>
      </c>
      <c r="F29" s="8">
        <v>7.9</v>
      </c>
      <c r="G29" s="12">
        <v>34</v>
      </c>
      <c r="H29" s="8">
        <v>4.87</v>
      </c>
      <c r="I29" s="12">
        <v>0</v>
      </c>
    </row>
    <row r="30" spans="2:9" ht="15" customHeight="1" x14ac:dyDescent="0.2">
      <c r="B30" t="s">
        <v>79</v>
      </c>
      <c r="C30" s="12">
        <v>123</v>
      </c>
      <c r="D30" s="8">
        <v>6.01</v>
      </c>
      <c r="E30" s="12">
        <v>91</v>
      </c>
      <c r="F30" s="8">
        <v>6.78</v>
      </c>
      <c r="G30" s="12">
        <v>31</v>
      </c>
      <c r="H30" s="8">
        <v>4.4400000000000004</v>
      </c>
      <c r="I30" s="12">
        <v>1</v>
      </c>
    </row>
    <row r="31" spans="2:9" ht="15" customHeight="1" x14ac:dyDescent="0.2">
      <c r="B31" t="s">
        <v>75</v>
      </c>
      <c r="C31" s="12">
        <v>99</v>
      </c>
      <c r="D31" s="8">
        <v>4.84</v>
      </c>
      <c r="E31" s="12">
        <v>82</v>
      </c>
      <c r="F31" s="8">
        <v>6.11</v>
      </c>
      <c r="G31" s="12">
        <v>17</v>
      </c>
      <c r="H31" s="8">
        <v>2.44</v>
      </c>
      <c r="I31" s="12">
        <v>0</v>
      </c>
    </row>
    <row r="32" spans="2:9" ht="15" customHeight="1" x14ac:dyDescent="0.2">
      <c r="B32" t="s">
        <v>70</v>
      </c>
      <c r="C32" s="12">
        <v>72</v>
      </c>
      <c r="D32" s="8">
        <v>3.52</v>
      </c>
      <c r="E32" s="12">
        <v>36</v>
      </c>
      <c r="F32" s="8">
        <v>2.68</v>
      </c>
      <c r="G32" s="12">
        <v>36</v>
      </c>
      <c r="H32" s="8">
        <v>5.16</v>
      </c>
      <c r="I32" s="12">
        <v>0</v>
      </c>
    </row>
    <row r="33" spans="2:9" ht="15" customHeight="1" x14ac:dyDescent="0.2">
      <c r="B33" t="s">
        <v>85</v>
      </c>
      <c r="C33" s="12">
        <v>68</v>
      </c>
      <c r="D33" s="8">
        <v>3.32</v>
      </c>
      <c r="E33" s="12">
        <v>52</v>
      </c>
      <c r="F33" s="8">
        <v>3.87</v>
      </c>
      <c r="G33" s="12">
        <v>16</v>
      </c>
      <c r="H33" s="8">
        <v>2.29</v>
      </c>
      <c r="I33" s="12">
        <v>0</v>
      </c>
    </row>
    <row r="34" spans="2:9" ht="15" customHeight="1" x14ac:dyDescent="0.2">
      <c r="B34" t="s">
        <v>76</v>
      </c>
      <c r="C34" s="12">
        <v>56</v>
      </c>
      <c r="D34" s="8">
        <v>2.74</v>
      </c>
      <c r="E34" s="12">
        <v>38</v>
      </c>
      <c r="F34" s="8">
        <v>2.83</v>
      </c>
      <c r="G34" s="12">
        <v>18</v>
      </c>
      <c r="H34" s="8">
        <v>2.58</v>
      </c>
      <c r="I34" s="12">
        <v>0</v>
      </c>
    </row>
    <row r="35" spans="2:9" ht="15" customHeight="1" x14ac:dyDescent="0.2">
      <c r="B35" t="s">
        <v>86</v>
      </c>
      <c r="C35" s="12">
        <v>49</v>
      </c>
      <c r="D35" s="8">
        <v>2.39</v>
      </c>
      <c r="E35" s="12">
        <v>43</v>
      </c>
      <c r="F35" s="8">
        <v>3.2</v>
      </c>
      <c r="G35" s="12">
        <v>5</v>
      </c>
      <c r="H35" s="8">
        <v>0.72</v>
      </c>
      <c r="I35" s="12">
        <v>1</v>
      </c>
    </row>
    <row r="36" spans="2:9" ht="15" customHeight="1" x14ac:dyDescent="0.2">
      <c r="B36" t="s">
        <v>74</v>
      </c>
      <c r="C36" s="12">
        <v>48</v>
      </c>
      <c r="D36" s="8">
        <v>2.34</v>
      </c>
      <c r="E36" s="12">
        <v>30</v>
      </c>
      <c r="F36" s="8">
        <v>2.2400000000000002</v>
      </c>
      <c r="G36" s="12">
        <v>18</v>
      </c>
      <c r="H36" s="8">
        <v>2.58</v>
      </c>
      <c r="I36" s="12">
        <v>0</v>
      </c>
    </row>
    <row r="37" spans="2:9" ht="15" customHeight="1" x14ac:dyDescent="0.2">
      <c r="B37" t="s">
        <v>87</v>
      </c>
      <c r="C37" s="12">
        <v>48</v>
      </c>
      <c r="D37" s="8">
        <v>2.34</v>
      </c>
      <c r="E37" s="12">
        <v>41</v>
      </c>
      <c r="F37" s="8">
        <v>3.06</v>
      </c>
      <c r="G37" s="12">
        <v>7</v>
      </c>
      <c r="H37" s="8">
        <v>1</v>
      </c>
      <c r="I37" s="12">
        <v>0</v>
      </c>
    </row>
    <row r="38" spans="2:9" ht="15" customHeight="1" x14ac:dyDescent="0.2">
      <c r="B38" t="s">
        <v>81</v>
      </c>
      <c r="C38" s="12">
        <v>46</v>
      </c>
      <c r="D38" s="8">
        <v>2.25</v>
      </c>
      <c r="E38" s="12">
        <v>30</v>
      </c>
      <c r="F38" s="8">
        <v>2.2400000000000002</v>
      </c>
      <c r="G38" s="12">
        <v>15</v>
      </c>
      <c r="H38" s="8">
        <v>2.15</v>
      </c>
      <c r="I38" s="12">
        <v>0</v>
      </c>
    </row>
    <row r="39" spans="2:9" ht="15" customHeight="1" x14ac:dyDescent="0.2">
      <c r="B39" t="s">
        <v>80</v>
      </c>
      <c r="C39" s="12">
        <v>44</v>
      </c>
      <c r="D39" s="8">
        <v>2.15</v>
      </c>
      <c r="E39" s="12">
        <v>33</v>
      </c>
      <c r="F39" s="8">
        <v>2.46</v>
      </c>
      <c r="G39" s="12">
        <v>11</v>
      </c>
      <c r="H39" s="8">
        <v>1.58</v>
      </c>
      <c r="I39" s="12">
        <v>0</v>
      </c>
    </row>
    <row r="40" spans="2:9" ht="15" customHeight="1" x14ac:dyDescent="0.2">
      <c r="B40" t="s">
        <v>72</v>
      </c>
      <c r="C40" s="12">
        <v>29</v>
      </c>
      <c r="D40" s="8">
        <v>1.42</v>
      </c>
      <c r="E40" s="12">
        <v>7</v>
      </c>
      <c r="F40" s="8">
        <v>0.52</v>
      </c>
      <c r="G40" s="12">
        <v>22</v>
      </c>
      <c r="H40" s="8">
        <v>3.15</v>
      </c>
      <c r="I40" s="12">
        <v>0</v>
      </c>
    </row>
    <row r="41" spans="2:9" ht="15" customHeight="1" x14ac:dyDescent="0.2">
      <c r="B41" t="s">
        <v>84</v>
      </c>
      <c r="C41" s="12">
        <v>24</v>
      </c>
      <c r="D41" s="8">
        <v>1.17</v>
      </c>
      <c r="E41" s="12">
        <v>14</v>
      </c>
      <c r="F41" s="8">
        <v>1.04</v>
      </c>
      <c r="G41" s="12">
        <v>10</v>
      </c>
      <c r="H41" s="8">
        <v>1.43</v>
      </c>
      <c r="I41" s="12">
        <v>0</v>
      </c>
    </row>
    <row r="42" spans="2:9" ht="15" customHeight="1" x14ac:dyDescent="0.2">
      <c r="B42" t="s">
        <v>71</v>
      </c>
      <c r="C42" s="12">
        <v>21</v>
      </c>
      <c r="D42" s="8">
        <v>1.03</v>
      </c>
      <c r="E42" s="12">
        <v>7</v>
      </c>
      <c r="F42" s="8">
        <v>0.52</v>
      </c>
      <c r="G42" s="12">
        <v>14</v>
      </c>
      <c r="H42" s="8">
        <v>2.0099999999999998</v>
      </c>
      <c r="I42" s="12">
        <v>0</v>
      </c>
    </row>
    <row r="43" spans="2:9" ht="15" customHeight="1" x14ac:dyDescent="0.2">
      <c r="B43" t="s">
        <v>93</v>
      </c>
      <c r="C43" s="12">
        <v>19</v>
      </c>
      <c r="D43" s="8">
        <v>0.93</v>
      </c>
      <c r="E43" s="12">
        <v>9</v>
      </c>
      <c r="F43" s="8">
        <v>0.67</v>
      </c>
      <c r="G43" s="12">
        <v>10</v>
      </c>
      <c r="H43" s="8">
        <v>1.43</v>
      </c>
      <c r="I43" s="12">
        <v>0</v>
      </c>
    </row>
    <row r="44" spans="2:9" ht="15" customHeight="1" x14ac:dyDescent="0.2">
      <c r="B44" t="s">
        <v>88</v>
      </c>
      <c r="C44" s="12">
        <v>19</v>
      </c>
      <c r="D44" s="8">
        <v>0.93</v>
      </c>
      <c r="E44" s="12">
        <v>6</v>
      </c>
      <c r="F44" s="8">
        <v>0.45</v>
      </c>
      <c r="G44" s="12">
        <v>13</v>
      </c>
      <c r="H44" s="8">
        <v>1.86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134</v>
      </c>
      <c r="C48" s="12">
        <v>111</v>
      </c>
      <c r="D48" s="8">
        <v>5.42</v>
      </c>
      <c r="E48" s="12">
        <v>101</v>
      </c>
      <c r="F48" s="8">
        <v>7.53</v>
      </c>
      <c r="G48" s="12">
        <v>10</v>
      </c>
      <c r="H48" s="8">
        <v>1.43</v>
      </c>
      <c r="I48" s="12">
        <v>0</v>
      </c>
    </row>
    <row r="49" spans="2:9" ht="15" customHeight="1" x14ac:dyDescent="0.2">
      <c r="B49" t="s">
        <v>160</v>
      </c>
      <c r="C49" s="12">
        <v>95</v>
      </c>
      <c r="D49" s="8">
        <v>4.6399999999999997</v>
      </c>
      <c r="E49" s="12">
        <v>89</v>
      </c>
      <c r="F49" s="8">
        <v>6.63</v>
      </c>
      <c r="G49" s="12">
        <v>6</v>
      </c>
      <c r="H49" s="8">
        <v>0.86</v>
      </c>
      <c r="I49" s="12">
        <v>0</v>
      </c>
    </row>
    <row r="50" spans="2:9" ht="15" customHeight="1" x14ac:dyDescent="0.2">
      <c r="B50" t="s">
        <v>129</v>
      </c>
      <c r="C50" s="12">
        <v>87</v>
      </c>
      <c r="D50" s="8">
        <v>4.25</v>
      </c>
      <c r="E50" s="12">
        <v>71</v>
      </c>
      <c r="F50" s="8">
        <v>5.29</v>
      </c>
      <c r="G50" s="12">
        <v>16</v>
      </c>
      <c r="H50" s="8">
        <v>2.29</v>
      </c>
      <c r="I50" s="12">
        <v>0</v>
      </c>
    </row>
    <row r="51" spans="2:9" ht="15" customHeight="1" x14ac:dyDescent="0.2">
      <c r="B51" t="s">
        <v>120</v>
      </c>
      <c r="C51" s="12">
        <v>72</v>
      </c>
      <c r="D51" s="8">
        <v>3.52</v>
      </c>
      <c r="E51" s="12">
        <v>55</v>
      </c>
      <c r="F51" s="8">
        <v>4.0999999999999996</v>
      </c>
      <c r="G51" s="12">
        <v>17</v>
      </c>
      <c r="H51" s="8">
        <v>2.44</v>
      </c>
      <c r="I51" s="12">
        <v>0</v>
      </c>
    </row>
    <row r="52" spans="2:9" ht="15" customHeight="1" x14ac:dyDescent="0.2">
      <c r="B52" t="s">
        <v>133</v>
      </c>
      <c r="C52" s="12">
        <v>72</v>
      </c>
      <c r="D52" s="8">
        <v>3.52</v>
      </c>
      <c r="E52" s="12">
        <v>67</v>
      </c>
      <c r="F52" s="8">
        <v>4.99</v>
      </c>
      <c r="G52" s="12">
        <v>5</v>
      </c>
      <c r="H52" s="8">
        <v>0.72</v>
      </c>
      <c r="I52" s="12">
        <v>0</v>
      </c>
    </row>
    <row r="53" spans="2:9" ht="15" customHeight="1" x14ac:dyDescent="0.2">
      <c r="B53" t="s">
        <v>127</v>
      </c>
      <c r="C53" s="12">
        <v>49</v>
      </c>
      <c r="D53" s="8">
        <v>2.39</v>
      </c>
      <c r="E53" s="12">
        <v>35</v>
      </c>
      <c r="F53" s="8">
        <v>2.61</v>
      </c>
      <c r="G53" s="12">
        <v>14</v>
      </c>
      <c r="H53" s="8">
        <v>2.0099999999999998</v>
      </c>
      <c r="I53" s="12">
        <v>0</v>
      </c>
    </row>
    <row r="54" spans="2:9" ht="15" customHeight="1" x14ac:dyDescent="0.2">
      <c r="B54" t="s">
        <v>137</v>
      </c>
      <c r="C54" s="12">
        <v>48</v>
      </c>
      <c r="D54" s="8">
        <v>2.34</v>
      </c>
      <c r="E54" s="12">
        <v>41</v>
      </c>
      <c r="F54" s="8">
        <v>3.06</v>
      </c>
      <c r="G54" s="12">
        <v>7</v>
      </c>
      <c r="H54" s="8">
        <v>1</v>
      </c>
      <c r="I54" s="12">
        <v>0</v>
      </c>
    </row>
    <row r="55" spans="2:9" ht="15" customHeight="1" x14ac:dyDescent="0.2">
      <c r="B55" t="s">
        <v>135</v>
      </c>
      <c r="C55" s="12">
        <v>46</v>
      </c>
      <c r="D55" s="8">
        <v>2.25</v>
      </c>
      <c r="E55" s="12">
        <v>37</v>
      </c>
      <c r="F55" s="8">
        <v>2.76</v>
      </c>
      <c r="G55" s="12">
        <v>9</v>
      </c>
      <c r="H55" s="8">
        <v>1.29</v>
      </c>
      <c r="I55" s="12">
        <v>0</v>
      </c>
    </row>
    <row r="56" spans="2:9" ht="15" customHeight="1" x14ac:dyDescent="0.2">
      <c r="B56" t="s">
        <v>123</v>
      </c>
      <c r="C56" s="12">
        <v>43</v>
      </c>
      <c r="D56" s="8">
        <v>2.1</v>
      </c>
      <c r="E56" s="12">
        <v>38</v>
      </c>
      <c r="F56" s="8">
        <v>2.83</v>
      </c>
      <c r="G56" s="12">
        <v>5</v>
      </c>
      <c r="H56" s="8">
        <v>0.72</v>
      </c>
      <c r="I56" s="12">
        <v>0</v>
      </c>
    </row>
    <row r="57" spans="2:9" ht="15" customHeight="1" x14ac:dyDescent="0.2">
      <c r="B57" t="s">
        <v>118</v>
      </c>
      <c r="C57" s="12">
        <v>41</v>
      </c>
      <c r="D57" s="8">
        <v>2</v>
      </c>
      <c r="E57" s="12">
        <v>14</v>
      </c>
      <c r="F57" s="8">
        <v>1.04</v>
      </c>
      <c r="G57" s="12">
        <v>27</v>
      </c>
      <c r="H57" s="8">
        <v>3.87</v>
      </c>
      <c r="I57" s="12">
        <v>0</v>
      </c>
    </row>
    <row r="58" spans="2:9" ht="15" customHeight="1" x14ac:dyDescent="0.2">
      <c r="B58" t="s">
        <v>131</v>
      </c>
      <c r="C58" s="12">
        <v>41</v>
      </c>
      <c r="D58" s="8">
        <v>2</v>
      </c>
      <c r="E58" s="12">
        <v>34</v>
      </c>
      <c r="F58" s="8">
        <v>2.5299999999999998</v>
      </c>
      <c r="G58" s="12">
        <v>7</v>
      </c>
      <c r="H58" s="8">
        <v>1</v>
      </c>
      <c r="I58" s="12">
        <v>0</v>
      </c>
    </row>
    <row r="59" spans="2:9" ht="15" customHeight="1" x14ac:dyDescent="0.2">
      <c r="B59" t="s">
        <v>161</v>
      </c>
      <c r="C59" s="12">
        <v>40</v>
      </c>
      <c r="D59" s="8">
        <v>1.95</v>
      </c>
      <c r="E59" s="12">
        <v>16</v>
      </c>
      <c r="F59" s="8">
        <v>1.19</v>
      </c>
      <c r="G59" s="12">
        <v>24</v>
      </c>
      <c r="H59" s="8">
        <v>3.44</v>
      </c>
      <c r="I59" s="12">
        <v>0</v>
      </c>
    </row>
    <row r="60" spans="2:9" ht="15" customHeight="1" x14ac:dyDescent="0.2">
      <c r="B60" t="s">
        <v>124</v>
      </c>
      <c r="C60" s="12">
        <v>38</v>
      </c>
      <c r="D60" s="8">
        <v>1.86</v>
      </c>
      <c r="E60" s="12">
        <v>23</v>
      </c>
      <c r="F60" s="8">
        <v>1.71</v>
      </c>
      <c r="G60" s="12">
        <v>15</v>
      </c>
      <c r="H60" s="8">
        <v>2.15</v>
      </c>
      <c r="I60" s="12">
        <v>0</v>
      </c>
    </row>
    <row r="61" spans="2:9" ht="15" customHeight="1" x14ac:dyDescent="0.2">
      <c r="B61" t="s">
        <v>132</v>
      </c>
      <c r="C61" s="12">
        <v>36</v>
      </c>
      <c r="D61" s="8">
        <v>1.76</v>
      </c>
      <c r="E61" s="12">
        <v>35</v>
      </c>
      <c r="F61" s="8">
        <v>2.61</v>
      </c>
      <c r="G61" s="12">
        <v>1</v>
      </c>
      <c r="H61" s="8">
        <v>0.14000000000000001</v>
      </c>
      <c r="I61" s="12">
        <v>0</v>
      </c>
    </row>
    <row r="62" spans="2:9" ht="15" customHeight="1" x14ac:dyDescent="0.2">
      <c r="B62" t="s">
        <v>121</v>
      </c>
      <c r="C62" s="12">
        <v>35</v>
      </c>
      <c r="D62" s="8">
        <v>1.71</v>
      </c>
      <c r="E62" s="12">
        <v>20</v>
      </c>
      <c r="F62" s="8">
        <v>1.49</v>
      </c>
      <c r="G62" s="12">
        <v>15</v>
      </c>
      <c r="H62" s="8">
        <v>2.15</v>
      </c>
      <c r="I62" s="12">
        <v>0</v>
      </c>
    </row>
    <row r="63" spans="2:9" ht="15" customHeight="1" x14ac:dyDescent="0.2">
      <c r="B63" t="s">
        <v>162</v>
      </c>
      <c r="C63" s="12">
        <v>32</v>
      </c>
      <c r="D63" s="8">
        <v>1.56</v>
      </c>
      <c r="E63" s="12">
        <v>21</v>
      </c>
      <c r="F63" s="8">
        <v>1.56</v>
      </c>
      <c r="G63" s="12">
        <v>10</v>
      </c>
      <c r="H63" s="8">
        <v>1.43</v>
      </c>
      <c r="I63" s="12">
        <v>1</v>
      </c>
    </row>
    <row r="64" spans="2:9" ht="15" customHeight="1" x14ac:dyDescent="0.2">
      <c r="B64" t="s">
        <v>136</v>
      </c>
      <c r="C64" s="12">
        <v>30</v>
      </c>
      <c r="D64" s="8">
        <v>1.47</v>
      </c>
      <c r="E64" s="12">
        <v>27</v>
      </c>
      <c r="F64" s="8">
        <v>2.0099999999999998</v>
      </c>
      <c r="G64" s="12">
        <v>2</v>
      </c>
      <c r="H64" s="8">
        <v>0.28999999999999998</v>
      </c>
      <c r="I64" s="12">
        <v>1</v>
      </c>
    </row>
    <row r="65" spans="2:9" ht="15" customHeight="1" x14ac:dyDescent="0.2">
      <c r="B65" t="s">
        <v>146</v>
      </c>
      <c r="C65" s="12">
        <v>28</v>
      </c>
      <c r="D65" s="8">
        <v>1.37</v>
      </c>
      <c r="E65" s="12">
        <v>10</v>
      </c>
      <c r="F65" s="8">
        <v>0.75</v>
      </c>
      <c r="G65" s="12">
        <v>18</v>
      </c>
      <c r="H65" s="8">
        <v>2.58</v>
      </c>
      <c r="I65" s="12">
        <v>0</v>
      </c>
    </row>
    <row r="66" spans="2:9" ht="15" customHeight="1" x14ac:dyDescent="0.2">
      <c r="B66" t="s">
        <v>154</v>
      </c>
      <c r="C66" s="12">
        <v>28</v>
      </c>
      <c r="D66" s="8">
        <v>1.37</v>
      </c>
      <c r="E66" s="12">
        <v>18</v>
      </c>
      <c r="F66" s="8">
        <v>1.34</v>
      </c>
      <c r="G66" s="12">
        <v>10</v>
      </c>
      <c r="H66" s="8">
        <v>1.43</v>
      </c>
      <c r="I66" s="12">
        <v>0</v>
      </c>
    </row>
    <row r="67" spans="2:9" ht="15" customHeight="1" x14ac:dyDescent="0.2">
      <c r="B67" t="s">
        <v>130</v>
      </c>
      <c r="C67" s="12">
        <v>28</v>
      </c>
      <c r="D67" s="8">
        <v>1.37</v>
      </c>
      <c r="E67" s="12">
        <v>17</v>
      </c>
      <c r="F67" s="8">
        <v>1.27</v>
      </c>
      <c r="G67" s="12">
        <v>11</v>
      </c>
      <c r="H67" s="8">
        <v>1.58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507F2-42DA-4101-A860-8547CA9F606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224</v>
      </c>
      <c r="D6" s="8">
        <v>13.15</v>
      </c>
      <c r="E6" s="12">
        <v>60</v>
      </c>
      <c r="F6" s="8">
        <v>6.7</v>
      </c>
      <c r="G6" s="12">
        <v>164</v>
      </c>
      <c r="H6" s="8">
        <v>20.87</v>
      </c>
      <c r="I6" s="12">
        <v>0</v>
      </c>
    </row>
    <row r="7" spans="2:9" ht="15" customHeight="1" x14ac:dyDescent="0.2">
      <c r="B7" t="s">
        <v>47</v>
      </c>
      <c r="C7" s="12">
        <v>81</v>
      </c>
      <c r="D7" s="8">
        <v>4.76</v>
      </c>
      <c r="E7" s="12">
        <v>37</v>
      </c>
      <c r="F7" s="8">
        <v>4.13</v>
      </c>
      <c r="G7" s="12">
        <v>44</v>
      </c>
      <c r="H7" s="8">
        <v>5.6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2">
      <c r="B9" t="s">
        <v>49</v>
      </c>
      <c r="C9" s="12">
        <v>18</v>
      </c>
      <c r="D9" s="8">
        <v>1.06</v>
      </c>
      <c r="E9" s="12">
        <v>1</v>
      </c>
      <c r="F9" s="8">
        <v>0.11</v>
      </c>
      <c r="G9" s="12">
        <v>17</v>
      </c>
      <c r="H9" s="8">
        <v>2.16</v>
      </c>
      <c r="I9" s="12">
        <v>0</v>
      </c>
    </row>
    <row r="10" spans="2:9" ht="15" customHeight="1" x14ac:dyDescent="0.2">
      <c r="B10" t="s">
        <v>50</v>
      </c>
      <c r="C10" s="12">
        <v>13</v>
      </c>
      <c r="D10" s="8">
        <v>0.76</v>
      </c>
      <c r="E10" s="12">
        <v>2</v>
      </c>
      <c r="F10" s="8">
        <v>0.22</v>
      </c>
      <c r="G10" s="12">
        <v>11</v>
      </c>
      <c r="H10" s="8">
        <v>1.4</v>
      </c>
      <c r="I10" s="12">
        <v>0</v>
      </c>
    </row>
    <row r="11" spans="2:9" ht="15" customHeight="1" x14ac:dyDescent="0.2">
      <c r="B11" t="s">
        <v>51</v>
      </c>
      <c r="C11" s="12">
        <v>401</v>
      </c>
      <c r="D11" s="8">
        <v>23.55</v>
      </c>
      <c r="E11" s="12">
        <v>184</v>
      </c>
      <c r="F11" s="8">
        <v>20.56</v>
      </c>
      <c r="G11" s="12">
        <v>217</v>
      </c>
      <c r="H11" s="8">
        <v>27.61</v>
      </c>
      <c r="I11" s="12">
        <v>0</v>
      </c>
    </row>
    <row r="12" spans="2:9" ht="15" customHeight="1" x14ac:dyDescent="0.2">
      <c r="B12" t="s">
        <v>52</v>
      </c>
      <c r="C12" s="12">
        <v>12</v>
      </c>
      <c r="D12" s="8">
        <v>0.7</v>
      </c>
      <c r="E12" s="12">
        <v>3</v>
      </c>
      <c r="F12" s="8">
        <v>0.34</v>
      </c>
      <c r="G12" s="12">
        <v>9</v>
      </c>
      <c r="H12" s="8">
        <v>1.1499999999999999</v>
      </c>
      <c r="I12" s="12">
        <v>0</v>
      </c>
    </row>
    <row r="13" spans="2:9" ht="15" customHeight="1" x14ac:dyDescent="0.2">
      <c r="B13" t="s">
        <v>53</v>
      </c>
      <c r="C13" s="12">
        <v>154</v>
      </c>
      <c r="D13" s="8">
        <v>9.0399999999999991</v>
      </c>
      <c r="E13" s="12">
        <v>42</v>
      </c>
      <c r="F13" s="8">
        <v>4.6900000000000004</v>
      </c>
      <c r="G13" s="12">
        <v>111</v>
      </c>
      <c r="H13" s="8">
        <v>14.12</v>
      </c>
      <c r="I13" s="12">
        <v>0</v>
      </c>
    </row>
    <row r="14" spans="2:9" ht="15" customHeight="1" x14ac:dyDescent="0.2">
      <c r="B14" t="s">
        <v>54</v>
      </c>
      <c r="C14" s="12">
        <v>101</v>
      </c>
      <c r="D14" s="8">
        <v>5.93</v>
      </c>
      <c r="E14" s="12">
        <v>44</v>
      </c>
      <c r="F14" s="8">
        <v>4.92</v>
      </c>
      <c r="G14" s="12">
        <v>54</v>
      </c>
      <c r="H14" s="8">
        <v>6.87</v>
      </c>
      <c r="I14" s="12">
        <v>1</v>
      </c>
    </row>
    <row r="15" spans="2:9" ht="15" customHeight="1" x14ac:dyDescent="0.2">
      <c r="B15" t="s">
        <v>55</v>
      </c>
      <c r="C15" s="12">
        <v>195</v>
      </c>
      <c r="D15" s="8">
        <v>11.45</v>
      </c>
      <c r="E15" s="12">
        <v>161</v>
      </c>
      <c r="F15" s="8">
        <v>17.989999999999998</v>
      </c>
      <c r="G15" s="12">
        <v>34</v>
      </c>
      <c r="H15" s="8">
        <v>4.33</v>
      </c>
      <c r="I15" s="12">
        <v>0</v>
      </c>
    </row>
    <row r="16" spans="2:9" ht="15" customHeight="1" x14ac:dyDescent="0.2">
      <c r="B16" t="s">
        <v>56</v>
      </c>
      <c r="C16" s="12">
        <v>241</v>
      </c>
      <c r="D16" s="8">
        <v>14.15</v>
      </c>
      <c r="E16" s="12">
        <v>191</v>
      </c>
      <c r="F16" s="8">
        <v>21.34</v>
      </c>
      <c r="G16" s="12">
        <v>47</v>
      </c>
      <c r="H16" s="8">
        <v>5.98</v>
      </c>
      <c r="I16" s="12">
        <v>0</v>
      </c>
    </row>
    <row r="17" spans="2:9" ht="15" customHeight="1" x14ac:dyDescent="0.2">
      <c r="B17" t="s">
        <v>57</v>
      </c>
      <c r="C17" s="12">
        <v>91</v>
      </c>
      <c r="D17" s="8">
        <v>5.34</v>
      </c>
      <c r="E17" s="12">
        <v>67</v>
      </c>
      <c r="F17" s="8">
        <v>7.49</v>
      </c>
      <c r="G17" s="12">
        <v>15</v>
      </c>
      <c r="H17" s="8">
        <v>1.91</v>
      </c>
      <c r="I17" s="12">
        <v>0</v>
      </c>
    </row>
    <row r="18" spans="2:9" ht="15" customHeight="1" x14ac:dyDescent="0.2">
      <c r="B18" t="s">
        <v>58</v>
      </c>
      <c r="C18" s="12">
        <v>105</v>
      </c>
      <c r="D18" s="8">
        <v>6.17</v>
      </c>
      <c r="E18" s="12">
        <v>76</v>
      </c>
      <c r="F18" s="8">
        <v>8.49</v>
      </c>
      <c r="G18" s="12">
        <v>24</v>
      </c>
      <c r="H18" s="8">
        <v>3.05</v>
      </c>
      <c r="I18" s="12">
        <v>0</v>
      </c>
    </row>
    <row r="19" spans="2:9" ht="15" customHeight="1" x14ac:dyDescent="0.2">
      <c r="B19" t="s">
        <v>59</v>
      </c>
      <c r="C19" s="12">
        <v>66</v>
      </c>
      <c r="D19" s="8">
        <v>3.88</v>
      </c>
      <c r="E19" s="12">
        <v>27</v>
      </c>
      <c r="F19" s="8">
        <v>3.02</v>
      </c>
      <c r="G19" s="12">
        <v>38</v>
      </c>
      <c r="H19" s="8">
        <v>4.83</v>
      </c>
      <c r="I19" s="12">
        <v>0</v>
      </c>
    </row>
    <row r="20" spans="2:9" ht="15" customHeight="1" x14ac:dyDescent="0.2">
      <c r="B20" s="9" t="s">
        <v>195</v>
      </c>
      <c r="C20" s="12">
        <f>SUM(LTBL_08217[総数／事業所数])</f>
        <v>1703</v>
      </c>
      <c r="E20" s="12">
        <f>SUBTOTAL(109,LTBL_08217[個人／事業所数])</f>
        <v>895</v>
      </c>
      <c r="G20" s="12">
        <f>SUBTOTAL(109,LTBL_08217[法人／事業所数])</f>
        <v>786</v>
      </c>
      <c r="I20" s="12">
        <f>SUBTOTAL(109,LTBL_08217[法人以外の団体／事業所数])</f>
        <v>1</v>
      </c>
    </row>
    <row r="21" spans="2:9" ht="15" customHeight="1" x14ac:dyDescent="0.2">
      <c r="E21" s="11">
        <f>LTBL_08217[[#Totals],[個人／事業所数]]/LTBL_08217[[#Totals],[総数／事業所数]]</f>
        <v>0.5255431591309454</v>
      </c>
      <c r="G21" s="11">
        <f>LTBL_08217[[#Totals],[法人／事業所数]]/LTBL_08217[[#Totals],[総数／事業所数]]</f>
        <v>0.46153846153846156</v>
      </c>
      <c r="I21" s="11">
        <f>LTBL_08217[[#Totals],[法人以外の団体／事業所数]]/LTBL_08217[[#Totals],[総数／事業所数]]</f>
        <v>5.8719906048150322E-4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199</v>
      </c>
      <c r="D24" s="8">
        <v>11.69</v>
      </c>
      <c r="E24" s="12">
        <v>172</v>
      </c>
      <c r="F24" s="8">
        <v>19.22</v>
      </c>
      <c r="G24" s="12">
        <v>27</v>
      </c>
      <c r="H24" s="8">
        <v>3.44</v>
      </c>
      <c r="I24" s="12">
        <v>0</v>
      </c>
    </row>
    <row r="25" spans="2:9" ht="15" customHeight="1" x14ac:dyDescent="0.2">
      <c r="B25" t="s">
        <v>82</v>
      </c>
      <c r="C25" s="12">
        <v>176</v>
      </c>
      <c r="D25" s="8">
        <v>10.33</v>
      </c>
      <c r="E25" s="12">
        <v>157</v>
      </c>
      <c r="F25" s="8">
        <v>17.54</v>
      </c>
      <c r="G25" s="12">
        <v>19</v>
      </c>
      <c r="H25" s="8">
        <v>2.42</v>
      </c>
      <c r="I25" s="12">
        <v>0</v>
      </c>
    </row>
    <row r="26" spans="2:9" ht="15" customHeight="1" x14ac:dyDescent="0.2">
      <c r="B26" t="s">
        <v>68</v>
      </c>
      <c r="C26" s="12">
        <v>115</v>
      </c>
      <c r="D26" s="8">
        <v>6.75</v>
      </c>
      <c r="E26" s="12">
        <v>21</v>
      </c>
      <c r="F26" s="8">
        <v>2.35</v>
      </c>
      <c r="G26" s="12">
        <v>94</v>
      </c>
      <c r="H26" s="8">
        <v>11.96</v>
      </c>
      <c r="I26" s="12">
        <v>0</v>
      </c>
    </row>
    <row r="27" spans="2:9" ht="15" customHeight="1" x14ac:dyDescent="0.2">
      <c r="B27" t="s">
        <v>79</v>
      </c>
      <c r="C27" s="12">
        <v>112</v>
      </c>
      <c r="D27" s="8">
        <v>6.58</v>
      </c>
      <c r="E27" s="12">
        <v>39</v>
      </c>
      <c r="F27" s="8">
        <v>4.3600000000000003</v>
      </c>
      <c r="G27" s="12">
        <v>72</v>
      </c>
      <c r="H27" s="8">
        <v>9.16</v>
      </c>
      <c r="I27" s="12">
        <v>0</v>
      </c>
    </row>
    <row r="28" spans="2:9" ht="15" customHeight="1" x14ac:dyDescent="0.2">
      <c r="B28" t="s">
        <v>77</v>
      </c>
      <c r="C28" s="12">
        <v>109</v>
      </c>
      <c r="D28" s="8">
        <v>6.4</v>
      </c>
      <c r="E28" s="12">
        <v>46</v>
      </c>
      <c r="F28" s="8">
        <v>5.14</v>
      </c>
      <c r="G28" s="12">
        <v>63</v>
      </c>
      <c r="H28" s="8">
        <v>8.02</v>
      </c>
      <c r="I28" s="12">
        <v>0</v>
      </c>
    </row>
    <row r="29" spans="2:9" ht="15" customHeight="1" x14ac:dyDescent="0.2">
      <c r="B29" t="s">
        <v>85</v>
      </c>
      <c r="C29" s="12">
        <v>91</v>
      </c>
      <c r="D29" s="8">
        <v>5.34</v>
      </c>
      <c r="E29" s="12">
        <v>67</v>
      </c>
      <c r="F29" s="8">
        <v>7.49</v>
      </c>
      <c r="G29" s="12">
        <v>15</v>
      </c>
      <c r="H29" s="8">
        <v>1.91</v>
      </c>
      <c r="I29" s="12">
        <v>0</v>
      </c>
    </row>
    <row r="30" spans="2:9" ht="15" customHeight="1" x14ac:dyDescent="0.2">
      <c r="B30" t="s">
        <v>75</v>
      </c>
      <c r="C30" s="12">
        <v>83</v>
      </c>
      <c r="D30" s="8">
        <v>4.87</v>
      </c>
      <c r="E30" s="12">
        <v>57</v>
      </c>
      <c r="F30" s="8">
        <v>6.37</v>
      </c>
      <c r="G30" s="12">
        <v>26</v>
      </c>
      <c r="H30" s="8">
        <v>3.31</v>
      </c>
      <c r="I30" s="12">
        <v>0</v>
      </c>
    </row>
    <row r="31" spans="2:9" ht="15" customHeight="1" x14ac:dyDescent="0.2">
      <c r="B31" t="s">
        <v>86</v>
      </c>
      <c r="C31" s="12">
        <v>83</v>
      </c>
      <c r="D31" s="8">
        <v>4.87</v>
      </c>
      <c r="E31" s="12">
        <v>75</v>
      </c>
      <c r="F31" s="8">
        <v>8.3800000000000008</v>
      </c>
      <c r="G31" s="12">
        <v>8</v>
      </c>
      <c r="H31" s="8">
        <v>1.02</v>
      </c>
      <c r="I31" s="12">
        <v>0</v>
      </c>
    </row>
    <row r="32" spans="2:9" ht="15" customHeight="1" x14ac:dyDescent="0.2">
      <c r="B32" t="s">
        <v>69</v>
      </c>
      <c r="C32" s="12">
        <v>66</v>
      </c>
      <c r="D32" s="8">
        <v>3.88</v>
      </c>
      <c r="E32" s="12">
        <v>30</v>
      </c>
      <c r="F32" s="8">
        <v>3.35</v>
      </c>
      <c r="G32" s="12">
        <v>36</v>
      </c>
      <c r="H32" s="8">
        <v>4.58</v>
      </c>
      <c r="I32" s="12">
        <v>0</v>
      </c>
    </row>
    <row r="33" spans="2:9" ht="15" customHeight="1" x14ac:dyDescent="0.2">
      <c r="B33" t="s">
        <v>81</v>
      </c>
      <c r="C33" s="12">
        <v>59</v>
      </c>
      <c r="D33" s="8">
        <v>3.46</v>
      </c>
      <c r="E33" s="12">
        <v>14</v>
      </c>
      <c r="F33" s="8">
        <v>1.56</v>
      </c>
      <c r="G33" s="12">
        <v>43</v>
      </c>
      <c r="H33" s="8">
        <v>5.47</v>
      </c>
      <c r="I33" s="12">
        <v>0</v>
      </c>
    </row>
    <row r="34" spans="2:9" ht="15" customHeight="1" x14ac:dyDescent="0.2">
      <c r="B34" t="s">
        <v>76</v>
      </c>
      <c r="C34" s="12">
        <v>57</v>
      </c>
      <c r="D34" s="8">
        <v>3.35</v>
      </c>
      <c r="E34" s="12">
        <v>30</v>
      </c>
      <c r="F34" s="8">
        <v>3.35</v>
      </c>
      <c r="G34" s="12">
        <v>27</v>
      </c>
      <c r="H34" s="8">
        <v>3.44</v>
      </c>
      <c r="I34" s="12">
        <v>0</v>
      </c>
    </row>
    <row r="35" spans="2:9" ht="15" customHeight="1" x14ac:dyDescent="0.2">
      <c r="B35" t="s">
        <v>70</v>
      </c>
      <c r="C35" s="12">
        <v>43</v>
      </c>
      <c r="D35" s="8">
        <v>2.52</v>
      </c>
      <c r="E35" s="12">
        <v>9</v>
      </c>
      <c r="F35" s="8">
        <v>1.01</v>
      </c>
      <c r="G35" s="12">
        <v>34</v>
      </c>
      <c r="H35" s="8">
        <v>4.33</v>
      </c>
      <c r="I35" s="12">
        <v>0</v>
      </c>
    </row>
    <row r="36" spans="2:9" ht="15" customHeight="1" x14ac:dyDescent="0.2">
      <c r="B36" t="s">
        <v>74</v>
      </c>
      <c r="C36" s="12">
        <v>40</v>
      </c>
      <c r="D36" s="8">
        <v>2.35</v>
      </c>
      <c r="E36" s="12">
        <v>23</v>
      </c>
      <c r="F36" s="8">
        <v>2.57</v>
      </c>
      <c r="G36" s="12">
        <v>17</v>
      </c>
      <c r="H36" s="8">
        <v>2.16</v>
      </c>
      <c r="I36" s="12">
        <v>0</v>
      </c>
    </row>
    <row r="37" spans="2:9" ht="15" customHeight="1" x14ac:dyDescent="0.2">
      <c r="B37" t="s">
        <v>80</v>
      </c>
      <c r="C37" s="12">
        <v>40</v>
      </c>
      <c r="D37" s="8">
        <v>2.35</v>
      </c>
      <c r="E37" s="12">
        <v>30</v>
      </c>
      <c r="F37" s="8">
        <v>3.35</v>
      </c>
      <c r="G37" s="12">
        <v>9</v>
      </c>
      <c r="H37" s="8">
        <v>1.1499999999999999</v>
      </c>
      <c r="I37" s="12">
        <v>1</v>
      </c>
    </row>
    <row r="38" spans="2:9" ht="15" customHeight="1" x14ac:dyDescent="0.2">
      <c r="B38" t="s">
        <v>78</v>
      </c>
      <c r="C38" s="12">
        <v>38</v>
      </c>
      <c r="D38" s="8">
        <v>2.23</v>
      </c>
      <c r="E38" s="12">
        <v>3</v>
      </c>
      <c r="F38" s="8">
        <v>0.34</v>
      </c>
      <c r="G38" s="12">
        <v>35</v>
      </c>
      <c r="H38" s="8">
        <v>4.45</v>
      </c>
      <c r="I38" s="12">
        <v>0</v>
      </c>
    </row>
    <row r="39" spans="2:9" ht="15" customHeight="1" x14ac:dyDescent="0.2">
      <c r="B39" t="s">
        <v>84</v>
      </c>
      <c r="C39" s="12">
        <v>31</v>
      </c>
      <c r="D39" s="8">
        <v>1.82</v>
      </c>
      <c r="E39" s="12">
        <v>12</v>
      </c>
      <c r="F39" s="8">
        <v>1.34</v>
      </c>
      <c r="G39" s="12">
        <v>17</v>
      </c>
      <c r="H39" s="8">
        <v>2.16</v>
      </c>
      <c r="I39" s="12">
        <v>0</v>
      </c>
    </row>
    <row r="40" spans="2:9" ht="15" customHeight="1" x14ac:dyDescent="0.2">
      <c r="B40" t="s">
        <v>87</v>
      </c>
      <c r="C40" s="12">
        <v>29</v>
      </c>
      <c r="D40" s="8">
        <v>1.7</v>
      </c>
      <c r="E40" s="12">
        <v>24</v>
      </c>
      <c r="F40" s="8">
        <v>2.68</v>
      </c>
      <c r="G40" s="12">
        <v>5</v>
      </c>
      <c r="H40" s="8">
        <v>0.64</v>
      </c>
      <c r="I40" s="12">
        <v>0</v>
      </c>
    </row>
    <row r="41" spans="2:9" ht="15" customHeight="1" x14ac:dyDescent="0.2">
      <c r="B41" t="s">
        <v>101</v>
      </c>
      <c r="C41" s="12">
        <v>28</v>
      </c>
      <c r="D41" s="8">
        <v>1.64</v>
      </c>
      <c r="E41" s="12">
        <v>15</v>
      </c>
      <c r="F41" s="8">
        <v>1.68</v>
      </c>
      <c r="G41" s="12">
        <v>13</v>
      </c>
      <c r="H41" s="8">
        <v>1.65</v>
      </c>
      <c r="I41" s="12">
        <v>0</v>
      </c>
    </row>
    <row r="42" spans="2:9" ht="15" customHeight="1" x14ac:dyDescent="0.2">
      <c r="B42" t="s">
        <v>73</v>
      </c>
      <c r="C42" s="12">
        <v>23</v>
      </c>
      <c r="D42" s="8">
        <v>1.35</v>
      </c>
      <c r="E42" s="12">
        <v>2</v>
      </c>
      <c r="F42" s="8">
        <v>0.22</v>
      </c>
      <c r="G42" s="12">
        <v>21</v>
      </c>
      <c r="H42" s="8">
        <v>2.67</v>
      </c>
      <c r="I42" s="12">
        <v>0</v>
      </c>
    </row>
    <row r="43" spans="2:9" ht="15" customHeight="1" x14ac:dyDescent="0.2">
      <c r="B43" t="s">
        <v>96</v>
      </c>
      <c r="C43" s="12">
        <v>22</v>
      </c>
      <c r="D43" s="8">
        <v>1.29</v>
      </c>
      <c r="E43" s="12">
        <v>1</v>
      </c>
      <c r="F43" s="8">
        <v>0.11</v>
      </c>
      <c r="G43" s="12">
        <v>16</v>
      </c>
      <c r="H43" s="8">
        <v>2.04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86</v>
      </c>
      <c r="D47" s="8">
        <v>5.05</v>
      </c>
      <c r="E47" s="12">
        <v>84</v>
      </c>
      <c r="F47" s="8">
        <v>9.39</v>
      </c>
      <c r="G47" s="12">
        <v>2</v>
      </c>
      <c r="H47" s="8">
        <v>0.25</v>
      </c>
      <c r="I47" s="12">
        <v>0</v>
      </c>
    </row>
    <row r="48" spans="2:9" ht="15" customHeight="1" x14ac:dyDescent="0.2">
      <c r="B48" t="s">
        <v>133</v>
      </c>
      <c r="C48" s="12">
        <v>74</v>
      </c>
      <c r="D48" s="8">
        <v>4.3499999999999996</v>
      </c>
      <c r="E48" s="12">
        <v>65</v>
      </c>
      <c r="F48" s="8">
        <v>7.26</v>
      </c>
      <c r="G48" s="12">
        <v>9</v>
      </c>
      <c r="H48" s="8">
        <v>1.1499999999999999</v>
      </c>
      <c r="I48" s="12">
        <v>0</v>
      </c>
    </row>
    <row r="49" spans="2:9" ht="15" customHeight="1" x14ac:dyDescent="0.2">
      <c r="B49" t="s">
        <v>136</v>
      </c>
      <c r="C49" s="12">
        <v>58</v>
      </c>
      <c r="D49" s="8">
        <v>3.41</v>
      </c>
      <c r="E49" s="12">
        <v>53</v>
      </c>
      <c r="F49" s="8">
        <v>5.92</v>
      </c>
      <c r="G49" s="12">
        <v>5</v>
      </c>
      <c r="H49" s="8">
        <v>0.64</v>
      </c>
      <c r="I49" s="12">
        <v>0</v>
      </c>
    </row>
    <row r="50" spans="2:9" ht="15" customHeight="1" x14ac:dyDescent="0.2">
      <c r="B50" t="s">
        <v>135</v>
      </c>
      <c r="C50" s="12">
        <v>51</v>
      </c>
      <c r="D50" s="8">
        <v>2.99</v>
      </c>
      <c r="E50" s="12">
        <v>42</v>
      </c>
      <c r="F50" s="8">
        <v>4.6900000000000004</v>
      </c>
      <c r="G50" s="12">
        <v>9</v>
      </c>
      <c r="H50" s="8">
        <v>1.1499999999999999</v>
      </c>
      <c r="I50" s="12">
        <v>0</v>
      </c>
    </row>
    <row r="51" spans="2:9" ht="15" customHeight="1" x14ac:dyDescent="0.2">
      <c r="B51" t="s">
        <v>132</v>
      </c>
      <c r="C51" s="12">
        <v>50</v>
      </c>
      <c r="D51" s="8">
        <v>2.94</v>
      </c>
      <c r="E51" s="12">
        <v>45</v>
      </c>
      <c r="F51" s="8">
        <v>5.03</v>
      </c>
      <c r="G51" s="12">
        <v>5</v>
      </c>
      <c r="H51" s="8">
        <v>0.64</v>
      </c>
      <c r="I51" s="12">
        <v>0</v>
      </c>
    </row>
    <row r="52" spans="2:9" ht="15" customHeight="1" x14ac:dyDescent="0.2">
      <c r="B52" t="s">
        <v>129</v>
      </c>
      <c r="C52" s="12">
        <v>48</v>
      </c>
      <c r="D52" s="8">
        <v>2.82</v>
      </c>
      <c r="E52" s="12">
        <v>26</v>
      </c>
      <c r="F52" s="8">
        <v>2.91</v>
      </c>
      <c r="G52" s="12">
        <v>21</v>
      </c>
      <c r="H52" s="8">
        <v>2.67</v>
      </c>
      <c r="I52" s="12">
        <v>0</v>
      </c>
    </row>
    <row r="53" spans="2:9" ht="15" customHeight="1" x14ac:dyDescent="0.2">
      <c r="B53" t="s">
        <v>130</v>
      </c>
      <c r="C53" s="12">
        <v>45</v>
      </c>
      <c r="D53" s="8">
        <v>2.64</v>
      </c>
      <c r="E53" s="12">
        <v>6</v>
      </c>
      <c r="F53" s="8">
        <v>0.67</v>
      </c>
      <c r="G53" s="12">
        <v>37</v>
      </c>
      <c r="H53" s="8">
        <v>4.71</v>
      </c>
      <c r="I53" s="12">
        <v>0</v>
      </c>
    </row>
    <row r="54" spans="2:9" ht="15" customHeight="1" x14ac:dyDescent="0.2">
      <c r="B54" t="s">
        <v>131</v>
      </c>
      <c r="C54" s="12">
        <v>45</v>
      </c>
      <c r="D54" s="8">
        <v>2.64</v>
      </c>
      <c r="E54" s="12">
        <v>36</v>
      </c>
      <c r="F54" s="8">
        <v>4.0199999999999996</v>
      </c>
      <c r="G54" s="12">
        <v>9</v>
      </c>
      <c r="H54" s="8">
        <v>1.1499999999999999</v>
      </c>
      <c r="I54" s="12">
        <v>0</v>
      </c>
    </row>
    <row r="55" spans="2:9" ht="15" customHeight="1" x14ac:dyDescent="0.2">
      <c r="B55" t="s">
        <v>124</v>
      </c>
      <c r="C55" s="12">
        <v>40</v>
      </c>
      <c r="D55" s="8">
        <v>2.35</v>
      </c>
      <c r="E55" s="12">
        <v>16</v>
      </c>
      <c r="F55" s="8">
        <v>1.79</v>
      </c>
      <c r="G55" s="12">
        <v>24</v>
      </c>
      <c r="H55" s="8">
        <v>3.05</v>
      </c>
      <c r="I55" s="12">
        <v>0</v>
      </c>
    </row>
    <row r="56" spans="2:9" ht="15" customHeight="1" x14ac:dyDescent="0.2">
      <c r="B56" t="s">
        <v>123</v>
      </c>
      <c r="C56" s="12">
        <v>34</v>
      </c>
      <c r="D56" s="8">
        <v>2</v>
      </c>
      <c r="E56" s="12">
        <v>22</v>
      </c>
      <c r="F56" s="8">
        <v>2.46</v>
      </c>
      <c r="G56" s="12">
        <v>12</v>
      </c>
      <c r="H56" s="8">
        <v>1.53</v>
      </c>
      <c r="I56" s="12">
        <v>0</v>
      </c>
    </row>
    <row r="57" spans="2:9" ht="15" customHeight="1" x14ac:dyDescent="0.2">
      <c r="B57" t="s">
        <v>127</v>
      </c>
      <c r="C57" s="12">
        <v>32</v>
      </c>
      <c r="D57" s="8">
        <v>1.88</v>
      </c>
      <c r="E57" s="12">
        <v>15</v>
      </c>
      <c r="F57" s="8">
        <v>1.68</v>
      </c>
      <c r="G57" s="12">
        <v>17</v>
      </c>
      <c r="H57" s="8">
        <v>2.16</v>
      </c>
      <c r="I57" s="12">
        <v>0</v>
      </c>
    </row>
    <row r="58" spans="2:9" ht="15" customHeight="1" x14ac:dyDescent="0.2">
      <c r="B58" t="s">
        <v>125</v>
      </c>
      <c r="C58" s="12">
        <v>30</v>
      </c>
      <c r="D58" s="8">
        <v>1.76</v>
      </c>
      <c r="E58" s="12">
        <v>13</v>
      </c>
      <c r="F58" s="8">
        <v>1.45</v>
      </c>
      <c r="G58" s="12">
        <v>17</v>
      </c>
      <c r="H58" s="8">
        <v>2.16</v>
      </c>
      <c r="I58" s="12">
        <v>0</v>
      </c>
    </row>
    <row r="59" spans="2:9" ht="15" customHeight="1" x14ac:dyDescent="0.2">
      <c r="B59" t="s">
        <v>141</v>
      </c>
      <c r="C59" s="12">
        <v>29</v>
      </c>
      <c r="D59" s="8">
        <v>1.7</v>
      </c>
      <c r="E59" s="12">
        <v>24</v>
      </c>
      <c r="F59" s="8">
        <v>2.68</v>
      </c>
      <c r="G59" s="12">
        <v>5</v>
      </c>
      <c r="H59" s="8">
        <v>0.64</v>
      </c>
      <c r="I59" s="12">
        <v>0</v>
      </c>
    </row>
    <row r="60" spans="2:9" ht="15" customHeight="1" x14ac:dyDescent="0.2">
      <c r="B60" t="s">
        <v>137</v>
      </c>
      <c r="C60" s="12">
        <v>29</v>
      </c>
      <c r="D60" s="8">
        <v>1.7</v>
      </c>
      <c r="E60" s="12">
        <v>24</v>
      </c>
      <c r="F60" s="8">
        <v>2.68</v>
      </c>
      <c r="G60" s="12">
        <v>5</v>
      </c>
      <c r="H60" s="8">
        <v>0.64</v>
      </c>
      <c r="I60" s="12">
        <v>0</v>
      </c>
    </row>
    <row r="61" spans="2:9" ht="15" customHeight="1" x14ac:dyDescent="0.2">
      <c r="B61" t="s">
        <v>118</v>
      </c>
      <c r="C61" s="12">
        <v>28</v>
      </c>
      <c r="D61" s="8">
        <v>1.64</v>
      </c>
      <c r="E61" s="12">
        <v>1</v>
      </c>
      <c r="F61" s="8">
        <v>0.11</v>
      </c>
      <c r="G61" s="12">
        <v>27</v>
      </c>
      <c r="H61" s="8">
        <v>3.44</v>
      </c>
      <c r="I61" s="12">
        <v>0</v>
      </c>
    </row>
    <row r="62" spans="2:9" ht="15" customHeight="1" x14ac:dyDescent="0.2">
      <c r="B62" t="s">
        <v>119</v>
      </c>
      <c r="C62" s="12">
        <v>28</v>
      </c>
      <c r="D62" s="8">
        <v>1.64</v>
      </c>
      <c r="E62" s="12">
        <v>4</v>
      </c>
      <c r="F62" s="8">
        <v>0.45</v>
      </c>
      <c r="G62" s="12">
        <v>24</v>
      </c>
      <c r="H62" s="8">
        <v>3.05</v>
      </c>
      <c r="I62" s="12">
        <v>0</v>
      </c>
    </row>
    <row r="63" spans="2:9" ht="15" customHeight="1" x14ac:dyDescent="0.2">
      <c r="B63" t="s">
        <v>128</v>
      </c>
      <c r="C63" s="12">
        <v>28</v>
      </c>
      <c r="D63" s="8">
        <v>1.64</v>
      </c>
      <c r="E63" s="12">
        <v>4</v>
      </c>
      <c r="F63" s="8">
        <v>0.45</v>
      </c>
      <c r="G63" s="12">
        <v>24</v>
      </c>
      <c r="H63" s="8">
        <v>3.05</v>
      </c>
      <c r="I63" s="12">
        <v>0</v>
      </c>
    </row>
    <row r="64" spans="2:9" ht="15" customHeight="1" x14ac:dyDescent="0.2">
      <c r="B64" t="s">
        <v>138</v>
      </c>
      <c r="C64" s="12">
        <v>28</v>
      </c>
      <c r="D64" s="8">
        <v>1.64</v>
      </c>
      <c r="E64" s="12">
        <v>27</v>
      </c>
      <c r="F64" s="8">
        <v>3.02</v>
      </c>
      <c r="G64" s="12">
        <v>1</v>
      </c>
      <c r="H64" s="8">
        <v>0.13</v>
      </c>
      <c r="I64" s="12">
        <v>0</v>
      </c>
    </row>
    <row r="65" spans="2:9" ht="15" customHeight="1" x14ac:dyDescent="0.2">
      <c r="B65" t="s">
        <v>151</v>
      </c>
      <c r="C65" s="12">
        <v>26</v>
      </c>
      <c r="D65" s="8">
        <v>1.53</v>
      </c>
      <c r="E65" s="12">
        <v>5</v>
      </c>
      <c r="F65" s="8">
        <v>0.56000000000000005</v>
      </c>
      <c r="G65" s="12">
        <v>21</v>
      </c>
      <c r="H65" s="8">
        <v>2.67</v>
      </c>
      <c r="I65" s="12">
        <v>0</v>
      </c>
    </row>
    <row r="66" spans="2:9" ht="15" customHeight="1" x14ac:dyDescent="0.2">
      <c r="B66" t="s">
        <v>163</v>
      </c>
      <c r="C66" s="12">
        <v>26</v>
      </c>
      <c r="D66" s="8">
        <v>1.53</v>
      </c>
      <c r="E66" s="12">
        <v>15</v>
      </c>
      <c r="F66" s="8">
        <v>1.68</v>
      </c>
      <c r="G66" s="12">
        <v>11</v>
      </c>
      <c r="H66" s="8">
        <v>1.4</v>
      </c>
      <c r="I66" s="12">
        <v>0</v>
      </c>
    </row>
    <row r="67" spans="2:9" ht="15" customHeight="1" x14ac:dyDescent="0.2">
      <c r="B67" t="s">
        <v>164</v>
      </c>
      <c r="C67" s="12">
        <v>26</v>
      </c>
      <c r="D67" s="8">
        <v>1.53</v>
      </c>
      <c r="E67" s="12">
        <v>2</v>
      </c>
      <c r="F67" s="8">
        <v>0.22</v>
      </c>
      <c r="G67" s="12">
        <v>24</v>
      </c>
      <c r="H67" s="8">
        <v>3.05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07D3-9355-4011-9A79-92C00CFEF7A2}">
  <sheetPr>
    <pageSetUpPr fitToPage="1"/>
  </sheetPr>
  <dimension ref="A1:H72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60</v>
      </c>
      <c r="B1" s="7" t="s">
        <v>61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</row>
    <row r="2" spans="1:8" x14ac:dyDescent="0.2">
      <c r="A2" s="1" t="s">
        <v>0</v>
      </c>
      <c r="B2" s="4">
        <v>63730</v>
      </c>
      <c r="C2" s="5">
        <v>99.990000000000009</v>
      </c>
      <c r="D2" s="4">
        <v>34800</v>
      </c>
      <c r="E2" s="5">
        <v>100.01</v>
      </c>
      <c r="F2" s="4">
        <v>28455</v>
      </c>
      <c r="G2" s="5">
        <v>100</v>
      </c>
      <c r="H2" s="4">
        <v>55</v>
      </c>
    </row>
    <row r="3" spans="1:8" x14ac:dyDescent="0.2">
      <c r="A3" s="2" t="s">
        <v>45</v>
      </c>
      <c r="B3" s="4">
        <v>31</v>
      </c>
      <c r="C3" s="5">
        <v>0.05</v>
      </c>
      <c r="D3" s="4">
        <v>8</v>
      </c>
      <c r="E3" s="5">
        <v>0.02</v>
      </c>
      <c r="F3" s="4">
        <v>23</v>
      </c>
      <c r="G3" s="5">
        <v>0.08</v>
      </c>
      <c r="H3" s="4">
        <v>0</v>
      </c>
    </row>
    <row r="4" spans="1:8" x14ac:dyDescent="0.2">
      <c r="A4" s="2" t="s">
        <v>46</v>
      </c>
      <c r="B4" s="4">
        <v>11715</v>
      </c>
      <c r="C4" s="5">
        <v>18.38</v>
      </c>
      <c r="D4" s="4">
        <v>4749</v>
      </c>
      <c r="E4" s="5">
        <v>13.65</v>
      </c>
      <c r="F4" s="4">
        <v>6965</v>
      </c>
      <c r="G4" s="5">
        <v>24.48</v>
      </c>
      <c r="H4" s="4">
        <v>1</v>
      </c>
    </row>
    <row r="5" spans="1:8" x14ac:dyDescent="0.2">
      <c r="A5" s="2" t="s">
        <v>47</v>
      </c>
      <c r="B5" s="4">
        <v>5766</v>
      </c>
      <c r="C5" s="5">
        <v>9.0500000000000007</v>
      </c>
      <c r="D5" s="4">
        <v>2340</v>
      </c>
      <c r="E5" s="5">
        <v>6.72</v>
      </c>
      <c r="F5" s="4">
        <v>3425</v>
      </c>
      <c r="G5" s="5">
        <v>12.04</v>
      </c>
      <c r="H5" s="4">
        <v>1</v>
      </c>
    </row>
    <row r="6" spans="1:8" x14ac:dyDescent="0.2">
      <c r="A6" s="2" t="s">
        <v>48</v>
      </c>
      <c r="B6" s="4">
        <v>199</v>
      </c>
      <c r="C6" s="5">
        <v>0.31</v>
      </c>
      <c r="D6" s="4">
        <v>3</v>
      </c>
      <c r="E6" s="5">
        <v>0.01</v>
      </c>
      <c r="F6" s="4">
        <v>184</v>
      </c>
      <c r="G6" s="5">
        <v>0.65</v>
      </c>
      <c r="H6" s="4">
        <v>1</v>
      </c>
    </row>
    <row r="7" spans="1:8" x14ac:dyDescent="0.2">
      <c r="A7" s="2" t="s">
        <v>49</v>
      </c>
      <c r="B7" s="4">
        <v>449</v>
      </c>
      <c r="C7" s="5">
        <v>0.7</v>
      </c>
      <c r="D7" s="4">
        <v>33</v>
      </c>
      <c r="E7" s="5">
        <v>0.09</v>
      </c>
      <c r="F7" s="4">
        <v>416</v>
      </c>
      <c r="G7" s="5">
        <v>1.46</v>
      </c>
      <c r="H7" s="4">
        <v>0</v>
      </c>
    </row>
    <row r="8" spans="1:8" x14ac:dyDescent="0.2">
      <c r="A8" s="2" t="s">
        <v>50</v>
      </c>
      <c r="B8" s="4">
        <v>690</v>
      </c>
      <c r="C8" s="5">
        <v>1.08</v>
      </c>
      <c r="D8" s="4">
        <v>95</v>
      </c>
      <c r="E8" s="5">
        <v>0.27</v>
      </c>
      <c r="F8" s="4">
        <v>588</v>
      </c>
      <c r="G8" s="5">
        <v>2.0699999999999998</v>
      </c>
      <c r="H8" s="4">
        <v>6</v>
      </c>
    </row>
    <row r="9" spans="1:8" x14ac:dyDescent="0.2">
      <c r="A9" s="2" t="s">
        <v>51</v>
      </c>
      <c r="B9" s="4">
        <v>14546</v>
      </c>
      <c r="C9" s="5">
        <v>22.82</v>
      </c>
      <c r="D9" s="4">
        <v>7291</v>
      </c>
      <c r="E9" s="5">
        <v>20.95</v>
      </c>
      <c r="F9" s="4">
        <v>7240</v>
      </c>
      <c r="G9" s="5">
        <v>25.44</v>
      </c>
      <c r="H9" s="4">
        <v>14</v>
      </c>
    </row>
    <row r="10" spans="1:8" x14ac:dyDescent="0.2">
      <c r="A10" s="2" t="s">
        <v>52</v>
      </c>
      <c r="B10" s="4">
        <v>382</v>
      </c>
      <c r="C10" s="5">
        <v>0.6</v>
      </c>
      <c r="D10" s="4">
        <v>62</v>
      </c>
      <c r="E10" s="5">
        <v>0.18</v>
      </c>
      <c r="F10" s="4">
        <v>319</v>
      </c>
      <c r="G10" s="5">
        <v>1.1200000000000001</v>
      </c>
      <c r="H10" s="4">
        <v>0</v>
      </c>
    </row>
    <row r="11" spans="1:8" x14ac:dyDescent="0.2">
      <c r="A11" s="2" t="s">
        <v>53</v>
      </c>
      <c r="B11" s="4">
        <v>4765</v>
      </c>
      <c r="C11" s="5">
        <v>7.48</v>
      </c>
      <c r="D11" s="4">
        <v>2066</v>
      </c>
      <c r="E11" s="5">
        <v>5.94</v>
      </c>
      <c r="F11" s="4">
        <v>2690</v>
      </c>
      <c r="G11" s="5">
        <v>9.4499999999999993</v>
      </c>
      <c r="H11" s="4">
        <v>3</v>
      </c>
    </row>
    <row r="12" spans="1:8" x14ac:dyDescent="0.2">
      <c r="A12" s="2" t="s">
        <v>54</v>
      </c>
      <c r="B12" s="4">
        <v>2877</v>
      </c>
      <c r="C12" s="5">
        <v>4.51</v>
      </c>
      <c r="D12" s="4">
        <v>1462</v>
      </c>
      <c r="E12" s="5">
        <v>4.2</v>
      </c>
      <c r="F12" s="4">
        <v>1381</v>
      </c>
      <c r="G12" s="5">
        <v>4.8499999999999996</v>
      </c>
      <c r="H12" s="4">
        <v>2</v>
      </c>
    </row>
    <row r="13" spans="1:8" x14ac:dyDescent="0.2">
      <c r="A13" s="2" t="s">
        <v>55</v>
      </c>
      <c r="B13" s="4">
        <v>6421</v>
      </c>
      <c r="C13" s="5">
        <v>10.08</v>
      </c>
      <c r="D13" s="4">
        <v>5205</v>
      </c>
      <c r="E13" s="5">
        <v>14.96</v>
      </c>
      <c r="F13" s="4">
        <v>1193</v>
      </c>
      <c r="G13" s="5">
        <v>4.1900000000000004</v>
      </c>
      <c r="H13" s="4">
        <v>0</v>
      </c>
    </row>
    <row r="14" spans="1:8" x14ac:dyDescent="0.2">
      <c r="A14" s="2" t="s">
        <v>56</v>
      </c>
      <c r="B14" s="4">
        <v>8333</v>
      </c>
      <c r="C14" s="5">
        <v>13.08</v>
      </c>
      <c r="D14" s="4">
        <v>6795</v>
      </c>
      <c r="E14" s="5">
        <v>19.53</v>
      </c>
      <c r="F14" s="4">
        <v>1497</v>
      </c>
      <c r="G14" s="5">
        <v>5.26</v>
      </c>
      <c r="H14" s="4">
        <v>4</v>
      </c>
    </row>
    <row r="15" spans="1:8" x14ac:dyDescent="0.2">
      <c r="A15" s="2" t="s">
        <v>57</v>
      </c>
      <c r="B15" s="4">
        <v>2029</v>
      </c>
      <c r="C15" s="5">
        <v>3.18</v>
      </c>
      <c r="D15" s="4">
        <v>1373</v>
      </c>
      <c r="E15" s="5">
        <v>3.95</v>
      </c>
      <c r="F15" s="4">
        <v>487</v>
      </c>
      <c r="G15" s="5">
        <v>1.71</v>
      </c>
      <c r="H15" s="4">
        <v>4</v>
      </c>
    </row>
    <row r="16" spans="1:8" x14ac:dyDescent="0.2">
      <c r="A16" s="2" t="s">
        <v>58</v>
      </c>
      <c r="B16" s="4">
        <v>2619</v>
      </c>
      <c r="C16" s="5">
        <v>4.1100000000000003</v>
      </c>
      <c r="D16" s="4">
        <v>1801</v>
      </c>
      <c r="E16" s="5">
        <v>5.18</v>
      </c>
      <c r="F16" s="4">
        <v>733</v>
      </c>
      <c r="G16" s="5">
        <v>2.58</v>
      </c>
      <c r="H16" s="4">
        <v>8</v>
      </c>
    </row>
    <row r="17" spans="1:8" x14ac:dyDescent="0.2">
      <c r="A17" s="2" t="s">
        <v>59</v>
      </c>
      <c r="B17" s="4">
        <v>2908</v>
      </c>
      <c r="C17" s="5">
        <v>4.5599999999999996</v>
      </c>
      <c r="D17" s="4">
        <v>1517</v>
      </c>
      <c r="E17" s="5">
        <v>4.3600000000000003</v>
      </c>
      <c r="F17" s="4">
        <v>1314</v>
      </c>
      <c r="G17" s="5">
        <v>4.62</v>
      </c>
      <c r="H17" s="4">
        <v>11</v>
      </c>
    </row>
    <row r="18" spans="1:8" x14ac:dyDescent="0.2">
      <c r="A18" s="1" t="s">
        <v>1</v>
      </c>
      <c r="B18" s="4">
        <v>6525</v>
      </c>
      <c r="C18" s="5">
        <v>99.97999999999999</v>
      </c>
      <c r="D18" s="4">
        <v>3112</v>
      </c>
      <c r="E18" s="5">
        <v>100.02000000000001</v>
      </c>
      <c r="F18" s="4">
        <v>3370</v>
      </c>
      <c r="G18" s="5">
        <v>100</v>
      </c>
      <c r="H18" s="4">
        <v>8</v>
      </c>
    </row>
    <row r="19" spans="1:8" x14ac:dyDescent="0.2">
      <c r="A19" s="2" t="s">
        <v>45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46</v>
      </c>
      <c r="B20" s="4">
        <v>883</v>
      </c>
      <c r="C20" s="5">
        <v>13.53</v>
      </c>
      <c r="D20" s="4">
        <v>218</v>
      </c>
      <c r="E20" s="5">
        <v>7.01</v>
      </c>
      <c r="F20" s="4">
        <v>664</v>
      </c>
      <c r="G20" s="5">
        <v>19.7</v>
      </c>
      <c r="H20" s="4">
        <v>1</v>
      </c>
    </row>
    <row r="21" spans="1:8" x14ac:dyDescent="0.2">
      <c r="A21" s="2" t="s">
        <v>47</v>
      </c>
      <c r="B21" s="4">
        <v>284</v>
      </c>
      <c r="C21" s="5">
        <v>4.3499999999999996</v>
      </c>
      <c r="D21" s="4">
        <v>112</v>
      </c>
      <c r="E21" s="5">
        <v>3.6</v>
      </c>
      <c r="F21" s="4">
        <v>172</v>
      </c>
      <c r="G21" s="5">
        <v>5.0999999999999996</v>
      </c>
      <c r="H21" s="4">
        <v>0</v>
      </c>
    </row>
    <row r="22" spans="1:8" x14ac:dyDescent="0.2">
      <c r="A22" s="2" t="s">
        <v>48</v>
      </c>
      <c r="B22" s="4">
        <v>15</v>
      </c>
      <c r="C22" s="5">
        <v>0.23</v>
      </c>
      <c r="D22" s="4">
        <v>0</v>
      </c>
      <c r="E22" s="5">
        <v>0</v>
      </c>
      <c r="F22" s="4">
        <v>15</v>
      </c>
      <c r="G22" s="5">
        <v>0.45</v>
      </c>
      <c r="H22" s="4">
        <v>0</v>
      </c>
    </row>
    <row r="23" spans="1:8" x14ac:dyDescent="0.2">
      <c r="A23" s="2" t="s">
        <v>49</v>
      </c>
      <c r="B23" s="4">
        <v>59</v>
      </c>
      <c r="C23" s="5">
        <v>0.9</v>
      </c>
      <c r="D23" s="4">
        <v>0</v>
      </c>
      <c r="E23" s="5">
        <v>0</v>
      </c>
      <c r="F23" s="4">
        <v>59</v>
      </c>
      <c r="G23" s="5">
        <v>1.75</v>
      </c>
      <c r="H23" s="4">
        <v>0</v>
      </c>
    </row>
    <row r="24" spans="1:8" x14ac:dyDescent="0.2">
      <c r="A24" s="2" t="s">
        <v>50</v>
      </c>
      <c r="B24" s="4">
        <v>23</v>
      </c>
      <c r="C24" s="5">
        <v>0.35</v>
      </c>
      <c r="D24" s="4">
        <v>3</v>
      </c>
      <c r="E24" s="5">
        <v>0.1</v>
      </c>
      <c r="F24" s="4">
        <v>20</v>
      </c>
      <c r="G24" s="5">
        <v>0.59</v>
      </c>
      <c r="H24" s="4">
        <v>0</v>
      </c>
    </row>
    <row r="25" spans="1:8" x14ac:dyDescent="0.2">
      <c r="A25" s="2" t="s">
        <v>51</v>
      </c>
      <c r="B25" s="4">
        <v>1515</v>
      </c>
      <c r="C25" s="5">
        <v>23.22</v>
      </c>
      <c r="D25" s="4">
        <v>538</v>
      </c>
      <c r="E25" s="5">
        <v>17.29</v>
      </c>
      <c r="F25" s="4">
        <v>976</v>
      </c>
      <c r="G25" s="5">
        <v>28.96</v>
      </c>
      <c r="H25" s="4">
        <v>1</v>
      </c>
    </row>
    <row r="26" spans="1:8" x14ac:dyDescent="0.2">
      <c r="A26" s="2" t="s">
        <v>52</v>
      </c>
      <c r="B26" s="4">
        <v>77</v>
      </c>
      <c r="C26" s="5">
        <v>1.18</v>
      </c>
      <c r="D26" s="4">
        <v>3</v>
      </c>
      <c r="E26" s="5">
        <v>0.1</v>
      </c>
      <c r="F26" s="4">
        <v>74</v>
      </c>
      <c r="G26" s="5">
        <v>2.2000000000000002</v>
      </c>
      <c r="H26" s="4">
        <v>0</v>
      </c>
    </row>
    <row r="27" spans="1:8" x14ac:dyDescent="0.2">
      <c r="A27" s="2" t="s">
        <v>53</v>
      </c>
      <c r="B27" s="4">
        <v>767</v>
      </c>
      <c r="C27" s="5">
        <v>11.75</v>
      </c>
      <c r="D27" s="4">
        <v>324</v>
      </c>
      <c r="E27" s="5">
        <v>10.41</v>
      </c>
      <c r="F27" s="4">
        <v>442</v>
      </c>
      <c r="G27" s="5">
        <v>13.12</v>
      </c>
      <c r="H27" s="4">
        <v>1</v>
      </c>
    </row>
    <row r="28" spans="1:8" x14ac:dyDescent="0.2">
      <c r="A28" s="2" t="s">
        <v>54</v>
      </c>
      <c r="B28" s="4">
        <v>465</v>
      </c>
      <c r="C28" s="5">
        <v>7.13</v>
      </c>
      <c r="D28" s="4">
        <v>211</v>
      </c>
      <c r="E28" s="5">
        <v>6.78</v>
      </c>
      <c r="F28" s="4">
        <v>251</v>
      </c>
      <c r="G28" s="5">
        <v>7.45</v>
      </c>
      <c r="H28" s="4">
        <v>0</v>
      </c>
    </row>
    <row r="29" spans="1:8" x14ac:dyDescent="0.2">
      <c r="A29" s="2" t="s">
        <v>55</v>
      </c>
      <c r="B29" s="4">
        <v>736</v>
      </c>
      <c r="C29" s="5">
        <v>11.28</v>
      </c>
      <c r="D29" s="4">
        <v>606</v>
      </c>
      <c r="E29" s="5">
        <v>19.47</v>
      </c>
      <c r="F29" s="4">
        <v>130</v>
      </c>
      <c r="G29" s="5">
        <v>3.86</v>
      </c>
      <c r="H29" s="4">
        <v>0</v>
      </c>
    </row>
    <row r="30" spans="1:8" x14ac:dyDescent="0.2">
      <c r="A30" s="2" t="s">
        <v>56</v>
      </c>
      <c r="B30" s="4">
        <v>819</v>
      </c>
      <c r="C30" s="5">
        <v>12.55</v>
      </c>
      <c r="D30" s="4">
        <v>603</v>
      </c>
      <c r="E30" s="5">
        <v>19.38</v>
      </c>
      <c r="F30" s="4">
        <v>215</v>
      </c>
      <c r="G30" s="5">
        <v>6.38</v>
      </c>
      <c r="H30" s="4">
        <v>0</v>
      </c>
    </row>
    <row r="31" spans="1:8" x14ac:dyDescent="0.2">
      <c r="A31" s="2" t="s">
        <v>57</v>
      </c>
      <c r="B31" s="4">
        <v>246</v>
      </c>
      <c r="C31" s="5">
        <v>3.77</v>
      </c>
      <c r="D31" s="4">
        <v>159</v>
      </c>
      <c r="E31" s="5">
        <v>5.1100000000000003</v>
      </c>
      <c r="F31" s="4">
        <v>58</v>
      </c>
      <c r="G31" s="5">
        <v>1.72</v>
      </c>
      <c r="H31" s="4">
        <v>1</v>
      </c>
    </row>
    <row r="32" spans="1:8" x14ac:dyDescent="0.2">
      <c r="A32" s="2" t="s">
        <v>58</v>
      </c>
      <c r="B32" s="4">
        <v>301</v>
      </c>
      <c r="C32" s="5">
        <v>4.6100000000000003</v>
      </c>
      <c r="D32" s="4">
        <v>205</v>
      </c>
      <c r="E32" s="5">
        <v>6.59</v>
      </c>
      <c r="F32" s="4">
        <v>92</v>
      </c>
      <c r="G32" s="5">
        <v>2.73</v>
      </c>
      <c r="H32" s="4">
        <v>2</v>
      </c>
    </row>
    <row r="33" spans="1:8" x14ac:dyDescent="0.2">
      <c r="A33" s="2" t="s">
        <v>59</v>
      </c>
      <c r="B33" s="4">
        <v>335</v>
      </c>
      <c r="C33" s="5">
        <v>5.13</v>
      </c>
      <c r="D33" s="4">
        <v>130</v>
      </c>
      <c r="E33" s="5">
        <v>4.18</v>
      </c>
      <c r="F33" s="4">
        <v>202</v>
      </c>
      <c r="G33" s="5">
        <v>5.99</v>
      </c>
      <c r="H33" s="4">
        <v>2</v>
      </c>
    </row>
    <row r="34" spans="1:8" x14ac:dyDescent="0.2">
      <c r="A34" s="1" t="s">
        <v>2</v>
      </c>
      <c r="B34" s="4">
        <v>3531</v>
      </c>
      <c r="C34" s="5">
        <v>100</v>
      </c>
      <c r="D34" s="4">
        <v>2025</v>
      </c>
      <c r="E34" s="5">
        <v>100</v>
      </c>
      <c r="F34" s="4">
        <v>1495</v>
      </c>
      <c r="G34" s="5">
        <v>99.97999999999999</v>
      </c>
      <c r="H34" s="4">
        <v>1</v>
      </c>
    </row>
    <row r="35" spans="1:8" x14ac:dyDescent="0.2">
      <c r="A35" s="2" t="s">
        <v>45</v>
      </c>
      <c r="B35" s="4">
        <v>4</v>
      </c>
      <c r="C35" s="5">
        <v>0.11</v>
      </c>
      <c r="D35" s="4">
        <v>2</v>
      </c>
      <c r="E35" s="5">
        <v>0.1</v>
      </c>
      <c r="F35" s="4">
        <v>2</v>
      </c>
      <c r="G35" s="5">
        <v>0.13</v>
      </c>
      <c r="H35" s="4">
        <v>0</v>
      </c>
    </row>
    <row r="36" spans="1:8" x14ac:dyDescent="0.2">
      <c r="A36" s="2" t="s">
        <v>46</v>
      </c>
      <c r="B36" s="4">
        <v>501</v>
      </c>
      <c r="C36" s="5">
        <v>14.19</v>
      </c>
      <c r="D36" s="4">
        <v>160</v>
      </c>
      <c r="E36" s="5">
        <v>7.9</v>
      </c>
      <c r="F36" s="4">
        <v>341</v>
      </c>
      <c r="G36" s="5">
        <v>22.81</v>
      </c>
      <c r="H36" s="4">
        <v>0</v>
      </c>
    </row>
    <row r="37" spans="1:8" x14ac:dyDescent="0.2">
      <c r="A37" s="2" t="s">
        <v>47</v>
      </c>
      <c r="B37" s="4">
        <v>352</v>
      </c>
      <c r="C37" s="5">
        <v>9.9700000000000006</v>
      </c>
      <c r="D37" s="4">
        <v>117</v>
      </c>
      <c r="E37" s="5">
        <v>5.78</v>
      </c>
      <c r="F37" s="4">
        <v>235</v>
      </c>
      <c r="G37" s="5">
        <v>15.72</v>
      </c>
      <c r="H37" s="4">
        <v>0</v>
      </c>
    </row>
    <row r="38" spans="1:8" x14ac:dyDescent="0.2">
      <c r="A38" s="2" t="s">
        <v>48</v>
      </c>
      <c r="B38" s="4">
        <v>13</v>
      </c>
      <c r="C38" s="5">
        <v>0.37</v>
      </c>
      <c r="D38" s="4">
        <v>0</v>
      </c>
      <c r="E38" s="5">
        <v>0</v>
      </c>
      <c r="F38" s="4">
        <v>13</v>
      </c>
      <c r="G38" s="5">
        <v>0.87</v>
      </c>
      <c r="H38" s="4">
        <v>0</v>
      </c>
    </row>
    <row r="39" spans="1:8" x14ac:dyDescent="0.2">
      <c r="A39" s="2" t="s">
        <v>49</v>
      </c>
      <c r="B39" s="4">
        <v>30</v>
      </c>
      <c r="C39" s="5">
        <v>0.85</v>
      </c>
      <c r="D39" s="4">
        <v>2</v>
      </c>
      <c r="E39" s="5">
        <v>0.1</v>
      </c>
      <c r="F39" s="4">
        <v>28</v>
      </c>
      <c r="G39" s="5">
        <v>1.87</v>
      </c>
      <c r="H39" s="4">
        <v>0</v>
      </c>
    </row>
    <row r="40" spans="1:8" x14ac:dyDescent="0.2">
      <c r="A40" s="2" t="s">
        <v>50</v>
      </c>
      <c r="B40" s="4">
        <v>19</v>
      </c>
      <c r="C40" s="5">
        <v>0.54</v>
      </c>
      <c r="D40" s="4">
        <v>1</v>
      </c>
      <c r="E40" s="5">
        <v>0.05</v>
      </c>
      <c r="F40" s="4">
        <v>18</v>
      </c>
      <c r="G40" s="5">
        <v>1.2</v>
      </c>
      <c r="H40" s="4">
        <v>0</v>
      </c>
    </row>
    <row r="41" spans="1:8" x14ac:dyDescent="0.2">
      <c r="A41" s="2" t="s">
        <v>51</v>
      </c>
      <c r="B41" s="4">
        <v>819</v>
      </c>
      <c r="C41" s="5">
        <v>23.19</v>
      </c>
      <c r="D41" s="4">
        <v>412</v>
      </c>
      <c r="E41" s="5">
        <v>20.350000000000001</v>
      </c>
      <c r="F41" s="4">
        <v>407</v>
      </c>
      <c r="G41" s="5">
        <v>27.22</v>
      </c>
      <c r="H41" s="4">
        <v>0</v>
      </c>
    </row>
    <row r="42" spans="1:8" x14ac:dyDescent="0.2">
      <c r="A42" s="2" t="s">
        <v>52</v>
      </c>
      <c r="B42" s="4">
        <v>10</v>
      </c>
      <c r="C42" s="5">
        <v>0.28000000000000003</v>
      </c>
      <c r="D42" s="4">
        <v>1</v>
      </c>
      <c r="E42" s="5">
        <v>0.05</v>
      </c>
      <c r="F42" s="4">
        <v>9</v>
      </c>
      <c r="G42" s="5">
        <v>0.6</v>
      </c>
      <c r="H42" s="4">
        <v>0</v>
      </c>
    </row>
    <row r="43" spans="1:8" x14ac:dyDescent="0.2">
      <c r="A43" s="2" t="s">
        <v>53</v>
      </c>
      <c r="B43" s="4">
        <v>237</v>
      </c>
      <c r="C43" s="5">
        <v>6.71</v>
      </c>
      <c r="D43" s="4">
        <v>110</v>
      </c>
      <c r="E43" s="5">
        <v>5.43</v>
      </c>
      <c r="F43" s="4">
        <v>127</v>
      </c>
      <c r="G43" s="5">
        <v>8.49</v>
      </c>
      <c r="H43" s="4">
        <v>0</v>
      </c>
    </row>
    <row r="44" spans="1:8" x14ac:dyDescent="0.2">
      <c r="A44" s="2" t="s">
        <v>54</v>
      </c>
      <c r="B44" s="4">
        <v>139</v>
      </c>
      <c r="C44" s="5">
        <v>3.94</v>
      </c>
      <c r="D44" s="4">
        <v>80</v>
      </c>
      <c r="E44" s="5">
        <v>3.95</v>
      </c>
      <c r="F44" s="4">
        <v>57</v>
      </c>
      <c r="G44" s="5">
        <v>3.81</v>
      </c>
      <c r="H44" s="4">
        <v>0</v>
      </c>
    </row>
    <row r="45" spans="1:8" x14ac:dyDescent="0.2">
      <c r="A45" s="2" t="s">
        <v>55</v>
      </c>
      <c r="B45" s="4">
        <v>468</v>
      </c>
      <c r="C45" s="5">
        <v>13.25</v>
      </c>
      <c r="D45" s="4">
        <v>400</v>
      </c>
      <c r="E45" s="5">
        <v>19.75</v>
      </c>
      <c r="F45" s="4">
        <v>67</v>
      </c>
      <c r="G45" s="5">
        <v>4.4800000000000004</v>
      </c>
      <c r="H45" s="4">
        <v>0</v>
      </c>
    </row>
    <row r="46" spans="1:8" x14ac:dyDescent="0.2">
      <c r="A46" s="2" t="s">
        <v>56</v>
      </c>
      <c r="B46" s="4">
        <v>566</v>
      </c>
      <c r="C46" s="5">
        <v>16.03</v>
      </c>
      <c r="D46" s="4">
        <v>484</v>
      </c>
      <c r="E46" s="5">
        <v>23.9</v>
      </c>
      <c r="F46" s="4">
        <v>81</v>
      </c>
      <c r="G46" s="5">
        <v>5.42</v>
      </c>
      <c r="H46" s="4">
        <v>0</v>
      </c>
    </row>
    <row r="47" spans="1:8" x14ac:dyDescent="0.2">
      <c r="A47" s="2" t="s">
        <v>57</v>
      </c>
      <c r="B47" s="4">
        <v>137</v>
      </c>
      <c r="C47" s="5">
        <v>3.88</v>
      </c>
      <c r="D47" s="4">
        <v>99</v>
      </c>
      <c r="E47" s="5">
        <v>4.8899999999999997</v>
      </c>
      <c r="F47" s="4">
        <v>36</v>
      </c>
      <c r="G47" s="5">
        <v>2.41</v>
      </c>
      <c r="H47" s="4">
        <v>0</v>
      </c>
    </row>
    <row r="48" spans="1:8" x14ac:dyDescent="0.2">
      <c r="A48" s="2" t="s">
        <v>58</v>
      </c>
      <c r="B48" s="4">
        <v>138</v>
      </c>
      <c r="C48" s="5">
        <v>3.91</v>
      </c>
      <c r="D48" s="4">
        <v>109</v>
      </c>
      <c r="E48" s="5">
        <v>5.38</v>
      </c>
      <c r="F48" s="4">
        <v>24</v>
      </c>
      <c r="G48" s="5">
        <v>1.61</v>
      </c>
      <c r="H48" s="4">
        <v>1</v>
      </c>
    </row>
    <row r="49" spans="1:8" x14ac:dyDescent="0.2">
      <c r="A49" s="2" t="s">
        <v>59</v>
      </c>
      <c r="B49" s="4">
        <v>98</v>
      </c>
      <c r="C49" s="5">
        <v>2.78</v>
      </c>
      <c r="D49" s="4">
        <v>48</v>
      </c>
      <c r="E49" s="5">
        <v>2.37</v>
      </c>
      <c r="F49" s="4">
        <v>50</v>
      </c>
      <c r="G49" s="5">
        <v>3.34</v>
      </c>
      <c r="H49" s="4">
        <v>0</v>
      </c>
    </row>
    <row r="50" spans="1:8" x14ac:dyDescent="0.2">
      <c r="A50" s="1" t="s">
        <v>3</v>
      </c>
      <c r="B50" s="4">
        <v>3147</v>
      </c>
      <c r="C50" s="5">
        <v>100.00000000000003</v>
      </c>
      <c r="D50" s="4">
        <v>1529</v>
      </c>
      <c r="E50" s="5">
        <v>100.00999999999999</v>
      </c>
      <c r="F50" s="4">
        <v>1605</v>
      </c>
      <c r="G50" s="5">
        <v>100.00999999999999</v>
      </c>
      <c r="H50" s="4">
        <v>1</v>
      </c>
    </row>
    <row r="51" spans="1:8" x14ac:dyDescent="0.2">
      <c r="A51" s="2" t="s">
        <v>45</v>
      </c>
      <c r="B51" s="4">
        <v>1</v>
      </c>
      <c r="C51" s="5">
        <v>0.03</v>
      </c>
      <c r="D51" s="4">
        <v>0</v>
      </c>
      <c r="E51" s="5">
        <v>0</v>
      </c>
      <c r="F51" s="4">
        <v>1</v>
      </c>
      <c r="G51" s="5">
        <v>0.06</v>
      </c>
      <c r="H51" s="4">
        <v>0</v>
      </c>
    </row>
    <row r="52" spans="1:8" x14ac:dyDescent="0.2">
      <c r="A52" s="2" t="s">
        <v>46</v>
      </c>
      <c r="B52" s="4">
        <v>492</v>
      </c>
      <c r="C52" s="5">
        <v>15.63</v>
      </c>
      <c r="D52" s="4">
        <v>146</v>
      </c>
      <c r="E52" s="5">
        <v>9.5500000000000007</v>
      </c>
      <c r="F52" s="4">
        <v>346</v>
      </c>
      <c r="G52" s="5">
        <v>21.56</v>
      </c>
      <c r="H52" s="4">
        <v>0</v>
      </c>
    </row>
    <row r="53" spans="1:8" x14ac:dyDescent="0.2">
      <c r="A53" s="2" t="s">
        <v>47</v>
      </c>
      <c r="B53" s="4">
        <v>193</v>
      </c>
      <c r="C53" s="5">
        <v>6.13</v>
      </c>
      <c r="D53" s="4">
        <v>74</v>
      </c>
      <c r="E53" s="5">
        <v>4.84</v>
      </c>
      <c r="F53" s="4">
        <v>119</v>
      </c>
      <c r="G53" s="5">
        <v>7.41</v>
      </c>
      <c r="H53" s="4">
        <v>0</v>
      </c>
    </row>
    <row r="54" spans="1:8" x14ac:dyDescent="0.2">
      <c r="A54" s="2" t="s">
        <v>48</v>
      </c>
      <c r="B54" s="4">
        <v>11</v>
      </c>
      <c r="C54" s="5">
        <v>0.35</v>
      </c>
      <c r="D54" s="4">
        <v>1</v>
      </c>
      <c r="E54" s="5">
        <v>7.0000000000000007E-2</v>
      </c>
      <c r="F54" s="4">
        <v>9</v>
      </c>
      <c r="G54" s="5">
        <v>0.56000000000000005</v>
      </c>
      <c r="H54" s="4">
        <v>1</v>
      </c>
    </row>
    <row r="55" spans="1:8" x14ac:dyDescent="0.2">
      <c r="A55" s="2" t="s">
        <v>49</v>
      </c>
      <c r="B55" s="4">
        <v>23</v>
      </c>
      <c r="C55" s="5">
        <v>0.73</v>
      </c>
      <c r="D55" s="4">
        <v>1</v>
      </c>
      <c r="E55" s="5">
        <v>7.0000000000000007E-2</v>
      </c>
      <c r="F55" s="4">
        <v>22</v>
      </c>
      <c r="G55" s="5">
        <v>1.37</v>
      </c>
      <c r="H55" s="4">
        <v>0</v>
      </c>
    </row>
    <row r="56" spans="1:8" x14ac:dyDescent="0.2">
      <c r="A56" s="2" t="s">
        <v>50</v>
      </c>
      <c r="B56" s="4">
        <v>27</v>
      </c>
      <c r="C56" s="5">
        <v>0.86</v>
      </c>
      <c r="D56" s="4">
        <v>2</v>
      </c>
      <c r="E56" s="5">
        <v>0.13</v>
      </c>
      <c r="F56" s="4">
        <v>25</v>
      </c>
      <c r="G56" s="5">
        <v>1.56</v>
      </c>
      <c r="H56" s="4">
        <v>0</v>
      </c>
    </row>
    <row r="57" spans="1:8" x14ac:dyDescent="0.2">
      <c r="A57" s="2" t="s">
        <v>51</v>
      </c>
      <c r="B57" s="4">
        <v>732</v>
      </c>
      <c r="C57" s="5">
        <v>23.26</v>
      </c>
      <c r="D57" s="4">
        <v>276</v>
      </c>
      <c r="E57" s="5">
        <v>18.05</v>
      </c>
      <c r="F57" s="4">
        <v>456</v>
      </c>
      <c r="G57" s="5">
        <v>28.41</v>
      </c>
      <c r="H57" s="4">
        <v>0</v>
      </c>
    </row>
    <row r="58" spans="1:8" x14ac:dyDescent="0.2">
      <c r="A58" s="2" t="s">
        <v>52</v>
      </c>
      <c r="B58" s="4">
        <v>22</v>
      </c>
      <c r="C58" s="5">
        <v>0.7</v>
      </c>
      <c r="D58" s="4">
        <v>2</v>
      </c>
      <c r="E58" s="5">
        <v>0.13</v>
      </c>
      <c r="F58" s="4">
        <v>20</v>
      </c>
      <c r="G58" s="5">
        <v>1.25</v>
      </c>
      <c r="H58" s="4">
        <v>0</v>
      </c>
    </row>
    <row r="59" spans="1:8" x14ac:dyDescent="0.2">
      <c r="A59" s="2" t="s">
        <v>53</v>
      </c>
      <c r="B59" s="4">
        <v>348</v>
      </c>
      <c r="C59" s="5">
        <v>11.06</v>
      </c>
      <c r="D59" s="4">
        <v>140</v>
      </c>
      <c r="E59" s="5">
        <v>9.16</v>
      </c>
      <c r="F59" s="4">
        <v>208</v>
      </c>
      <c r="G59" s="5">
        <v>12.96</v>
      </c>
      <c r="H59" s="4">
        <v>0</v>
      </c>
    </row>
    <row r="60" spans="1:8" x14ac:dyDescent="0.2">
      <c r="A60" s="2" t="s">
        <v>54</v>
      </c>
      <c r="B60" s="4">
        <v>172</v>
      </c>
      <c r="C60" s="5">
        <v>5.47</v>
      </c>
      <c r="D60" s="4">
        <v>80</v>
      </c>
      <c r="E60" s="5">
        <v>5.23</v>
      </c>
      <c r="F60" s="4">
        <v>90</v>
      </c>
      <c r="G60" s="5">
        <v>5.61</v>
      </c>
      <c r="H60" s="4">
        <v>0</v>
      </c>
    </row>
    <row r="61" spans="1:8" x14ac:dyDescent="0.2">
      <c r="A61" s="2" t="s">
        <v>55</v>
      </c>
      <c r="B61" s="4">
        <v>354</v>
      </c>
      <c r="C61" s="5">
        <v>11.25</v>
      </c>
      <c r="D61" s="4">
        <v>285</v>
      </c>
      <c r="E61" s="5">
        <v>18.64</v>
      </c>
      <c r="F61" s="4">
        <v>69</v>
      </c>
      <c r="G61" s="5">
        <v>4.3</v>
      </c>
      <c r="H61" s="4">
        <v>0</v>
      </c>
    </row>
    <row r="62" spans="1:8" x14ac:dyDescent="0.2">
      <c r="A62" s="2" t="s">
        <v>56</v>
      </c>
      <c r="B62" s="4">
        <v>388</v>
      </c>
      <c r="C62" s="5">
        <v>12.33</v>
      </c>
      <c r="D62" s="4">
        <v>292</v>
      </c>
      <c r="E62" s="5">
        <v>19.100000000000001</v>
      </c>
      <c r="F62" s="4">
        <v>94</v>
      </c>
      <c r="G62" s="5">
        <v>5.86</v>
      </c>
      <c r="H62" s="4">
        <v>0</v>
      </c>
    </row>
    <row r="63" spans="1:8" x14ac:dyDescent="0.2">
      <c r="A63" s="2" t="s">
        <v>57</v>
      </c>
      <c r="B63" s="4">
        <v>80</v>
      </c>
      <c r="C63" s="5">
        <v>2.54</v>
      </c>
      <c r="D63" s="4">
        <v>54</v>
      </c>
      <c r="E63" s="5">
        <v>3.53</v>
      </c>
      <c r="F63" s="4">
        <v>22</v>
      </c>
      <c r="G63" s="5">
        <v>1.37</v>
      </c>
      <c r="H63" s="4">
        <v>0</v>
      </c>
    </row>
    <row r="64" spans="1:8" x14ac:dyDescent="0.2">
      <c r="A64" s="2" t="s">
        <v>58</v>
      </c>
      <c r="B64" s="4">
        <v>149</v>
      </c>
      <c r="C64" s="5">
        <v>4.7300000000000004</v>
      </c>
      <c r="D64" s="4">
        <v>104</v>
      </c>
      <c r="E64" s="5">
        <v>6.8</v>
      </c>
      <c r="F64" s="4">
        <v>43</v>
      </c>
      <c r="G64" s="5">
        <v>2.68</v>
      </c>
      <c r="H64" s="4">
        <v>0</v>
      </c>
    </row>
    <row r="65" spans="1:8" x14ac:dyDescent="0.2">
      <c r="A65" s="2" t="s">
        <v>59</v>
      </c>
      <c r="B65" s="4">
        <v>155</v>
      </c>
      <c r="C65" s="5">
        <v>4.93</v>
      </c>
      <c r="D65" s="4">
        <v>72</v>
      </c>
      <c r="E65" s="5">
        <v>4.71</v>
      </c>
      <c r="F65" s="4">
        <v>81</v>
      </c>
      <c r="G65" s="5">
        <v>5.05</v>
      </c>
      <c r="H65" s="4">
        <v>0</v>
      </c>
    </row>
    <row r="66" spans="1:8" x14ac:dyDescent="0.2">
      <c r="A66" s="1" t="s">
        <v>4</v>
      </c>
      <c r="B66" s="4">
        <v>3567</v>
      </c>
      <c r="C66" s="5">
        <v>100.01</v>
      </c>
      <c r="D66" s="4">
        <v>1954</v>
      </c>
      <c r="E66" s="5">
        <v>100.01000000000002</v>
      </c>
      <c r="F66" s="4">
        <v>1587</v>
      </c>
      <c r="G66" s="5">
        <v>100.01</v>
      </c>
      <c r="H66" s="4">
        <v>4</v>
      </c>
    </row>
    <row r="67" spans="1:8" x14ac:dyDescent="0.2">
      <c r="A67" s="2" t="s">
        <v>45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46</v>
      </c>
      <c r="B68" s="4">
        <v>661</v>
      </c>
      <c r="C68" s="5">
        <v>18.53</v>
      </c>
      <c r="D68" s="4">
        <v>270</v>
      </c>
      <c r="E68" s="5">
        <v>13.82</v>
      </c>
      <c r="F68" s="4">
        <v>391</v>
      </c>
      <c r="G68" s="5">
        <v>24.64</v>
      </c>
      <c r="H68" s="4">
        <v>0</v>
      </c>
    </row>
    <row r="69" spans="1:8" x14ac:dyDescent="0.2">
      <c r="A69" s="2" t="s">
        <v>47</v>
      </c>
      <c r="B69" s="4">
        <v>393</v>
      </c>
      <c r="C69" s="5">
        <v>11.02</v>
      </c>
      <c r="D69" s="4">
        <v>139</v>
      </c>
      <c r="E69" s="5">
        <v>7.11</v>
      </c>
      <c r="F69" s="4">
        <v>254</v>
      </c>
      <c r="G69" s="5">
        <v>16.010000000000002</v>
      </c>
      <c r="H69" s="4">
        <v>0</v>
      </c>
    </row>
    <row r="70" spans="1:8" x14ac:dyDescent="0.2">
      <c r="A70" s="2" t="s">
        <v>48</v>
      </c>
      <c r="B70" s="4">
        <v>4</v>
      </c>
      <c r="C70" s="5">
        <v>0.11</v>
      </c>
      <c r="D70" s="4">
        <v>0</v>
      </c>
      <c r="E70" s="5">
        <v>0</v>
      </c>
      <c r="F70" s="4">
        <v>4</v>
      </c>
      <c r="G70" s="5">
        <v>0.25</v>
      </c>
      <c r="H70" s="4">
        <v>0</v>
      </c>
    </row>
    <row r="71" spans="1:8" x14ac:dyDescent="0.2">
      <c r="A71" s="2" t="s">
        <v>49</v>
      </c>
      <c r="B71" s="4">
        <v>15</v>
      </c>
      <c r="C71" s="5">
        <v>0.42</v>
      </c>
      <c r="D71" s="4">
        <v>2</v>
      </c>
      <c r="E71" s="5">
        <v>0.1</v>
      </c>
      <c r="F71" s="4">
        <v>13</v>
      </c>
      <c r="G71" s="5">
        <v>0.82</v>
      </c>
      <c r="H71" s="4">
        <v>0</v>
      </c>
    </row>
    <row r="72" spans="1:8" x14ac:dyDescent="0.2">
      <c r="A72" s="2" t="s">
        <v>50</v>
      </c>
      <c r="B72" s="4">
        <v>56</v>
      </c>
      <c r="C72" s="5">
        <v>1.57</v>
      </c>
      <c r="D72" s="4">
        <v>4</v>
      </c>
      <c r="E72" s="5">
        <v>0.2</v>
      </c>
      <c r="F72" s="4">
        <v>52</v>
      </c>
      <c r="G72" s="5">
        <v>3.28</v>
      </c>
      <c r="H72" s="4">
        <v>0</v>
      </c>
    </row>
    <row r="73" spans="1:8" x14ac:dyDescent="0.2">
      <c r="A73" s="2" t="s">
        <v>51</v>
      </c>
      <c r="B73" s="4">
        <v>768</v>
      </c>
      <c r="C73" s="5">
        <v>21.53</v>
      </c>
      <c r="D73" s="4">
        <v>371</v>
      </c>
      <c r="E73" s="5">
        <v>18.989999999999998</v>
      </c>
      <c r="F73" s="4">
        <v>394</v>
      </c>
      <c r="G73" s="5">
        <v>24.83</v>
      </c>
      <c r="H73" s="4">
        <v>3</v>
      </c>
    </row>
    <row r="74" spans="1:8" x14ac:dyDescent="0.2">
      <c r="A74" s="2" t="s">
        <v>52</v>
      </c>
      <c r="B74" s="4">
        <v>22</v>
      </c>
      <c r="C74" s="5">
        <v>0.62</v>
      </c>
      <c r="D74" s="4">
        <v>5</v>
      </c>
      <c r="E74" s="5">
        <v>0.26</v>
      </c>
      <c r="F74" s="4">
        <v>17</v>
      </c>
      <c r="G74" s="5">
        <v>1.07</v>
      </c>
      <c r="H74" s="4">
        <v>0</v>
      </c>
    </row>
    <row r="75" spans="1:8" x14ac:dyDescent="0.2">
      <c r="A75" s="2" t="s">
        <v>53</v>
      </c>
      <c r="B75" s="4">
        <v>307</v>
      </c>
      <c r="C75" s="5">
        <v>8.61</v>
      </c>
      <c r="D75" s="4">
        <v>167</v>
      </c>
      <c r="E75" s="5">
        <v>8.5500000000000007</v>
      </c>
      <c r="F75" s="4">
        <v>140</v>
      </c>
      <c r="G75" s="5">
        <v>8.82</v>
      </c>
      <c r="H75" s="4">
        <v>0</v>
      </c>
    </row>
    <row r="76" spans="1:8" x14ac:dyDescent="0.2">
      <c r="A76" s="2" t="s">
        <v>54</v>
      </c>
      <c r="B76" s="4">
        <v>130</v>
      </c>
      <c r="C76" s="5">
        <v>3.64</v>
      </c>
      <c r="D76" s="4">
        <v>75</v>
      </c>
      <c r="E76" s="5">
        <v>3.84</v>
      </c>
      <c r="F76" s="4">
        <v>54</v>
      </c>
      <c r="G76" s="5">
        <v>3.4</v>
      </c>
      <c r="H76" s="4">
        <v>0</v>
      </c>
    </row>
    <row r="77" spans="1:8" x14ac:dyDescent="0.2">
      <c r="A77" s="2" t="s">
        <v>55</v>
      </c>
      <c r="B77" s="4">
        <v>382</v>
      </c>
      <c r="C77" s="5">
        <v>10.71</v>
      </c>
      <c r="D77" s="4">
        <v>302</v>
      </c>
      <c r="E77" s="5">
        <v>15.46</v>
      </c>
      <c r="F77" s="4">
        <v>76</v>
      </c>
      <c r="G77" s="5">
        <v>4.79</v>
      </c>
      <c r="H77" s="4">
        <v>0</v>
      </c>
    </row>
    <row r="78" spans="1:8" x14ac:dyDescent="0.2">
      <c r="A78" s="2" t="s">
        <v>56</v>
      </c>
      <c r="B78" s="4">
        <v>470</v>
      </c>
      <c r="C78" s="5">
        <v>13.18</v>
      </c>
      <c r="D78" s="4">
        <v>392</v>
      </c>
      <c r="E78" s="5">
        <v>20.059999999999999</v>
      </c>
      <c r="F78" s="4">
        <v>77</v>
      </c>
      <c r="G78" s="5">
        <v>4.8499999999999996</v>
      </c>
      <c r="H78" s="4">
        <v>1</v>
      </c>
    </row>
    <row r="79" spans="1:8" x14ac:dyDescent="0.2">
      <c r="A79" s="2" t="s">
        <v>57</v>
      </c>
      <c r="B79" s="4">
        <v>108</v>
      </c>
      <c r="C79" s="5">
        <v>3.03</v>
      </c>
      <c r="D79" s="4">
        <v>72</v>
      </c>
      <c r="E79" s="5">
        <v>3.68</v>
      </c>
      <c r="F79" s="4">
        <v>22</v>
      </c>
      <c r="G79" s="5">
        <v>1.39</v>
      </c>
      <c r="H79" s="4">
        <v>0</v>
      </c>
    </row>
    <row r="80" spans="1:8" x14ac:dyDescent="0.2">
      <c r="A80" s="2" t="s">
        <v>58</v>
      </c>
      <c r="B80" s="4">
        <v>134</v>
      </c>
      <c r="C80" s="5">
        <v>3.76</v>
      </c>
      <c r="D80" s="4">
        <v>99</v>
      </c>
      <c r="E80" s="5">
        <v>5.07</v>
      </c>
      <c r="F80" s="4">
        <v>34</v>
      </c>
      <c r="G80" s="5">
        <v>2.14</v>
      </c>
      <c r="H80" s="4">
        <v>0</v>
      </c>
    </row>
    <row r="81" spans="1:8" x14ac:dyDescent="0.2">
      <c r="A81" s="2" t="s">
        <v>59</v>
      </c>
      <c r="B81" s="4">
        <v>117</v>
      </c>
      <c r="C81" s="5">
        <v>3.28</v>
      </c>
      <c r="D81" s="4">
        <v>56</v>
      </c>
      <c r="E81" s="5">
        <v>2.87</v>
      </c>
      <c r="F81" s="4">
        <v>59</v>
      </c>
      <c r="G81" s="5">
        <v>3.72</v>
      </c>
      <c r="H81" s="4">
        <v>0</v>
      </c>
    </row>
    <row r="82" spans="1:8" x14ac:dyDescent="0.2">
      <c r="A82" s="1" t="s">
        <v>5</v>
      </c>
      <c r="B82" s="4">
        <v>1763</v>
      </c>
      <c r="C82" s="5">
        <v>100</v>
      </c>
      <c r="D82" s="4">
        <v>1033</v>
      </c>
      <c r="E82" s="5">
        <v>100.00000000000001</v>
      </c>
      <c r="F82" s="4">
        <v>725</v>
      </c>
      <c r="G82" s="5">
        <v>99.97999999999999</v>
      </c>
      <c r="H82" s="4">
        <v>0</v>
      </c>
    </row>
    <row r="83" spans="1:8" x14ac:dyDescent="0.2">
      <c r="A83" s="2" t="s">
        <v>45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46</v>
      </c>
      <c r="B84" s="4">
        <v>348</v>
      </c>
      <c r="C84" s="5">
        <v>19.739999999999998</v>
      </c>
      <c r="D84" s="4">
        <v>181</v>
      </c>
      <c r="E84" s="5">
        <v>17.52</v>
      </c>
      <c r="F84" s="4">
        <v>167</v>
      </c>
      <c r="G84" s="5">
        <v>23.03</v>
      </c>
      <c r="H84" s="4">
        <v>0</v>
      </c>
    </row>
    <row r="85" spans="1:8" x14ac:dyDescent="0.2">
      <c r="A85" s="2" t="s">
        <v>47</v>
      </c>
      <c r="B85" s="4">
        <v>173</v>
      </c>
      <c r="C85" s="5">
        <v>9.81</v>
      </c>
      <c r="D85" s="4">
        <v>71</v>
      </c>
      <c r="E85" s="5">
        <v>6.87</v>
      </c>
      <c r="F85" s="4">
        <v>102</v>
      </c>
      <c r="G85" s="5">
        <v>14.07</v>
      </c>
      <c r="H85" s="4">
        <v>0</v>
      </c>
    </row>
    <row r="86" spans="1:8" x14ac:dyDescent="0.2">
      <c r="A86" s="2" t="s">
        <v>48</v>
      </c>
      <c r="B86" s="4">
        <v>4</v>
      </c>
      <c r="C86" s="5">
        <v>0.23</v>
      </c>
      <c r="D86" s="4">
        <v>0</v>
      </c>
      <c r="E86" s="5">
        <v>0</v>
      </c>
      <c r="F86" s="4">
        <v>4</v>
      </c>
      <c r="G86" s="5">
        <v>0.55000000000000004</v>
      </c>
      <c r="H86" s="4">
        <v>0</v>
      </c>
    </row>
    <row r="87" spans="1:8" x14ac:dyDescent="0.2">
      <c r="A87" s="2" t="s">
        <v>49</v>
      </c>
      <c r="B87" s="4">
        <v>8</v>
      </c>
      <c r="C87" s="5">
        <v>0.45</v>
      </c>
      <c r="D87" s="4">
        <v>0</v>
      </c>
      <c r="E87" s="5">
        <v>0</v>
      </c>
      <c r="F87" s="4">
        <v>8</v>
      </c>
      <c r="G87" s="5">
        <v>1.1000000000000001</v>
      </c>
      <c r="H87" s="4">
        <v>0</v>
      </c>
    </row>
    <row r="88" spans="1:8" x14ac:dyDescent="0.2">
      <c r="A88" s="2" t="s">
        <v>50</v>
      </c>
      <c r="B88" s="4">
        <v>15</v>
      </c>
      <c r="C88" s="5">
        <v>0.85</v>
      </c>
      <c r="D88" s="4">
        <v>1</v>
      </c>
      <c r="E88" s="5">
        <v>0.1</v>
      </c>
      <c r="F88" s="4">
        <v>14</v>
      </c>
      <c r="G88" s="5">
        <v>1.93</v>
      </c>
      <c r="H88" s="4">
        <v>0</v>
      </c>
    </row>
    <row r="89" spans="1:8" x14ac:dyDescent="0.2">
      <c r="A89" s="2" t="s">
        <v>51</v>
      </c>
      <c r="B89" s="4">
        <v>382</v>
      </c>
      <c r="C89" s="5">
        <v>21.67</v>
      </c>
      <c r="D89" s="4">
        <v>228</v>
      </c>
      <c r="E89" s="5">
        <v>22.07</v>
      </c>
      <c r="F89" s="4">
        <v>154</v>
      </c>
      <c r="G89" s="5">
        <v>21.24</v>
      </c>
      <c r="H89" s="4">
        <v>0</v>
      </c>
    </row>
    <row r="90" spans="1:8" x14ac:dyDescent="0.2">
      <c r="A90" s="2" t="s">
        <v>52</v>
      </c>
      <c r="B90" s="4">
        <v>15</v>
      </c>
      <c r="C90" s="5">
        <v>0.85</v>
      </c>
      <c r="D90" s="4">
        <v>2</v>
      </c>
      <c r="E90" s="5">
        <v>0.19</v>
      </c>
      <c r="F90" s="4">
        <v>13</v>
      </c>
      <c r="G90" s="5">
        <v>1.79</v>
      </c>
      <c r="H90" s="4">
        <v>0</v>
      </c>
    </row>
    <row r="91" spans="1:8" x14ac:dyDescent="0.2">
      <c r="A91" s="2" t="s">
        <v>53</v>
      </c>
      <c r="B91" s="4">
        <v>118</v>
      </c>
      <c r="C91" s="5">
        <v>6.69</v>
      </c>
      <c r="D91" s="4">
        <v>31</v>
      </c>
      <c r="E91" s="5">
        <v>3</v>
      </c>
      <c r="F91" s="4">
        <v>86</v>
      </c>
      <c r="G91" s="5">
        <v>11.86</v>
      </c>
      <c r="H91" s="4">
        <v>0</v>
      </c>
    </row>
    <row r="92" spans="1:8" x14ac:dyDescent="0.2">
      <c r="A92" s="2" t="s">
        <v>54</v>
      </c>
      <c r="B92" s="4">
        <v>82</v>
      </c>
      <c r="C92" s="5">
        <v>4.6500000000000004</v>
      </c>
      <c r="D92" s="4">
        <v>48</v>
      </c>
      <c r="E92" s="5">
        <v>4.6500000000000004</v>
      </c>
      <c r="F92" s="4">
        <v>34</v>
      </c>
      <c r="G92" s="5">
        <v>4.6900000000000004</v>
      </c>
      <c r="H92" s="4">
        <v>0</v>
      </c>
    </row>
    <row r="93" spans="1:8" x14ac:dyDescent="0.2">
      <c r="A93" s="2" t="s">
        <v>55</v>
      </c>
      <c r="B93" s="4">
        <v>164</v>
      </c>
      <c r="C93" s="5">
        <v>9.3000000000000007</v>
      </c>
      <c r="D93" s="4">
        <v>134</v>
      </c>
      <c r="E93" s="5">
        <v>12.97</v>
      </c>
      <c r="F93" s="4">
        <v>29</v>
      </c>
      <c r="G93" s="5">
        <v>4</v>
      </c>
      <c r="H93" s="4">
        <v>0</v>
      </c>
    </row>
    <row r="94" spans="1:8" x14ac:dyDescent="0.2">
      <c r="A94" s="2" t="s">
        <v>56</v>
      </c>
      <c r="B94" s="4">
        <v>242</v>
      </c>
      <c r="C94" s="5">
        <v>13.73</v>
      </c>
      <c r="D94" s="4">
        <v>198</v>
      </c>
      <c r="E94" s="5">
        <v>19.170000000000002</v>
      </c>
      <c r="F94" s="4">
        <v>42</v>
      </c>
      <c r="G94" s="5">
        <v>5.79</v>
      </c>
      <c r="H94" s="4">
        <v>0</v>
      </c>
    </row>
    <row r="95" spans="1:8" x14ac:dyDescent="0.2">
      <c r="A95" s="2" t="s">
        <v>57</v>
      </c>
      <c r="B95" s="4">
        <v>44</v>
      </c>
      <c r="C95" s="5">
        <v>2.5</v>
      </c>
      <c r="D95" s="4">
        <v>35</v>
      </c>
      <c r="E95" s="5">
        <v>3.39</v>
      </c>
      <c r="F95" s="4">
        <v>9</v>
      </c>
      <c r="G95" s="5">
        <v>1.24</v>
      </c>
      <c r="H95" s="4">
        <v>0</v>
      </c>
    </row>
    <row r="96" spans="1:8" x14ac:dyDescent="0.2">
      <c r="A96" s="2" t="s">
        <v>58</v>
      </c>
      <c r="B96" s="4">
        <v>73</v>
      </c>
      <c r="C96" s="5">
        <v>4.1399999999999997</v>
      </c>
      <c r="D96" s="4">
        <v>50</v>
      </c>
      <c r="E96" s="5">
        <v>4.84</v>
      </c>
      <c r="F96" s="4">
        <v>23</v>
      </c>
      <c r="G96" s="5">
        <v>3.17</v>
      </c>
      <c r="H96" s="4">
        <v>0</v>
      </c>
    </row>
    <row r="97" spans="1:8" x14ac:dyDescent="0.2">
      <c r="A97" s="2" t="s">
        <v>59</v>
      </c>
      <c r="B97" s="4">
        <v>95</v>
      </c>
      <c r="C97" s="5">
        <v>5.39</v>
      </c>
      <c r="D97" s="4">
        <v>54</v>
      </c>
      <c r="E97" s="5">
        <v>5.23</v>
      </c>
      <c r="F97" s="4">
        <v>40</v>
      </c>
      <c r="G97" s="5">
        <v>5.52</v>
      </c>
      <c r="H97" s="4">
        <v>0</v>
      </c>
    </row>
    <row r="98" spans="1:8" x14ac:dyDescent="0.2">
      <c r="A98" s="1" t="s">
        <v>6</v>
      </c>
      <c r="B98" s="4">
        <v>1361</v>
      </c>
      <c r="C98" s="5">
        <v>100</v>
      </c>
      <c r="D98" s="4">
        <v>745</v>
      </c>
      <c r="E98" s="5">
        <v>99.97999999999999</v>
      </c>
      <c r="F98" s="4">
        <v>609</v>
      </c>
      <c r="G98" s="5">
        <v>99.999999999999986</v>
      </c>
      <c r="H98" s="4">
        <v>2</v>
      </c>
    </row>
    <row r="99" spans="1:8" x14ac:dyDescent="0.2">
      <c r="A99" s="2" t="s">
        <v>45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46</v>
      </c>
      <c r="B100" s="4">
        <v>268</v>
      </c>
      <c r="C100" s="5">
        <v>19.690000000000001</v>
      </c>
      <c r="D100" s="4">
        <v>128</v>
      </c>
      <c r="E100" s="5">
        <v>17.18</v>
      </c>
      <c r="F100" s="4">
        <v>140</v>
      </c>
      <c r="G100" s="5">
        <v>22.99</v>
      </c>
      <c r="H100" s="4">
        <v>0</v>
      </c>
    </row>
    <row r="101" spans="1:8" x14ac:dyDescent="0.2">
      <c r="A101" s="2" t="s">
        <v>47</v>
      </c>
      <c r="B101" s="4">
        <v>188</v>
      </c>
      <c r="C101" s="5">
        <v>13.81</v>
      </c>
      <c r="D101" s="4">
        <v>74</v>
      </c>
      <c r="E101" s="5">
        <v>9.93</v>
      </c>
      <c r="F101" s="4">
        <v>114</v>
      </c>
      <c r="G101" s="5">
        <v>18.72</v>
      </c>
      <c r="H101" s="4">
        <v>0</v>
      </c>
    </row>
    <row r="102" spans="1:8" x14ac:dyDescent="0.2">
      <c r="A102" s="2" t="s">
        <v>48</v>
      </c>
      <c r="B102" s="4">
        <v>2</v>
      </c>
      <c r="C102" s="5">
        <v>0.15</v>
      </c>
      <c r="D102" s="4">
        <v>1</v>
      </c>
      <c r="E102" s="5">
        <v>0.13</v>
      </c>
      <c r="F102" s="4">
        <v>1</v>
      </c>
      <c r="G102" s="5">
        <v>0.16</v>
      </c>
      <c r="H102" s="4">
        <v>0</v>
      </c>
    </row>
    <row r="103" spans="1:8" x14ac:dyDescent="0.2">
      <c r="A103" s="2" t="s">
        <v>49</v>
      </c>
      <c r="B103" s="4">
        <v>3</v>
      </c>
      <c r="C103" s="5">
        <v>0.22</v>
      </c>
      <c r="D103" s="4">
        <v>1</v>
      </c>
      <c r="E103" s="5">
        <v>0.13</v>
      </c>
      <c r="F103" s="4">
        <v>2</v>
      </c>
      <c r="G103" s="5">
        <v>0.33</v>
      </c>
      <c r="H103" s="4">
        <v>0</v>
      </c>
    </row>
    <row r="104" spans="1:8" x14ac:dyDescent="0.2">
      <c r="A104" s="2" t="s">
        <v>50</v>
      </c>
      <c r="B104" s="4">
        <v>10</v>
      </c>
      <c r="C104" s="5">
        <v>0.73</v>
      </c>
      <c r="D104" s="4">
        <v>2</v>
      </c>
      <c r="E104" s="5">
        <v>0.27</v>
      </c>
      <c r="F104" s="4">
        <v>8</v>
      </c>
      <c r="G104" s="5">
        <v>1.31</v>
      </c>
      <c r="H104" s="4">
        <v>0</v>
      </c>
    </row>
    <row r="105" spans="1:8" x14ac:dyDescent="0.2">
      <c r="A105" s="2" t="s">
        <v>51</v>
      </c>
      <c r="B105" s="4">
        <v>325</v>
      </c>
      <c r="C105" s="5">
        <v>23.88</v>
      </c>
      <c r="D105" s="4">
        <v>155</v>
      </c>
      <c r="E105" s="5">
        <v>20.81</v>
      </c>
      <c r="F105" s="4">
        <v>169</v>
      </c>
      <c r="G105" s="5">
        <v>27.75</v>
      </c>
      <c r="H105" s="4">
        <v>1</v>
      </c>
    </row>
    <row r="106" spans="1:8" x14ac:dyDescent="0.2">
      <c r="A106" s="2" t="s">
        <v>52</v>
      </c>
      <c r="B106" s="4">
        <v>3</v>
      </c>
      <c r="C106" s="5">
        <v>0.22</v>
      </c>
      <c r="D106" s="4">
        <v>1</v>
      </c>
      <c r="E106" s="5">
        <v>0.13</v>
      </c>
      <c r="F106" s="4">
        <v>2</v>
      </c>
      <c r="G106" s="5">
        <v>0.33</v>
      </c>
      <c r="H106" s="4">
        <v>0</v>
      </c>
    </row>
    <row r="107" spans="1:8" x14ac:dyDescent="0.2">
      <c r="A107" s="2" t="s">
        <v>53</v>
      </c>
      <c r="B107" s="4">
        <v>90</v>
      </c>
      <c r="C107" s="5">
        <v>6.61</v>
      </c>
      <c r="D107" s="4">
        <v>43</v>
      </c>
      <c r="E107" s="5">
        <v>5.77</v>
      </c>
      <c r="F107" s="4">
        <v>47</v>
      </c>
      <c r="G107" s="5">
        <v>7.72</v>
      </c>
      <c r="H107" s="4">
        <v>0</v>
      </c>
    </row>
    <row r="108" spans="1:8" x14ac:dyDescent="0.2">
      <c r="A108" s="2" t="s">
        <v>54</v>
      </c>
      <c r="B108" s="4">
        <v>62</v>
      </c>
      <c r="C108" s="5">
        <v>4.5599999999999996</v>
      </c>
      <c r="D108" s="4">
        <v>31</v>
      </c>
      <c r="E108" s="5">
        <v>4.16</v>
      </c>
      <c r="F108" s="4">
        <v>30</v>
      </c>
      <c r="G108" s="5">
        <v>4.93</v>
      </c>
      <c r="H108" s="4">
        <v>1</v>
      </c>
    </row>
    <row r="109" spans="1:8" x14ac:dyDescent="0.2">
      <c r="A109" s="2" t="s">
        <v>55</v>
      </c>
      <c r="B109" s="4">
        <v>123</v>
      </c>
      <c r="C109" s="5">
        <v>9.0399999999999991</v>
      </c>
      <c r="D109" s="4">
        <v>97</v>
      </c>
      <c r="E109" s="5">
        <v>13.02</v>
      </c>
      <c r="F109" s="4">
        <v>26</v>
      </c>
      <c r="G109" s="5">
        <v>4.2699999999999996</v>
      </c>
      <c r="H109" s="4">
        <v>0</v>
      </c>
    </row>
    <row r="110" spans="1:8" x14ac:dyDescent="0.2">
      <c r="A110" s="2" t="s">
        <v>56</v>
      </c>
      <c r="B110" s="4">
        <v>163</v>
      </c>
      <c r="C110" s="5">
        <v>11.98</v>
      </c>
      <c r="D110" s="4">
        <v>138</v>
      </c>
      <c r="E110" s="5">
        <v>18.52</v>
      </c>
      <c r="F110" s="4">
        <v>24</v>
      </c>
      <c r="G110" s="5">
        <v>3.94</v>
      </c>
      <c r="H110" s="4">
        <v>0</v>
      </c>
    </row>
    <row r="111" spans="1:8" x14ac:dyDescent="0.2">
      <c r="A111" s="2" t="s">
        <v>57</v>
      </c>
      <c r="B111" s="4">
        <v>32</v>
      </c>
      <c r="C111" s="5">
        <v>2.35</v>
      </c>
      <c r="D111" s="4">
        <v>20</v>
      </c>
      <c r="E111" s="5">
        <v>2.68</v>
      </c>
      <c r="F111" s="4">
        <v>10</v>
      </c>
      <c r="G111" s="5">
        <v>1.64</v>
      </c>
      <c r="H111" s="4">
        <v>0</v>
      </c>
    </row>
    <row r="112" spans="1:8" x14ac:dyDescent="0.2">
      <c r="A112" s="2" t="s">
        <v>58</v>
      </c>
      <c r="B112" s="4">
        <v>48</v>
      </c>
      <c r="C112" s="5">
        <v>3.53</v>
      </c>
      <c r="D112" s="4">
        <v>29</v>
      </c>
      <c r="E112" s="5">
        <v>3.89</v>
      </c>
      <c r="F112" s="4">
        <v>19</v>
      </c>
      <c r="G112" s="5">
        <v>3.12</v>
      </c>
      <c r="H112" s="4">
        <v>0</v>
      </c>
    </row>
    <row r="113" spans="1:8" x14ac:dyDescent="0.2">
      <c r="A113" s="2" t="s">
        <v>59</v>
      </c>
      <c r="B113" s="4">
        <v>44</v>
      </c>
      <c r="C113" s="5">
        <v>3.23</v>
      </c>
      <c r="D113" s="4">
        <v>25</v>
      </c>
      <c r="E113" s="5">
        <v>3.36</v>
      </c>
      <c r="F113" s="4">
        <v>17</v>
      </c>
      <c r="G113" s="5">
        <v>2.79</v>
      </c>
      <c r="H113" s="4">
        <v>0</v>
      </c>
    </row>
    <row r="114" spans="1:8" x14ac:dyDescent="0.2">
      <c r="A114" s="1" t="s">
        <v>7</v>
      </c>
      <c r="B114" s="4">
        <v>1389</v>
      </c>
      <c r="C114" s="5">
        <v>99.990000000000009</v>
      </c>
      <c r="D114" s="4">
        <v>717</v>
      </c>
      <c r="E114" s="5">
        <v>100</v>
      </c>
      <c r="F114" s="4">
        <v>663</v>
      </c>
      <c r="G114" s="5">
        <v>99.99</v>
      </c>
      <c r="H114" s="4">
        <v>1</v>
      </c>
    </row>
    <row r="115" spans="1:8" x14ac:dyDescent="0.2">
      <c r="A115" s="2" t="s">
        <v>45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46</v>
      </c>
      <c r="B116" s="4">
        <v>213</v>
      </c>
      <c r="C116" s="5">
        <v>15.33</v>
      </c>
      <c r="D116" s="4">
        <v>59</v>
      </c>
      <c r="E116" s="5">
        <v>8.23</v>
      </c>
      <c r="F116" s="4">
        <v>154</v>
      </c>
      <c r="G116" s="5">
        <v>23.23</v>
      </c>
      <c r="H116" s="4">
        <v>0</v>
      </c>
    </row>
    <row r="117" spans="1:8" x14ac:dyDescent="0.2">
      <c r="A117" s="2" t="s">
        <v>47</v>
      </c>
      <c r="B117" s="4">
        <v>82</v>
      </c>
      <c r="C117" s="5">
        <v>5.9</v>
      </c>
      <c r="D117" s="4">
        <v>21</v>
      </c>
      <c r="E117" s="5">
        <v>2.93</v>
      </c>
      <c r="F117" s="4">
        <v>61</v>
      </c>
      <c r="G117" s="5">
        <v>9.1999999999999993</v>
      </c>
      <c r="H117" s="4">
        <v>0</v>
      </c>
    </row>
    <row r="118" spans="1:8" x14ac:dyDescent="0.2">
      <c r="A118" s="2" t="s">
        <v>48</v>
      </c>
      <c r="B118" s="4">
        <v>2</v>
      </c>
      <c r="C118" s="5">
        <v>0.14000000000000001</v>
      </c>
      <c r="D118" s="4">
        <v>0</v>
      </c>
      <c r="E118" s="5">
        <v>0</v>
      </c>
      <c r="F118" s="4">
        <v>2</v>
      </c>
      <c r="G118" s="5">
        <v>0.3</v>
      </c>
      <c r="H118" s="4">
        <v>0</v>
      </c>
    </row>
    <row r="119" spans="1:8" x14ac:dyDescent="0.2">
      <c r="A119" s="2" t="s">
        <v>49</v>
      </c>
      <c r="B119" s="4">
        <v>11</v>
      </c>
      <c r="C119" s="5">
        <v>0.79</v>
      </c>
      <c r="D119" s="4">
        <v>1</v>
      </c>
      <c r="E119" s="5">
        <v>0.14000000000000001</v>
      </c>
      <c r="F119" s="4">
        <v>10</v>
      </c>
      <c r="G119" s="5">
        <v>1.51</v>
      </c>
      <c r="H119" s="4">
        <v>0</v>
      </c>
    </row>
    <row r="120" spans="1:8" x14ac:dyDescent="0.2">
      <c r="A120" s="2" t="s">
        <v>50</v>
      </c>
      <c r="B120" s="4">
        <v>6</v>
      </c>
      <c r="C120" s="5">
        <v>0.43</v>
      </c>
      <c r="D120" s="4">
        <v>1</v>
      </c>
      <c r="E120" s="5">
        <v>0.14000000000000001</v>
      </c>
      <c r="F120" s="4">
        <v>5</v>
      </c>
      <c r="G120" s="5">
        <v>0.75</v>
      </c>
      <c r="H120" s="4">
        <v>0</v>
      </c>
    </row>
    <row r="121" spans="1:8" x14ac:dyDescent="0.2">
      <c r="A121" s="2" t="s">
        <v>51</v>
      </c>
      <c r="B121" s="4">
        <v>312</v>
      </c>
      <c r="C121" s="5">
        <v>22.46</v>
      </c>
      <c r="D121" s="4">
        <v>125</v>
      </c>
      <c r="E121" s="5">
        <v>17.43</v>
      </c>
      <c r="F121" s="4">
        <v>186</v>
      </c>
      <c r="G121" s="5">
        <v>28.05</v>
      </c>
      <c r="H121" s="4">
        <v>0</v>
      </c>
    </row>
    <row r="122" spans="1:8" x14ac:dyDescent="0.2">
      <c r="A122" s="2" t="s">
        <v>52</v>
      </c>
      <c r="B122" s="4">
        <v>4</v>
      </c>
      <c r="C122" s="5">
        <v>0.28999999999999998</v>
      </c>
      <c r="D122" s="4">
        <v>1</v>
      </c>
      <c r="E122" s="5">
        <v>0.14000000000000001</v>
      </c>
      <c r="F122" s="4">
        <v>3</v>
      </c>
      <c r="G122" s="5">
        <v>0.45</v>
      </c>
      <c r="H122" s="4">
        <v>0</v>
      </c>
    </row>
    <row r="123" spans="1:8" x14ac:dyDescent="0.2">
      <c r="A123" s="2" t="s">
        <v>53</v>
      </c>
      <c r="B123" s="4">
        <v>114</v>
      </c>
      <c r="C123" s="5">
        <v>8.2100000000000009</v>
      </c>
      <c r="D123" s="4">
        <v>57</v>
      </c>
      <c r="E123" s="5">
        <v>7.95</v>
      </c>
      <c r="F123" s="4">
        <v>57</v>
      </c>
      <c r="G123" s="5">
        <v>8.6</v>
      </c>
      <c r="H123" s="4">
        <v>0</v>
      </c>
    </row>
    <row r="124" spans="1:8" x14ac:dyDescent="0.2">
      <c r="A124" s="2" t="s">
        <v>54</v>
      </c>
      <c r="B124" s="4">
        <v>75</v>
      </c>
      <c r="C124" s="5">
        <v>5.4</v>
      </c>
      <c r="D124" s="4">
        <v>31</v>
      </c>
      <c r="E124" s="5">
        <v>4.32</v>
      </c>
      <c r="F124" s="4">
        <v>43</v>
      </c>
      <c r="G124" s="5">
        <v>6.49</v>
      </c>
      <c r="H124" s="4">
        <v>0</v>
      </c>
    </row>
    <row r="125" spans="1:8" x14ac:dyDescent="0.2">
      <c r="A125" s="2" t="s">
        <v>55</v>
      </c>
      <c r="B125" s="4">
        <v>157</v>
      </c>
      <c r="C125" s="5">
        <v>11.3</v>
      </c>
      <c r="D125" s="4">
        <v>132</v>
      </c>
      <c r="E125" s="5">
        <v>18.41</v>
      </c>
      <c r="F125" s="4">
        <v>24</v>
      </c>
      <c r="G125" s="5">
        <v>3.62</v>
      </c>
      <c r="H125" s="4">
        <v>0</v>
      </c>
    </row>
    <row r="126" spans="1:8" x14ac:dyDescent="0.2">
      <c r="A126" s="2" t="s">
        <v>56</v>
      </c>
      <c r="B126" s="4">
        <v>204</v>
      </c>
      <c r="C126" s="5">
        <v>14.69</v>
      </c>
      <c r="D126" s="4">
        <v>157</v>
      </c>
      <c r="E126" s="5">
        <v>21.9</v>
      </c>
      <c r="F126" s="4">
        <v>47</v>
      </c>
      <c r="G126" s="5">
        <v>7.09</v>
      </c>
      <c r="H126" s="4">
        <v>0</v>
      </c>
    </row>
    <row r="127" spans="1:8" x14ac:dyDescent="0.2">
      <c r="A127" s="2" t="s">
        <v>57</v>
      </c>
      <c r="B127" s="4">
        <v>59</v>
      </c>
      <c r="C127" s="5">
        <v>4.25</v>
      </c>
      <c r="D127" s="4">
        <v>41</v>
      </c>
      <c r="E127" s="5">
        <v>5.72</v>
      </c>
      <c r="F127" s="4">
        <v>17</v>
      </c>
      <c r="G127" s="5">
        <v>2.56</v>
      </c>
      <c r="H127" s="4">
        <v>0</v>
      </c>
    </row>
    <row r="128" spans="1:8" x14ac:dyDescent="0.2">
      <c r="A128" s="2" t="s">
        <v>58</v>
      </c>
      <c r="B128" s="4">
        <v>80</v>
      </c>
      <c r="C128" s="5">
        <v>5.76</v>
      </c>
      <c r="D128" s="4">
        <v>61</v>
      </c>
      <c r="E128" s="5">
        <v>8.51</v>
      </c>
      <c r="F128" s="4">
        <v>17</v>
      </c>
      <c r="G128" s="5">
        <v>2.56</v>
      </c>
      <c r="H128" s="4">
        <v>0</v>
      </c>
    </row>
    <row r="129" spans="1:8" x14ac:dyDescent="0.2">
      <c r="A129" s="2" t="s">
        <v>59</v>
      </c>
      <c r="B129" s="4">
        <v>70</v>
      </c>
      <c r="C129" s="5">
        <v>5.04</v>
      </c>
      <c r="D129" s="4">
        <v>30</v>
      </c>
      <c r="E129" s="5">
        <v>4.18</v>
      </c>
      <c r="F129" s="4">
        <v>37</v>
      </c>
      <c r="G129" s="5">
        <v>5.58</v>
      </c>
      <c r="H129" s="4">
        <v>1</v>
      </c>
    </row>
    <row r="130" spans="1:8" x14ac:dyDescent="0.2">
      <c r="A130" s="1" t="s">
        <v>8</v>
      </c>
      <c r="B130" s="4">
        <v>1238</v>
      </c>
      <c r="C130" s="5">
        <v>99.989999999999981</v>
      </c>
      <c r="D130" s="4">
        <v>669</v>
      </c>
      <c r="E130" s="5">
        <v>100</v>
      </c>
      <c r="F130" s="4">
        <v>552</v>
      </c>
      <c r="G130" s="5">
        <v>99.999999999999986</v>
      </c>
      <c r="H130" s="4">
        <v>3</v>
      </c>
    </row>
    <row r="131" spans="1:8" x14ac:dyDescent="0.2">
      <c r="A131" s="2" t="s">
        <v>45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46</v>
      </c>
      <c r="B132" s="4">
        <v>254</v>
      </c>
      <c r="C132" s="5">
        <v>20.52</v>
      </c>
      <c r="D132" s="4">
        <v>108</v>
      </c>
      <c r="E132" s="5">
        <v>16.14</v>
      </c>
      <c r="F132" s="4">
        <v>146</v>
      </c>
      <c r="G132" s="5">
        <v>26.45</v>
      </c>
      <c r="H132" s="4">
        <v>0</v>
      </c>
    </row>
    <row r="133" spans="1:8" x14ac:dyDescent="0.2">
      <c r="A133" s="2" t="s">
        <v>47</v>
      </c>
      <c r="B133" s="4">
        <v>135</v>
      </c>
      <c r="C133" s="5">
        <v>10.9</v>
      </c>
      <c r="D133" s="4">
        <v>57</v>
      </c>
      <c r="E133" s="5">
        <v>8.52</v>
      </c>
      <c r="F133" s="4">
        <v>78</v>
      </c>
      <c r="G133" s="5">
        <v>14.13</v>
      </c>
      <c r="H133" s="4">
        <v>0</v>
      </c>
    </row>
    <row r="134" spans="1:8" x14ac:dyDescent="0.2">
      <c r="A134" s="2" t="s">
        <v>48</v>
      </c>
      <c r="B134" s="4">
        <v>5</v>
      </c>
      <c r="C134" s="5">
        <v>0.4</v>
      </c>
      <c r="D134" s="4">
        <v>0</v>
      </c>
      <c r="E134" s="5">
        <v>0</v>
      </c>
      <c r="F134" s="4">
        <v>5</v>
      </c>
      <c r="G134" s="5">
        <v>0.91</v>
      </c>
      <c r="H134" s="4">
        <v>0</v>
      </c>
    </row>
    <row r="135" spans="1:8" x14ac:dyDescent="0.2">
      <c r="A135" s="2" t="s">
        <v>49</v>
      </c>
      <c r="B135" s="4">
        <v>7</v>
      </c>
      <c r="C135" s="5">
        <v>0.56999999999999995</v>
      </c>
      <c r="D135" s="4">
        <v>2</v>
      </c>
      <c r="E135" s="5">
        <v>0.3</v>
      </c>
      <c r="F135" s="4">
        <v>5</v>
      </c>
      <c r="G135" s="5">
        <v>0.91</v>
      </c>
      <c r="H135" s="4">
        <v>0</v>
      </c>
    </row>
    <row r="136" spans="1:8" x14ac:dyDescent="0.2">
      <c r="A136" s="2" t="s">
        <v>50</v>
      </c>
      <c r="B136" s="4">
        <v>17</v>
      </c>
      <c r="C136" s="5">
        <v>1.37</v>
      </c>
      <c r="D136" s="4">
        <v>1</v>
      </c>
      <c r="E136" s="5">
        <v>0.15</v>
      </c>
      <c r="F136" s="4">
        <v>16</v>
      </c>
      <c r="G136" s="5">
        <v>2.9</v>
      </c>
      <c r="H136" s="4">
        <v>0</v>
      </c>
    </row>
    <row r="137" spans="1:8" x14ac:dyDescent="0.2">
      <c r="A137" s="2" t="s">
        <v>51</v>
      </c>
      <c r="B137" s="4">
        <v>295</v>
      </c>
      <c r="C137" s="5">
        <v>23.83</v>
      </c>
      <c r="D137" s="4">
        <v>152</v>
      </c>
      <c r="E137" s="5">
        <v>22.72</v>
      </c>
      <c r="F137" s="4">
        <v>142</v>
      </c>
      <c r="G137" s="5">
        <v>25.72</v>
      </c>
      <c r="H137" s="4">
        <v>1</v>
      </c>
    </row>
    <row r="138" spans="1:8" x14ac:dyDescent="0.2">
      <c r="A138" s="2" t="s">
        <v>52</v>
      </c>
      <c r="B138" s="4">
        <v>5</v>
      </c>
      <c r="C138" s="5">
        <v>0.4</v>
      </c>
      <c r="D138" s="4">
        <v>0</v>
      </c>
      <c r="E138" s="5">
        <v>0</v>
      </c>
      <c r="F138" s="4">
        <v>5</v>
      </c>
      <c r="G138" s="5">
        <v>0.91</v>
      </c>
      <c r="H138" s="4">
        <v>0</v>
      </c>
    </row>
    <row r="139" spans="1:8" x14ac:dyDescent="0.2">
      <c r="A139" s="2" t="s">
        <v>53</v>
      </c>
      <c r="B139" s="4">
        <v>98</v>
      </c>
      <c r="C139" s="5">
        <v>7.92</v>
      </c>
      <c r="D139" s="4">
        <v>53</v>
      </c>
      <c r="E139" s="5">
        <v>7.92</v>
      </c>
      <c r="F139" s="4">
        <v>45</v>
      </c>
      <c r="G139" s="5">
        <v>8.15</v>
      </c>
      <c r="H139" s="4">
        <v>0</v>
      </c>
    </row>
    <row r="140" spans="1:8" x14ac:dyDescent="0.2">
      <c r="A140" s="2" t="s">
        <v>54</v>
      </c>
      <c r="B140" s="4">
        <v>42</v>
      </c>
      <c r="C140" s="5">
        <v>3.39</v>
      </c>
      <c r="D140" s="4">
        <v>24</v>
      </c>
      <c r="E140" s="5">
        <v>3.59</v>
      </c>
      <c r="F140" s="4">
        <v>18</v>
      </c>
      <c r="G140" s="5">
        <v>3.26</v>
      </c>
      <c r="H140" s="4">
        <v>0</v>
      </c>
    </row>
    <row r="141" spans="1:8" x14ac:dyDescent="0.2">
      <c r="A141" s="2" t="s">
        <v>55</v>
      </c>
      <c r="B141" s="4">
        <v>96</v>
      </c>
      <c r="C141" s="5">
        <v>7.75</v>
      </c>
      <c r="D141" s="4">
        <v>73</v>
      </c>
      <c r="E141" s="5">
        <v>10.91</v>
      </c>
      <c r="F141" s="4">
        <v>23</v>
      </c>
      <c r="G141" s="5">
        <v>4.17</v>
      </c>
      <c r="H141" s="4">
        <v>0</v>
      </c>
    </row>
    <row r="142" spans="1:8" x14ac:dyDescent="0.2">
      <c r="A142" s="2" t="s">
        <v>56</v>
      </c>
      <c r="B142" s="4">
        <v>143</v>
      </c>
      <c r="C142" s="5">
        <v>11.55</v>
      </c>
      <c r="D142" s="4">
        <v>113</v>
      </c>
      <c r="E142" s="5">
        <v>16.89</v>
      </c>
      <c r="F142" s="4">
        <v>27</v>
      </c>
      <c r="G142" s="5">
        <v>4.8899999999999997</v>
      </c>
      <c r="H142" s="4">
        <v>1</v>
      </c>
    </row>
    <row r="143" spans="1:8" x14ac:dyDescent="0.2">
      <c r="A143" s="2" t="s">
        <v>57</v>
      </c>
      <c r="B143" s="4">
        <v>36</v>
      </c>
      <c r="C143" s="5">
        <v>2.91</v>
      </c>
      <c r="D143" s="4">
        <v>21</v>
      </c>
      <c r="E143" s="5">
        <v>3.14</v>
      </c>
      <c r="F143" s="4">
        <v>10</v>
      </c>
      <c r="G143" s="5">
        <v>1.81</v>
      </c>
      <c r="H143" s="4">
        <v>0</v>
      </c>
    </row>
    <row r="144" spans="1:8" x14ac:dyDescent="0.2">
      <c r="A144" s="2" t="s">
        <v>58</v>
      </c>
      <c r="B144" s="4">
        <v>36</v>
      </c>
      <c r="C144" s="5">
        <v>2.91</v>
      </c>
      <c r="D144" s="4">
        <v>24</v>
      </c>
      <c r="E144" s="5">
        <v>3.59</v>
      </c>
      <c r="F144" s="4">
        <v>11</v>
      </c>
      <c r="G144" s="5">
        <v>1.99</v>
      </c>
      <c r="H144" s="4">
        <v>1</v>
      </c>
    </row>
    <row r="145" spans="1:8" x14ac:dyDescent="0.2">
      <c r="A145" s="2" t="s">
        <v>59</v>
      </c>
      <c r="B145" s="4">
        <v>69</v>
      </c>
      <c r="C145" s="5">
        <v>5.57</v>
      </c>
      <c r="D145" s="4">
        <v>41</v>
      </c>
      <c r="E145" s="5">
        <v>6.13</v>
      </c>
      <c r="F145" s="4">
        <v>21</v>
      </c>
      <c r="G145" s="5">
        <v>3.8</v>
      </c>
      <c r="H145" s="4">
        <v>0</v>
      </c>
    </row>
    <row r="146" spans="1:8" x14ac:dyDescent="0.2">
      <c r="A146" s="1" t="s">
        <v>9</v>
      </c>
      <c r="B146" s="4">
        <v>1572</v>
      </c>
      <c r="C146" s="5">
        <v>100.02</v>
      </c>
      <c r="D146" s="4">
        <v>841</v>
      </c>
      <c r="E146" s="5">
        <v>99.99</v>
      </c>
      <c r="F146" s="4">
        <v>721</v>
      </c>
      <c r="G146" s="5">
        <v>99.989999999999981</v>
      </c>
      <c r="H146" s="4">
        <v>0</v>
      </c>
    </row>
    <row r="147" spans="1:8" x14ac:dyDescent="0.2">
      <c r="A147" s="2" t="s">
        <v>45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46</v>
      </c>
      <c r="B148" s="4">
        <v>337</v>
      </c>
      <c r="C148" s="5">
        <v>21.44</v>
      </c>
      <c r="D148" s="4">
        <v>144</v>
      </c>
      <c r="E148" s="5">
        <v>17.12</v>
      </c>
      <c r="F148" s="4">
        <v>193</v>
      </c>
      <c r="G148" s="5">
        <v>26.77</v>
      </c>
      <c r="H148" s="4">
        <v>0</v>
      </c>
    </row>
    <row r="149" spans="1:8" x14ac:dyDescent="0.2">
      <c r="A149" s="2" t="s">
        <v>47</v>
      </c>
      <c r="B149" s="4">
        <v>224</v>
      </c>
      <c r="C149" s="5">
        <v>14.25</v>
      </c>
      <c r="D149" s="4">
        <v>74</v>
      </c>
      <c r="E149" s="5">
        <v>8.8000000000000007</v>
      </c>
      <c r="F149" s="4">
        <v>150</v>
      </c>
      <c r="G149" s="5">
        <v>20.8</v>
      </c>
      <c r="H149" s="4">
        <v>0</v>
      </c>
    </row>
    <row r="150" spans="1:8" x14ac:dyDescent="0.2">
      <c r="A150" s="2" t="s">
        <v>48</v>
      </c>
      <c r="B150" s="4">
        <v>5</v>
      </c>
      <c r="C150" s="5">
        <v>0.32</v>
      </c>
      <c r="D150" s="4">
        <v>0</v>
      </c>
      <c r="E150" s="5">
        <v>0</v>
      </c>
      <c r="F150" s="4">
        <v>5</v>
      </c>
      <c r="G150" s="5">
        <v>0.69</v>
      </c>
      <c r="H150" s="4">
        <v>0</v>
      </c>
    </row>
    <row r="151" spans="1:8" x14ac:dyDescent="0.2">
      <c r="A151" s="2" t="s">
        <v>49</v>
      </c>
      <c r="B151" s="4">
        <v>7</v>
      </c>
      <c r="C151" s="5">
        <v>0.45</v>
      </c>
      <c r="D151" s="4">
        <v>0</v>
      </c>
      <c r="E151" s="5">
        <v>0</v>
      </c>
      <c r="F151" s="4">
        <v>7</v>
      </c>
      <c r="G151" s="5">
        <v>0.97</v>
      </c>
      <c r="H151" s="4">
        <v>0</v>
      </c>
    </row>
    <row r="152" spans="1:8" x14ac:dyDescent="0.2">
      <c r="A152" s="2" t="s">
        <v>50</v>
      </c>
      <c r="B152" s="4">
        <v>23</v>
      </c>
      <c r="C152" s="5">
        <v>1.46</v>
      </c>
      <c r="D152" s="4">
        <v>1</v>
      </c>
      <c r="E152" s="5">
        <v>0.12</v>
      </c>
      <c r="F152" s="4">
        <v>22</v>
      </c>
      <c r="G152" s="5">
        <v>3.05</v>
      </c>
      <c r="H152" s="4">
        <v>0</v>
      </c>
    </row>
    <row r="153" spans="1:8" x14ac:dyDescent="0.2">
      <c r="A153" s="2" t="s">
        <v>51</v>
      </c>
      <c r="B153" s="4">
        <v>370</v>
      </c>
      <c r="C153" s="5">
        <v>23.54</v>
      </c>
      <c r="D153" s="4">
        <v>188</v>
      </c>
      <c r="E153" s="5">
        <v>22.35</v>
      </c>
      <c r="F153" s="4">
        <v>182</v>
      </c>
      <c r="G153" s="5">
        <v>25.24</v>
      </c>
      <c r="H153" s="4">
        <v>0</v>
      </c>
    </row>
    <row r="154" spans="1:8" x14ac:dyDescent="0.2">
      <c r="A154" s="2" t="s">
        <v>52</v>
      </c>
      <c r="B154" s="4">
        <v>3</v>
      </c>
      <c r="C154" s="5">
        <v>0.19</v>
      </c>
      <c r="D154" s="4">
        <v>1</v>
      </c>
      <c r="E154" s="5">
        <v>0.12</v>
      </c>
      <c r="F154" s="4">
        <v>2</v>
      </c>
      <c r="G154" s="5">
        <v>0.28000000000000003</v>
      </c>
      <c r="H154" s="4">
        <v>0</v>
      </c>
    </row>
    <row r="155" spans="1:8" x14ac:dyDescent="0.2">
      <c r="A155" s="2" t="s">
        <v>53</v>
      </c>
      <c r="B155" s="4">
        <v>67</v>
      </c>
      <c r="C155" s="5">
        <v>4.26</v>
      </c>
      <c r="D155" s="4">
        <v>20</v>
      </c>
      <c r="E155" s="5">
        <v>2.38</v>
      </c>
      <c r="F155" s="4">
        <v>46</v>
      </c>
      <c r="G155" s="5">
        <v>6.38</v>
      </c>
      <c r="H155" s="4">
        <v>0</v>
      </c>
    </row>
    <row r="156" spans="1:8" x14ac:dyDescent="0.2">
      <c r="A156" s="2" t="s">
        <v>54</v>
      </c>
      <c r="B156" s="4">
        <v>57</v>
      </c>
      <c r="C156" s="5">
        <v>3.63</v>
      </c>
      <c r="D156" s="4">
        <v>31</v>
      </c>
      <c r="E156" s="5">
        <v>3.69</v>
      </c>
      <c r="F156" s="4">
        <v>24</v>
      </c>
      <c r="G156" s="5">
        <v>3.33</v>
      </c>
      <c r="H156" s="4">
        <v>0</v>
      </c>
    </row>
    <row r="157" spans="1:8" x14ac:dyDescent="0.2">
      <c r="A157" s="2" t="s">
        <v>55</v>
      </c>
      <c r="B157" s="4">
        <v>137</v>
      </c>
      <c r="C157" s="5">
        <v>8.7200000000000006</v>
      </c>
      <c r="D157" s="4">
        <v>107</v>
      </c>
      <c r="E157" s="5">
        <v>12.72</v>
      </c>
      <c r="F157" s="4">
        <v>28</v>
      </c>
      <c r="G157" s="5">
        <v>3.88</v>
      </c>
      <c r="H157" s="4">
        <v>0</v>
      </c>
    </row>
    <row r="158" spans="1:8" x14ac:dyDescent="0.2">
      <c r="A158" s="2" t="s">
        <v>56</v>
      </c>
      <c r="B158" s="4">
        <v>193</v>
      </c>
      <c r="C158" s="5">
        <v>12.28</v>
      </c>
      <c r="D158" s="4">
        <v>170</v>
      </c>
      <c r="E158" s="5">
        <v>20.21</v>
      </c>
      <c r="F158" s="4">
        <v>23</v>
      </c>
      <c r="G158" s="5">
        <v>3.19</v>
      </c>
      <c r="H158" s="4">
        <v>0</v>
      </c>
    </row>
    <row r="159" spans="1:8" x14ac:dyDescent="0.2">
      <c r="A159" s="2" t="s">
        <v>57</v>
      </c>
      <c r="B159" s="4">
        <v>35</v>
      </c>
      <c r="C159" s="5">
        <v>2.23</v>
      </c>
      <c r="D159" s="4">
        <v>33</v>
      </c>
      <c r="E159" s="5">
        <v>3.92</v>
      </c>
      <c r="F159" s="4">
        <v>2</v>
      </c>
      <c r="G159" s="5">
        <v>0.28000000000000003</v>
      </c>
      <c r="H159" s="4">
        <v>0</v>
      </c>
    </row>
    <row r="160" spans="1:8" x14ac:dyDescent="0.2">
      <c r="A160" s="2" t="s">
        <v>58</v>
      </c>
      <c r="B160" s="4">
        <v>59</v>
      </c>
      <c r="C160" s="5">
        <v>3.75</v>
      </c>
      <c r="D160" s="4">
        <v>43</v>
      </c>
      <c r="E160" s="5">
        <v>5.1100000000000003</v>
      </c>
      <c r="F160" s="4">
        <v>13</v>
      </c>
      <c r="G160" s="5">
        <v>1.8</v>
      </c>
      <c r="H160" s="4">
        <v>0</v>
      </c>
    </row>
    <row r="161" spans="1:8" x14ac:dyDescent="0.2">
      <c r="A161" s="2" t="s">
        <v>59</v>
      </c>
      <c r="B161" s="4">
        <v>55</v>
      </c>
      <c r="C161" s="5">
        <v>3.5</v>
      </c>
      <c r="D161" s="4">
        <v>29</v>
      </c>
      <c r="E161" s="5">
        <v>3.45</v>
      </c>
      <c r="F161" s="4">
        <v>24</v>
      </c>
      <c r="G161" s="5">
        <v>3.33</v>
      </c>
      <c r="H161" s="4">
        <v>0</v>
      </c>
    </row>
    <row r="162" spans="1:8" x14ac:dyDescent="0.2">
      <c r="A162" s="1" t="s">
        <v>10</v>
      </c>
      <c r="B162" s="4">
        <v>1056</v>
      </c>
      <c r="C162" s="5">
        <v>99.99</v>
      </c>
      <c r="D162" s="4">
        <v>665</v>
      </c>
      <c r="E162" s="5">
        <v>99.990000000000009</v>
      </c>
      <c r="F162" s="4">
        <v>360</v>
      </c>
      <c r="G162" s="5">
        <v>100.01</v>
      </c>
      <c r="H162" s="4">
        <v>3</v>
      </c>
    </row>
    <row r="163" spans="1:8" x14ac:dyDescent="0.2">
      <c r="A163" s="2" t="s">
        <v>45</v>
      </c>
      <c r="B163" s="4">
        <v>1</v>
      </c>
      <c r="C163" s="5">
        <v>0.09</v>
      </c>
      <c r="D163" s="4">
        <v>0</v>
      </c>
      <c r="E163" s="5">
        <v>0</v>
      </c>
      <c r="F163" s="4">
        <v>1</v>
      </c>
      <c r="G163" s="5">
        <v>0.28000000000000003</v>
      </c>
      <c r="H163" s="4">
        <v>0</v>
      </c>
    </row>
    <row r="164" spans="1:8" x14ac:dyDescent="0.2">
      <c r="A164" s="2" t="s">
        <v>46</v>
      </c>
      <c r="B164" s="4">
        <v>210</v>
      </c>
      <c r="C164" s="5">
        <v>19.89</v>
      </c>
      <c r="D164" s="4">
        <v>119</v>
      </c>
      <c r="E164" s="5">
        <v>17.89</v>
      </c>
      <c r="F164" s="4">
        <v>91</v>
      </c>
      <c r="G164" s="5">
        <v>25.28</v>
      </c>
      <c r="H164" s="4">
        <v>0</v>
      </c>
    </row>
    <row r="165" spans="1:8" x14ac:dyDescent="0.2">
      <c r="A165" s="2" t="s">
        <v>47</v>
      </c>
      <c r="B165" s="4">
        <v>124</v>
      </c>
      <c r="C165" s="5">
        <v>11.74</v>
      </c>
      <c r="D165" s="4">
        <v>60</v>
      </c>
      <c r="E165" s="5">
        <v>9.02</v>
      </c>
      <c r="F165" s="4">
        <v>64</v>
      </c>
      <c r="G165" s="5">
        <v>17.78</v>
      </c>
      <c r="H165" s="4">
        <v>0</v>
      </c>
    </row>
    <row r="166" spans="1:8" x14ac:dyDescent="0.2">
      <c r="A166" s="2" t="s">
        <v>48</v>
      </c>
      <c r="B166" s="4">
        <v>1</v>
      </c>
      <c r="C166" s="5">
        <v>0.09</v>
      </c>
      <c r="D166" s="4">
        <v>0</v>
      </c>
      <c r="E166" s="5">
        <v>0</v>
      </c>
      <c r="F166" s="4">
        <v>1</v>
      </c>
      <c r="G166" s="5">
        <v>0.28000000000000003</v>
      </c>
      <c r="H166" s="4">
        <v>0</v>
      </c>
    </row>
    <row r="167" spans="1:8" x14ac:dyDescent="0.2">
      <c r="A167" s="2" t="s">
        <v>49</v>
      </c>
      <c r="B167" s="4">
        <v>7</v>
      </c>
      <c r="C167" s="5">
        <v>0.66</v>
      </c>
      <c r="D167" s="4">
        <v>1</v>
      </c>
      <c r="E167" s="5">
        <v>0.15</v>
      </c>
      <c r="F167" s="4">
        <v>6</v>
      </c>
      <c r="G167" s="5">
        <v>1.67</v>
      </c>
      <c r="H167" s="4">
        <v>0</v>
      </c>
    </row>
    <row r="168" spans="1:8" x14ac:dyDescent="0.2">
      <c r="A168" s="2" t="s">
        <v>50</v>
      </c>
      <c r="B168" s="4">
        <v>8</v>
      </c>
      <c r="C168" s="5">
        <v>0.76</v>
      </c>
      <c r="D168" s="4">
        <v>2</v>
      </c>
      <c r="E168" s="5">
        <v>0.3</v>
      </c>
      <c r="F168" s="4">
        <v>6</v>
      </c>
      <c r="G168" s="5">
        <v>1.67</v>
      </c>
      <c r="H168" s="4">
        <v>0</v>
      </c>
    </row>
    <row r="169" spans="1:8" x14ac:dyDescent="0.2">
      <c r="A169" s="2" t="s">
        <v>51</v>
      </c>
      <c r="B169" s="4">
        <v>237</v>
      </c>
      <c r="C169" s="5">
        <v>22.44</v>
      </c>
      <c r="D169" s="4">
        <v>165</v>
      </c>
      <c r="E169" s="5">
        <v>24.81</v>
      </c>
      <c r="F169" s="4">
        <v>72</v>
      </c>
      <c r="G169" s="5">
        <v>20</v>
      </c>
      <c r="H169" s="4">
        <v>0</v>
      </c>
    </row>
    <row r="170" spans="1:8" x14ac:dyDescent="0.2">
      <c r="A170" s="2" t="s">
        <v>52</v>
      </c>
      <c r="B170" s="4">
        <v>7</v>
      </c>
      <c r="C170" s="5">
        <v>0.66</v>
      </c>
      <c r="D170" s="4">
        <v>2</v>
      </c>
      <c r="E170" s="5">
        <v>0.3</v>
      </c>
      <c r="F170" s="4">
        <v>5</v>
      </c>
      <c r="G170" s="5">
        <v>1.39</v>
      </c>
      <c r="H170" s="4">
        <v>0</v>
      </c>
    </row>
    <row r="171" spans="1:8" x14ac:dyDescent="0.2">
      <c r="A171" s="2" t="s">
        <v>53</v>
      </c>
      <c r="B171" s="4">
        <v>33</v>
      </c>
      <c r="C171" s="5">
        <v>3.13</v>
      </c>
      <c r="D171" s="4">
        <v>15</v>
      </c>
      <c r="E171" s="5">
        <v>2.2599999999999998</v>
      </c>
      <c r="F171" s="4">
        <v>18</v>
      </c>
      <c r="G171" s="5">
        <v>5</v>
      </c>
      <c r="H171" s="4">
        <v>0</v>
      </c>
    </row>
    <row r="172" spans="1:8" x14ac:dyDescent="0.2">
      <c r="A172" s="2" t="s">
        <v>54</v>
      </c>
      <c r="B172" s="4">
        <v>35</v>
      </c>
      <c r="C172" s="5">
        <v>3.31</v>
      </c>
      <c r="D172" s="4">
        <v>16</v>
      </c>
      <c r="E172" s="5">
        <v>2.41</v>
      </c>
      <c r="F172" s="4">
        <v>18</v>
      </c>
      <c r="G172" s="5">
        <v>5</v>
      </c>
      <c r="H172" s="4">
        <v>0</v>
      </c>
    </row>
    <row r="173" spans="1:8" x14ac:dyDescent="0.2">
      <c r="A173" s="2" t="s">
        <v>55</v>
      </c>
      <c r="B173" s="4">
        <v>110</v>
      </c>
      <c r="C173" s="5">
        <v>10.42</v>
      </c>
      <c r="D173" s="4">
        <v>90</v>
      </c>
      <c r="E173" s="5">
        <v>13.53</v>
      </c>
      <c r="F173" s="4">
        <v>20</v>
      </c>
      <c r="G173" s="5">
        <v>5.56</v>
      </c>
      <c r="H173" s="4">
        <v>0</v>
      </c>
    </row>
    <row r="174" spans="1:8" x14ac:dyDescent="0.2">
      <c r="A174" s="2" t="s">
        <v>56</v>
      </c>
      <c r="B174" s="4">
        <v>152</v>
      </c>
      <c r="C174" s="5">
        <v>14.39</v>
      </c>
      <c r="D174" s="4">
        <v>127</v>
      </c>
      <c r="E174" s="5">
        <v>19.100000000000001</v>
      </c>
      <c r="F174" s="4">
        <v>22</v>
      </c>
      <c r="G174" s="5">
        <v>6.11</v>
      </c>
      <c r="H174" s="4">
        <v>0</v>
      </c>
    </row>
    <row r="175" spans="1:8" x14ac:dyDescent="0.2">
      <c r="A175" s="2" t="s">
        <v>57</v>
      </c>
      <c r="B175" s="4">
        <v>36</v>
      </c>
      <c r="C175" s="5">
        <v>3.41</v>
      </c>
      <c r="D175" s="4">
        <v>13</v>
      </c>
      <c r="E175" s="5">
        <v>1.95</v>
      </c>
      <c r="F175" s="4">
        <v>8</v>
      </c>
      <c r="G175" s="5">
        <v>2.2200000000000002</v>
      </c>
      <c r="H175" s="4">
        <v>1</v>
      </c>
    </row>
    <row r="176" spans="1:8" x14ac:dyDescent="0.2">
      <c r="A176" s="2" t="s">
        <v>58</v>
      </c>
      <c r="B176" s="4">
        <v>42</v>
      </c>
      <c r="C176" s="5">
        <v>3.98</v>
      </c>
      <c r="D176" s="4">
        <v>23</v>
      </c>
      <c r="E176" s="5">
        <v>3.46</v>
      </c>
      <c r="F176" s="4">
        <v>12</v>
      </c>
      <c r="G176" s="5">
        <v>3.33</v>
      </c>
      <c r="H176" s="4">
        <v>2</v>
      </c>
    </row>
    <row r="177" spans="1:8" x14ac:dyDescent="0.2">
      <c r="A177" s="2" t="s">
        <v>59</v>
      </c>
      <c r="B177" s="4">
        <v>53</v>
      </c>
      <c r="C177" s="5">
        <v>5.0199999999999996</v>
      </c>
      <c r="D177" s="4">
        <v>32</v>
      </c>
      <c r="E177" s="5">
        <v>4.8099999999999996</v>
      </c>
      <c r="F177" s="4">
        <v>16</v>
      </c>
      <c r="G177" s="5">
        <v>4.4400000000000004</v>
      </c>
      <c r="H177" s="4">
        <v>0</v>
      </c>
    </row>
    <row r="178" spans="1:8" x14ac:dyDescent="0.2">
      <c r="A178" s="1" t="s">
        <v>11</v>
      </c>
      <c r="B178" s="4">
        <v>670</v>
      </c>
      <c r="C178" s="5">
        <v>100.02</v>
      </c>
      <c r="D178" s="4">
        <v>452</v>
      </c>
      <c r="E178" s="5">
        <v>99.99</v>
      </c>
      <c r="F178" s="4">
        <v>202</v>
      </c>
      <c r="G178" s="5">
        <v>100.02999999999999</v>
      </c>
      <c r="H178" s="4">
        <v>0</v>
      </c>
    </row>
    <row r="179" spans="1:8" x14ac:dyDescent="0.2">
      <c r="A179" s="2" t="s">
        <v>45</v>
      </c>
      <c r="B179" s="4">
        <v>1</v>
      </c>
      <c r="C179" s="5">
        <v>0.15</v>
      </c>
      <c r="D179" s="4">
        <v>0</v>
      </c>
      <c r="E179" s="5">
        <v>0</v>
      </c>
      <c r="F179" s="4">
        <v>1</v>
      </c>
      <c r="G179" s="5">
        <v>0.5</v>
      </c>
      <c r="H179" s="4">
        <v>0</v>
      </c>
    </row>
    <row r="180" spans="1:8" x14ac:dyDescent="0.2">
      <c r="A180" s="2" t="s">
        <v>46</v>
      </c>
      <c r="B180" s="4">
        <v>89</v>
      </c>
      <c r="C180" s="5">
        <v>13.28</v>
      </c>
      <c r="D180" s="4">
        <v>48</v>
      </c>
      <c r="E180" s="5">
        <v>10.62</v>
      </c>
      <c r="F180" s="4">
        <v>41</v>
      </c>
      <c r="G180" s="5">
        <v>20.3</v>
      </c>
      <c r="H180" s="4">
        <v>0</v>
      </c>
    </row>
    <row r="181" spans="1:8" x14ac:dyDescent="0.2">
      <c r="A181" s="2" t="s">
        <v>47</v>
      </c>
      <c r="B181" s="4">
        <v>31</v>
      </c>
      <c r="C181" s="5">
        <v>4.63</v>
      </c>
      <c r="D181" s="4">
        <v>17</v>
      </c>
      <c r="E181" s="5">
        <v>3.76</v>
      </c>
      <c r="F181" s="4">
        <v>14</v>
      </c>
      <c r="G181" s="5">
        <v>6.93</v>
      </c>
      <c r="H181" s="4">
        <v>0</v>
      </c>
    </row>
    <row r="182" spans="1:8" x14ac:dyDescent="0.2">
      <c r="A182" s="2" t="s">
        <v>48</v>
      </c>
      <c r="B182" s="4">
        <v>3</v>
      </c>
      <c r="C182" s="5">
        <v>0.45</v>
      </c>
      <c r="D182" s="4">
        <v>0</v>
      </c>
      <c r="E182" s="5">
        <v>0</v>
      </c>
      <c r="F182" s="4">
        <v>1</v>
      </c>
      <c r="G182" s="5">
        <v>0.5</v>
      </c>
      <c r="H182" s="4">
        <v>0</v>
      </c>
    </row>
    <row r="183" spans="1:8" x14ac:dyDescent="0.2">
      <c r="A183" s="2" t="s">
        <v>49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2">
      <c r="A184" s="2" t="s">
        <v>50</v>
      </c>
      <c r="B184" s="4">
        <v>6</v>
      </c>
      <c r="C184" s="5">
        <v>0.9</v>
      </c>
      <c r="D184" s="4">
        <v>1</v>
      </c>
      <c r="E184" s="5">
        <v>0.22</v>
      </c>
      <c r="F184" s="4">
        <v>5</v>
      </c>
      <c r="G184" s="5">
        <v>2.48</v>
      </c>
      <c r="H184" s="4">
        <v>0</v>
      </c>
    </row>
    <row r="185" spans="1:8" x14ac:dyDescent="0.2">
      <c r="A185" s="2" t="s">
        <v>51</v>
      </c>
      <c r="B185" s="4">
        <v>162</v>
      </c>
      <c r="C185" s="5">
        <v>24.18</v>
      </c>
      <c r="D185" s="4">
        <v>101</v>
      </c>
      <c r="E185" s="5">
        <v>22.35</v>
      </c>
      <c r="F185" s="4">
        <v>61</v>
      </c>
      <c r="G185" s="5">
        <v>30.2</v>
      </c>
      <c r="H185" s="4">
        <v>0</v>
      </c>
    </row>
    <row r="186" spans="1:8" x14ac:dyDescent="0.2">
      <c r="A186" s="2" t="s">
        <v>52</v>
      </c>
      <c r="B186" s="4">
        <v>3</v>
      </c>
      <c r="C186" s="5">
        <v>0.45</v>
      </c>
      <c r="D186" s="4">
        <v>1</v>
      </c>
      <c r="E186" s="5">
        <v>0.22</v>
      </c>
      <c r="F186" s="4">
        <v>2</v>
      </c>
      <c r="G186" s="5">
        <v>0.99</v>
      </c>
      <c r="H186" s="4">
        <v>0</v>
      </c>
    </row>
    <row r="187" spans="1:8" x14ac:dyDescent="0.2">
      <c r="A187" s="2" t="s">
        <v>53</v>
      </c>
      <c r="B187" s="4">
        <v>49</v>
      </c>
      <c r="C187" s="5">
        <v>7.31</v>
      </c>
      <c r="D187" s="4">
        <v>27</v>
      </c>
      <c r="E187" s="5">
        <v>5.97</v>
      </c>
      <c r="F187" s="4">
        <v>22</v>
      </c>
      <c r="G187" s="5">
        <v>10.89</v>
      </c>
      <c r="H187" s="4">
        <v>0</v>
      </c>
    </row>
    <row r="188" spans="1:8" x14ac:dyDescent="0.2">
      <c r="A188" s="2" t="s">
        <v>54</v>
      </c>
      <c r="B188" s="4">
        <v>28</v>
      </c>
      <c r="C188" s="5">
        <v>4.18</v>
      </c>
      <c r="D188" s="4">
        <v>22</v>
      </c>
      <c r="E188" s="5">
        <v>4.87</v>
      </c>
      <c r="F188" s="4">
        <v>6</v>
      </c>
      <c r="G188" s="5">
        <v>2.97</v>
      </c>
      <c r="H188" s="4">
        <v>0</v>
      </c>
    </row>
    <row r="189" spans="1:8" x14ac:dyDescent="0.2">
      <c r="A189" s="2" t="s">
        <v>55</v>
      </c>
      <c r="B189" s="4">
        <v>85</v>
      </c>
      <c r="C189" s="5">
        <v>12.69</v>
      </c>
      <c r="D189" s="4">
        <v>74</v>
      </c>
      <c r="E189" s="5">
        <v>16.37</v>
      </c>
      <c r="F189" s="4">
        <v>11</v>
      </c>
      <c r="G189" s="5">
        <v>5.45</v>
      </c>
      <c r="H189" s="4">
        <v>0</v>
      </c>
    </row>
    <row r="190" spans="1:8" x14ac:dyDescent="0.2">
      <c r="A190" s="2" t="s">
        <v>56</v>
      </c>
      <c r="B190" s="4">
        <v>126</v>
      </c>
      <c r="C190" s="5">
        <v>18.809999999999999</v>
      </c>
      <c r="D190" s="4">
        <v>106</v>
      </c>
      <c r="E190" s="5">
        <v>23.45</v>
      </c>
      <c r="F190" s="4">
        <v>16</v>
      </c>
      <c r="G190" s="5">
        <v>7.92</v>
      </c>
      <c r="H190" s="4">
        <v>0</v>
      </c>
    </row>
    <row r="191" spans="1:8" x14ac:dyDescent="0.2">
      <c r="A191" s="2" t="s">
        <v>57</v>
      </c>
      <c r="B191" s="4">
        <v>37</v>
      </c>
      <c r="C191" s="5">
        <v>5.52</v>
      </c>
      <c r="D191" s="4">
        <v>28</v>
      </c>
      <c r="E191" s="5">
        <v>6.19</v>
      </c>
      <c r="F191" s="4">
        <v>7</v>
      </c>
      <c r="G191" s="5">
        <v>3.47</v>
      </c>
      <c r="H191" s="4">
        <v>0</v>
      </c>
    </row>
    <row r="192" spans="1:8" x14ac:dyDescent="0.2">
      <c r="A192" s="2" t="s">
        <v>58</v>
      </c>
      <c r="B192" s="4">
        <v>31</v>
      </c>
      <c r="C192" s="5">
        <v>4.63</v>
      </c>
      <c r="D192" s="4">
        <v>18</v>
      </c>
      <c r="E192" s="5">
        <v>3.98</v>
      </c>
      <c r="F192" s="4">
        <v>8</v>
      </c>
      <c r="G192" s="5">
        <v>3.96</v>
      </c>
      <c r="H192" s="4">
        <v>0</v>
      </c>
    </row>
    <row r="193" spans="1:8" x14ac:dyDescent="0.2">
      <c r="A193" s="2" t="s">
        <v>59</v>
      </c>
      <c r="B193" s="4">
        <v>19</v>
      </c>
      <c r="C193" s="5">
        <v>2.84</v>
      </c>
      <c r="D193" s="4">
        <v>9</v>
      </c>
      <c r="E193" s="5">
        <v>1.99</v>
      </c>
      <c r="F193" s="4">
        <v>7</v>
      </c>
      <c r="G193" s="5">
        <v>3.47</v>
      </c>
      <c r="H193" s="4">
        <v>0</v>
      </c>
    </row>
    <row r="194" spans="1:8" x14ac:dyDescent="0.2">
      <c r="A194" s="1" t="s">
        <v>12</v>
      </c>
      <c r="B194" s="4">
        <v>934</v>
      </c>
      <c r="C194" s="5">
        <v>100.00999999999999</v>
      </c>
      <c r="D194" s="4">
        <v>570</v>
      </c>
      <c r="E194" s="5">
        <v>100</v>
      </c>
      <c r="F194" s="4">
        <v>344</v>
      </c>
      <c r="G194" s="5">
        <v>99.990000000000009</v>
      </c>
      <c r="H194" s="4">
        <v>0</v>
      </c>
    </row>
    <row r="195" spans="1:8" x14ac:dyDescent="0.2">
      <c r="A195" s="2" t="s">
        <v>45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46</v>
      </c>
      <c r="B196" s="4">
        <v>161</v>
      </c>
      <c r="C196" s="5">
        <v>17.239999999999998</v>
      </c>
      <c r="D196" s="4">
        <v>76</v>
      </c>
      <c r="E196" s="5">
        <v>13.33</v>
      </c>
      <c r="F196" s="4">
        <v>85</v>
      </c>
      <c r="G196" s="5">
        <v>24.71</v>
      </c>
      <c r="H196" s="4">
        <v>0</v>
      </c>
    </row>
    <row r="197" spans="1:8" x14ac:dyDescent="0.2">
      <c r="A197" s="2" t="s">
        <v>47</v>
      </c>
      <c r="B197" s="4">
        <v>114</v>
      </c>
      <c r="C197" s="5">
        <v>12.21</v>
      </c>
      <c r="D197" s="4">
        <v>56</v>
      </c>
      <c r="E197" s="5">
        <v>9.82</v>
      </c>
      <c r="F197" s="4">
        <v>58</v>
      </c>
      <c r="G197" s="5">
        <v>16.86</v>
      </c>
      <c r="H197" s="4">
        <v>0</v>
      </c>
    </row>
    <row r="198" spans="1:8" x14ac:dyDescent="0.2">
      <c r="A198" s="2" t="s">
        <v>48</v>
      </c>
      <c r="B198" s="4">
        <v>5</v>
      </c>
      <c r="C198" s="5">
        <v>0.54</v>
      </c>
      <c r="D198" s="4">
        <v>0</v>
      </c>
      <c r="E198" s="5">
        <v>0</v>
      </c>
      <c r="F198" s="4">
        <v>2</v>
      </c>
      <c r="G198" s="5">
        <v>0.57999999999999996</v>
      </c>
      <c r="H198" s="4">
        <v>0</v>
      </c>
    </row>
    <row r="199" spans="1:8" x14ac:dyDescent="0.2">
      <c r="A199" s="2" t="s">
        <v>49</v>
      </c>
      <c r="B199" s="4">
        <v>3</v>
      </c>
      <c r="C199" s="5">
        <v>0.32</v>
      </c>
      <c r="D199" s="4">
        <v>0</v>
      </c>
      <c r="E199" s="5">
        <v>0</v>
      </c>
      <c r="F199" s="4">
        <v>3</v>
      </c>
      <c r="G199" s="5">
        <v>0.87</v>
      </c>
      <c r="H199" s="4">
        <v>0</v>
      </c>
    </row>
    <row r="200" spans="1:8" x14ac:dyDescent="0.2">
      <c r="A200" s="2" t="s">
        <v>50</v>
      </c>
      <c r="B200" s="4">
        <v>13</v>
      </c>
      <c r="C200" s="5">
        <v>1.39</v>
      </c>
      <c r="D200" s="4">
        <v>2</v>
      </c>
      <c r="E200" s="5">
        <v>0.35</v>
      </c>
      <c r="F200" s="4">
        <v>11</v>
      </c>
      <c r="G200" s="5">
        <v>3.2</v>
      </c>
      <c r="H200" s="4">
        <v>0</v>
      </c>
    </row>
    <row r="201" spans="1:8" x14ac:dyDescent="0.2">
      <c r="A201" s="2" t="s">
        <v>51</v>
      </c>
      <c r="B201" s="4">
        <v>219</v>
      </c>
      <c r="C201" s="5">
        <v>23.45</v>
      </c>
      <c r="D201" s="4">
        <v>136</v>
      </c>
      <c r="E201" s="5">
        <v>23.86</v>
      </c>
      <c r="F201" s="4">
        <v>83</v>
      </c>
      <c r="G201" s="5">
        <v>24.13</v>
      </c>
      <c r="H201" s="4">
        <v>0</v>
      </c>
    </row>
    <row r="202" spans="1:8" x14ac:dyDescent="0.2">
      <c r="A202" s="2" t="s">
        <v>52</v>
      </c>
      <c r="B202" s="4">
        <v>6</v>
      </c>
      <c r="C202" s="5">
        <v>0.64</v>
      </c>
      <c r="D202" s="4">
        <v>1</v>
      </c>
      <c r="E202" s="5">
        <v>0.18</v>
      </c>
      <c r="F202" s="4">
        <v>5</v>
      </c>
      <c r="G202" s="5">
        <v>1.45</v>
      </c>
      <c r="H202" s="4">
        <v>0</v>
      </c>
    </row>
    <row r="203" spans="1:8" x14ac:dyDescent="0.2">
      <c r="A203" s="2" t="s">
        <v>53</v>
      </c>
      <c r="B203" s="4">
        <v>61</v>
      </c>
      <c r="C203" s="5">
        <v>6.53</v>
      </c>
      <c r="D203" s="4">
        <v>36</v>
      </c>
      <c r="E203" s="5">
        <v>6.32</v>
      </c>
      <c r="F203" s="4">
        <v>25</v>
      </c>
      <c r="G203" s="5">
        <v>7.27</v>
      </c>
      <c r="H203" s="4">
        <v>0</v>
      </c>
    </row>
    <row r="204" spans="1:8" x14ac:dyDescent="0.2">
      <c r="A204" s="2" t="s">
        <v>54</v>
      </c>
      <c r="B204" s="4">
        <v>34</v>
      </c>
      <c r="C204" s="5">
        <v>3.64</v>
      </c>
      <c r="D204" s="4">
        <v>22</v>
      </c>
      <c r="E204" s="5">
        <v>3.86</v>
      </c>
      <c r="F204" s="4">
        <v>11</v>
      </c>
      <c r="G204" s="5">
        <v>3.2</v>
      </c>
      <c r="H204" s="4">
        <v>0</v>
      </c>
    </row>
    <row r="205" spans="1:8" x14ac:dyDescent="0.2">
      <c r="A205" s="2" t="s">
        <v>55</v>
      </c>
      <c r="B205" s="4">
        <v>84</v>
      </c>
      <c r="C205" s="5">
        <v>8.99</v>
      </c>
      <c r="D205" s="4">
        <v>70</v>
      </c>
      <c r="E205" s="5">
        <v>12.28</v>
      </c>
      <c r="F205" s="4">
        <v>14</v>
      </c>
      <c r="G205" s="5">
        <v>4.07</v>
      </c>
      <c r="H205" s="4">
        <v>0</v>
      </c>
    </row>
    <row r="206" spans="1:8" x14ac:dyDescent="0.2">
      <c r="A206" s="2" t="s">
        <v>56</v>
      </c>
      <c r="B206" s="4">
        <v>121</v>
      </c>
      <c r="C206" s="5">
        <v>12.96</v>
      </c>
      <c r="D206" s="4">
        <v>104</v>
      </c>
      <c r="E206" s="5">
        <v>18.25</v>
      </c>
      <c r="F206" s="4">
        <v>16</v>
      </c>
      <c r="G206" s="5">
        <v>4.6500000000000004</v>
      </c>
      <c r="H206" s="4">
        <v>0</v>
      </c>
    </row>
    <row r="207" spans="1:8" x14ac:dyDescent="0.2">
      <c r="A207" s="2" t="s">
        <v>57</v>
      </c>
      <c r="B207" s="4">
        <v>36</v>
      </c>
      <c r="C207" s="5">
        <v>3.85</v>
      </c>
      <c r="D207" s="4">
        <v>19</v>
      </c>
      <c r="E207" s="5">
        <v>3.33</v>
      </c>
      <c r="F207" s="4">
        <v>6</v>
      </c>
      <c r="G207" s="5">
        <v>1.74</v>
      </c>
      <c r="H207" s="4">
        <v>0</v>
      </c>
    </row>
    <row r="208" spans="1:8" x14ac:dyDescent="0.2">
      <c r="A208" s="2" t="s">
        <v>58</v>
      </c>
      <c r="B208" s="4">
        <v>45</v>
      </c>
      <c r="C208" s="5">
        <v>4.82</v>
      </c>
      <c r="D208" s="4">
        <v>26</v>
      </c>
      <c r="E208" s="5">
        <v>4.5599999999999996</v>
      </c>
      <c r="F208" s="4">
        <v>18</v>
      </c>
      <c r="G208" s="5">
        <v>5.23</v>
      </c>
      <c r="H208" s="4">
        <v>0</v>
      </c>
    </row>
    <row r="209" spans="1:8" x14ac:dyDescent="0.2">
      <c r="A209" s="2" t="s">
        <v>59</v>
      </c>
      <c r="B209" s="4">
        <v>32</v>
      </c>
      <c r="C209" s="5">
        <v>3.43</v>
      </c>
      <c r="D209" s="4">
        <v>22</v>
      </c>
      <c r="E209" s="5">
        <v>3.86</v>
      </c>
      <c r="F209" s="4">
        <v>7</v>
      </c>
      <c r="G209" s="5">
        <v>2.0299999999999998</v>
      </c>
      <c r="H209" s="4">
        <v>0</v>
      </c>
    </row>
    <row r="210" spans="1:8" x14ac:dyDescent="0.2">
      <c r="A210" s="1" t="s">
        <v>13</v>
      </c>
      <c r="B210" s="4">
        <v>2047</v>
      </c>
      <c r="C210" s="5">
        <v>100.01</v>
      </c>
      <c r="D210" s="4">
        <v>1342</v>
      </c>
      <c r="E210" s="5">
        <v>99.99</v>
      </c>
      <c r="F210" s="4">
        <v>698</v>
      </c>
      <c r="G210" s="5">
        <v>100.01000000000002</v>
      </c>
      <c r="H210" s="4">
        <v>4</v>
      </c>
    </row>
    <row r="211" spans="1:8" x14ac:dyDescent="0.2">
      <c r="A211" s="2" t="s">
        <v>45</v>
      </c>
      <c r="B211" s="4">
        <v>1</v>
      </c>
      <c r="C211" s="5">
        <v>0.05</v>
      </c>
      <c r="D211" s="4">
        <v>1</v>
      </c>
      <c r="E211" s="5">
        <v>7.0000000000000007E-2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46</v>
      </c>
      <c r="B212" s="4">
        <v>367</v>
      </c>
      <c r="C212" s="5">
        <v>17.93</v>
      </c>
      <c r="D212" s="4">
        <v>221</v>
      </c>
      <c r="E212" s="5">
        <v>16.47</v>
      </c>
      <c r="F212" s="4">
        <v>146</v>
      </c>
      <c r="G212" s="5">
        <v>20.92</v>
      </c>
      <c r="H212" s="4">
        <v>0</v>
      </c>
    </row>
    <row r="213" spans="1:8" x14ac:dyDescent="0.2">
      <c r="A213" s="2" t="s">
        <v>47</v>
      </c>
      <c r="B213" s="4">
        <v>288</v>
      </c>
      <c r="C213" s="5">
        <v>14.07</v>
      </c>
      <c r="D213" s="4">
        <v>163</v>
      </c>
      <c r="E213" s="5">
        <v>12.15</v>
      </c>
      <c r="F213" s="4">
        <v>125</v>
      </c>
      <c r="G213" s="5">
        <v>17.91</v>
      </c>
      <c r="H213" s="4">
        <v>0</v>
      </c>
    </row>
    <row r="214" spans="1:8" x14ac:dyDescent="0.2">
      <c r="A214" s="2" t="s">
        <v>48</v>
      </c>
      <c r="B214" s="4">
        <v>8</v>
      </c>
      <c r="C214" s="5">
        <v>0.39</v>
      </c>
      <c r="D214" s="4">
        <v>0</v>
      </c>
      <c r="E214" s="5">
        <v>0</v>
      </c>
      <c r="F214" s="4">
        <v>8</v>
      </c>
      <c r="G214" s="5">
        <v>1.1499999999999999</v>
      </c>
      <c r="H214" s="4">
        <v>0</v>
      </c>
    </row>
    <row r="215" spans="1:8" x14ac:dyDescent="0.2">
      <c r="A215" s="2" t="s">
        <v>49</v>
      </c>
      <c r="B215" s="4">
        <v>7</v>
      </c>
      <c r="C215" s="5">
        <v>0.34</v>
      </c>
      <c r="D215" s="4">
        <v>2</v>
      </c>
      <c r="E215" s="5">
        <v>0.15</v>
      </c>
      <c r="F215" s="4">
        <v>5</v>
      </c>
      <c r="G215" s="5">
        <v>0.72</v>
      </c>
      <c r="H215" s="4">
        <v>0</v>
      </c>
    </row>
    <row r="216" spans="1:8" x14ac:dyDescent="0.2">
      <c r="A216" s="2" t="s">
        <v>50</v>
      </c>
      <c r="B216" s="4">
        <v>18</v>
      </c>
      <c r="C216" s="5">
        <v>0.88</v>
      </c>
      <c r="D216" s="4">
        <v>4</v>
      </c>
      <c r="E216" s="5">
        <v>0.3</v>
      </c>
      <c r="F216" s="4">
        <v>13</v>
      </c>
      <c r="G216" s="5">
        <v>1.86</v>
      </c>
      <c r="H216" s="4">
        <v>1</v>
      </c>
    </row>
    <row r="217" spans="1:8" x14ac:dyDescent="0.2">
      <c r="A217" s="2" t="s">
        <v>51</v>
      </c>
      <c r="B217" s="4">
        <v>474</v>
      </c>
      <c r="C217" s="5">
        <v>23.16</v>
      </c>
      <c r="D217" s="4">
        <v>280</v>
      </c>
      <c r="E217" s="5">
        <v>20.86</v>
      </c>
      <c r="F217" s="4">
        <v>193</v>
      </c>
      <c r="G217" s="5">
        <v>27.65</v>
      </c>
      <c r="H217" s="4">
        <v>1</v>
      </c>
    </row>
    <row r="218" spans="1:8" x14ac:dyDescent="0.2">
      <c r="A218" s="2" t="s">
        <v>52</v>
      </c>
      <c r="B218" s="4">
        <v>12</v>
      </c>
      <c r="C218" s="5">
        <v>0.59</v>
      </c>
      <c r="D218" s="4">
        <v>4</v>
      </c>
      <c r="E218" s="5">
        <v>0.3</v>
      </c>
      <c r="F218" s="4">
        <v>8</v>
      </c>
      <c r="G218" s="5">
        <v>1.1499999999999999</v>
      </c>
      <c r="H218" s="4">
        <v>0</v>
      </c>
    </row>
    <row r="219" spans="1:8" x14ac:dyDescent="0.2">
      <c r="A219" s="2" t="s">
        <v>53</v>
      </c>
      <c r="B219" s="4">
        <v>143</v>
      </c>
      <c r="C219" s="5">
        <v>6.99</v>
      </c>
      <c r="D219" s="4">
        <v>96</v>
      </c>
      <c r="E219" s="5">
        <v>7.15</v>
      </c>
      <c r="F219" s="4">
        <v>46</v>
      </c>
      <c r="G219" s="5">
        <v>6.59</v>
      </c>
      <c r="H219" s="4">
        <v>1</v>
      </c>
    </row>
    <row r="220" spans="1:8" x14ac:dyDescent="0.2">
      <c r="A220" s="2" t="s">
        <v>54</v>
      </c>
      <c r="B220" s="4">
        <v>93</v>
      </c>
      <c r="C220" s="5">
        <v>4.54</v>
      </c>
      <c r="D220" s="4">
        <v>64</v>
      </c>
      <c r="E220" s="5">
        <v>4.7699999999999996</v>
      </c>
      <c r="F220" s="4">
        <v>28</v>
      </c>
      <c r="G220" s="5">
        <v>4.01</v>
      </c>
      <c r="H220" s="4">
        <v>0</v>
      </c>
    </row>
    <row r="221" spans="1:8" x14ac:dyDescent="0.2">
      <c r="A221" s="2" t="s">
        <v>55</v>
      </c>
      <c r="B221" s="4">
        <v>188</v>
      </c>
      <c r="C221" s="5">
        <v>9.18</v>
      </c>
      <c r="D221" s="4">
        <v>155</v>
      </c>
      <c r="E221" s="5">
        <v>11.55</v>
      </c>
      <c r="F221" s="4">
        <v>31</v>
      </c>
      <c r="G221" s="5">
        <v>4.4400000000000004</v>
      </c>
      <c r="H221" s="4">
        <v>0</v>
      </c>
    </row>
    <row r="222" spans="1:8" x14ac:dyDescent="0.2">
      <c r="A222" s="2" t="s">
        <v>56</v>
      </c>
      <c r="B222" s="4">
        <v>237</v>
      </c>
      <c r="C222" s="5">
        <v>11.58</v>
      </c>
      <c r="D222" s="4">
        <v>202</v>
      </c>
      <c r="E222" s="5">
        <v>15.05</v>
      </c>
      <c r="F222" s="4">
        <v>35</v>
      </c>
      <c r="G222" s="5">
        <v>5.01</v>
      </c>
      <c r="H222" s="4">
        <v>0</v>
      </c>
    </row>
    <row r="223" spans="1:8" x14ac:dyDescent="0.2">
      <c r="A223" s="2" t="s">
        <v>57</v>
      </c>
      <c r="B223" s="4">
        <v>68</v>
      </c>
      <c r="C223" s="5">
        <v>3.32</v>
      </c>
      <c r="D223" s="4">
        <v>52</v>
      </c>
      <c r="E223" s="5">
        <v>3.87</v>
      </c>
      <c r="F223" s="4">
        <v>16</v>
      </c>
      <c r="G223" s="5">
        <v>2.29</v>
      </c>
      <c r="H223" s="4">
        <v>0</v>
      </c>
    </row>
    <row r="224" spans="1:8" x14ac:dyDescent="0.2">
      <c r="A224" s="2" t="s">
        <v>58</v>
      </c>
      <c r="B224" s="4">
        <v>65</v>
      </c>
      <c r="C224" s="5">
        <v>3.18</v>
      </c>
      <c r="D224" s="4">
        <v>44</v>
      </c>
      <c r="E224" s="5">
        <v>3.28</v>
      </c>
      <c r="F224" s="4">
        <v>20</v>
      </c>
      <c r="G224" s="5">
        <v>2.87</v>
      </c>
      <c r="H224" s="4">
        <v>1</v>
      </c>
    </row>
    <row r="225" spans="1:8" x14ac:dyDescent="0.2">
      <c r="A225" s="2" t="s">
        <v>59</v>
      </c>
      <c r="B225" s="4">
        <v>78</v>
      </c>
      <c r="C225" s="5">
        <v>3.81</v>
      </c>
      <c r="D225" s="4">
        <v>54</v>
      </c>
      <c r="E225" s="5">
        <v>4.0199999999999996</v>
      </c>
      <c r="F225" s="4">
        <v>24</v>
      </c>
      <c r="G225" s="5">
        <v>3.44</v>
      </c>
      <c r="H225" s="4">
        <v>0</v>
      </c>
    </row>
    <row r="226" spans="1:8" x14ac:dyDescent="0.2">
      <c r="A226" s="1" t="s">
        <v>14</v>
      </c>
      <c r="B226" s="4">
        <v>1703</v>
      </c>
      <c r="C226" s="5">
        <v>100.00000000000001</v>
      </c>
      <c r="D226" s="4">
        <v>895</v>
      </c>
      <c r="E226" s="5">
        <v>99.999999999999986</v>
      </c>
      <c r="F226" s="4">
        <v>786</v>
      </c>
      <c r="G226" s="5">
        <v>100.00999999999999</v>
      </c>
      <c r="H226" s="4">
        <v>1</v>
      </c>
    </row>
    <row r="227" spans="1:8" x14ac:dyDescent="0.2">
      <c r="A227" s="2" t="s">
        <v>45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46</v>
      </c>
      <c r="B228" s="4">
        <v>224</v>
      </c>
      <c r="C228" s="5">
        <v>13.15</v>
      </c>
      <c r="D228" s="4">
        <v>60</v>
      </c>
      <c r="E228" s="5">
        <v>6.7</v>
      </c>
      <c r="F228" s="4">
        <v>164</v>
      </c>
      <c r="G228" s="5">
        <v>20.87</v>
      </c>
      <c r="H228" s="4">
        <v>0</v>
      </c>
    </row>
    <row r="229" spans="1:8" x14ac:dyDescent="0.2">
      <c r="A229" s="2" t="s">
        <v>47</v>
      </c>
      <c r="B229" s="4">
        <v>81</v>
      </c>
      <c r="C229" s="5">
        <v>4.76</v>
      </c>
      <c r="D229" s="4">
        <v>37</v>
      </c>
      <c r="E229" s="5">
        <v>4.13</v>
      </c>
      <c r="F229" s="4">
        <v>44</v>
      </c>
      <c r="G229" s="5">
        <v>5.6</v>
      </c>
      <c r="H229" s="4">
        <v>0</v>
      </c>
    </row>
    <row r="230" spans="1:8" x14ac:dyDescent="0.2">
      <c r="A230" s="2" t="s">
        <v>48</v>
      </c>
      <c r="B230" s="4">
        <v>1</v>
      </c>
      <c r="C230" s="5">
        <v>0.06</v>
      </c>
      <c r="D230" s="4">
        <v>0</v>
      </c>
      <c r="E230" s="5">
        <v>0</v>
      </c>
      <c r="F230" s="4">
        <v>1</v>
      </c>
      <c r="G230" s="5">
        <v>0.13</v>
      </c>
      <c r="H230" s="4">
        <v>0</v>
      </c>
    </row>
    <row r="231" spans="1:8" x14ac:dyDescent="0.2">
      <c r="A231" s="2" t="s">
        <v>49</v>
      </c>
      <c r="B231" s="4">
        <v>18</v>
      </c>
      <c r="C231" s="5">
        <v>1.06</v>
      </c>
      <c r="D231" s="4">
        <v>1</v>
      </c>
      <c r="E231" s="5">
        <v>0.11</v>
      </c>
      <c r="F231" s="4">
        <v>17</v>
      </c>
      <c r="G231" s="5">
        <v>2.16</v>
      </c>
      <c r="H231" s="4">
        <v>0</v>
      </c>
    </row>
    <row r="232" spans="1:8" x14ac:dyDescent="0.2">
      <c r="A232" s="2" t="s">
        <v>50</v>
      </c>
      <c r="B232" s="4">
        <v>13</v>
      </c>
      <c r="C232" s="5">
        <v>0.76</v>
      </c>
      <c r="D232" s="4">
        <v>2</v>
      </c>
      <c r="E232" s="5">
        <v>0.22</v>
      </c>
      <c r="F232" s="4">
        <v>11</v>
      </c>
      <c r="G232" s="5">
        <v>1.4</v>
      </c>
      <c r="H232" s="4">
        <v>0</v>
      </c>
    </row>
    <row r="233" spans="1:8" x14ac:dyDescent="0.2">
      <c r="A233" s="2" t="s">
        <v>51</v>
      </c>
      <c r="B233" s="4">
        <v>401</v>
      </c>
      <c r="C233" s="5">
        <v>23.55</v>
      </c>
      <c r="D233" s="4">
        <v>184</v>
      </c>
      <c r="E233" s="5">
        <v>20.56</v>
      </c>
      <c r="F233" s="4">
        <v>217</v>
      </c>
      <c r="G233" s="5">
        <v>27.61</v>
      </c>
      <c r="H233" s="4">
        <v>0</v>
      </c>
    </row>
    <row r="234" spans="1:8" x14ac:dyDescent="0.2">
      <c r="A234" s="2" t="s">
        <v>52</v>
      </c>
      <c r="B234" s="4">
        <v>12</v>
      </c>
      <c r="C234" s="5">
        <v>0.7</v>
      </c>
      <c r="D234" s="4">
        <v>3</v>
      </c>
      <c r="E234" s="5">
        <v>0.34</v>
      </c>
      <c r="F234" s="4">
        <v>9</v>
      </c>
      <c r="G234" s="5">
        <v>1.1499999999999999</v>
      </c>
      <c r="H234" s="4">
        <v>0</v>
      </c>
    </row>
    <row r="235" spans="1:8" x14ac:dyDescent="0.2">
      <c r="A235" s="2" t="s">
        <v>53</v>
      </c>
      <c r="B235" s="4">
        <v>154</v>
      </c>
      <c r="C235" s="5">
        <v>9.0399999999999991</v>
      </c>
      <c r="D235" s="4">
        <v>42</v>
      </c>
      <c r="E235" s="5">
        <v>4.6900000000000004</v>
      </c>
      <c r="F235" s="4">
        <v>111</v>
      </c>
      <c r="G235" s="5">
        <v>14.12</v>
      </c>
      <c r="H235" s="4">
        <v>0</v>
      </c>
    </row>
    <row r="236" spans="1:8" x14ac:dyDescent="0.2">
      <c r="A236" s="2" t="s">
        <v>54</v>
      </c>
      <c r="B236" s="4">
        <v>101</v>
      </c>
      <c r="C236" s="5">
        <v>5.93</v>
      </c>
      <c r="D236" s="4">
        <v>44</v>
      </c>
      <c r="E236" s="5">
        <v>4.92</v>
      </c>
      <c r="F236" s="4">
        <v>54</v>
      </c>
      <c r="G236" s="5">
        <v>6.87</v>
      </c>
      <c r="H236" s="4">
        <v>1</v>
      </c>
    </row>
    <row r="237" spans="1:8" x14ac:dyDescent="0.2">
      <c r="A237" s="2" t="s">
        <v>55</v>
      </c>
      <c r="B237" s="4">
        <v>195</v>
      </c>
      <c r="C237" s="5">
        <v>11.45</v>
      </c>
      <c r="D237" s="4">
        <v>161</v>
      </c>
      <c r="E237" s="5">
        <v>17.989999999999998</v>
      </c>
      <c r="F237" s="4">
        <v>34</v>
      </c>
      <c r="G237" s="5">
        <v>4.33</v>
      </c>
      <c r="H237" s="4">
        <v>0</v>
      </c>
    </row>
    <row r="238" spans="1:8" x14ac:dyDescent="0.2">
      <c r="A238" s="2" t="s">
        <v>56</v>
      </c>
      <c r="B238" s="4">
        <v>241</v>
      </c>
      <c r="C238" s="5">
        <v>14.15</v>
      </c>
      <c r="D238" s="4">
        <v>191</v>
      </c>
      <c r="E238" s="5">
        <v>21.34</v>
      </c>
      <c r="F238" s="4">
        <v>47</v>
      </c>
      <c r="G238" s="5">
        <v>5.98</v>
      </c>
      <c r="H238" s="4">
        <v>0</v>
      </c>
    </row>
    <row r="239" spans="1:8" x14ac:dyDescent="0.2">
      <c r="A239" s="2" t="s">
        <v>57</v>
      </c>
      <c r="B239" s="4">
        <v>91</v>
      </c>
      <c r="C239" s="5">
        <v>5.34</v>
      </c>
      <c r="D239" s="4">
        <v>67</v>
      </c>
      <c r="E239" s="5">
        <v>7.49</v>
      </c>
      <c r="F239" s="4">
        <v>15</v>
      </c>
      <c r="G239" s="5">
        <v>1.91</v>
      </c>
      <c r="H239" s="4">
        <v>0</v>
      </c>
    </row>
    <row r="240" spans="1:8" x14ac:dyDescent="0.2">
      <c r="A240" s="2" t="s">
        <v>58</v>
      </c>
      <c r="B240" s="4">
        <v>105</v>
      </c>
      <c r="C240" s="5">
        <v>6.17</v>
      </c>
      <c r="D240" s="4">
        <v>76</v>
      </c>
      <c r="E240" s="5">
        <v>8.49</v>
      </c>
      <c r="F240" s="4">
        <v>24</v>
      </c>
      <c r="G240" s="5">
        <v>3.05</v>
      </c>
      <c r="H240" s="4">
        <v>0</v>
      </c>
    </row>
    <row r="241" spans="1:8" x14ac:dyDescent="0.2">
      <c r="A241" s="2" t="s">
        <v>59</v>
      </c>
      <c r="B241" s="4">
        <v>66</v>
      </c>
      <c r="C241" s="5">
        <v>3.88</v>
      </c>
      <c r="D241" s="4">
        <v>27</v>
      </c>
      <c r="E241" s="5">
        <v>3.02</v>
      </c>
      <c r="F241" s="4">
        <v>38</v>
      </c>
      <c r="G241" s="5">
        <v>4.83</v>
      </c>
      <c r="H241" s="4">
        <v>0</v>
      </c>
    </row>
    <row r="242" spans="1:8" x14ac:dyDescent="0.2">
      <c r="A242" s="1" t="s">
        <v>15</v>
      </c>
      <c r="B242" s="4">
        <v>1384</v>
      </c>
      <c r="C242" s="5">
        <v>100.02</v>
      </c>
      <c r="D242" s="4">
        <v>720</v>
      </c>
      <c r="E242" s="5">
        <v>100.01</v>
      </c>
      <c r="F242" s="4">
        <v>662</v>
      </c>
      <c r="G242" s="5">
        <v>100</v>
      </c>
      <c r="H242" s="4">
        <v>0</v>
      </c>
    </row>
    <row r="243" spans="1:8" x14ac:dyDescent="0.2">
      <c r="A243" s="2" t="s">
        <v>45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46</v>
      </c>
      <c r="B244" s="4">
        <v>201</v>
      </c>
      <c r="C244" s="5">
        <v>14.52</v>
      </c>
      <c r="D244" s="4">
        <v>63</v>
      </c>
      <c r="E244" s="5">
        <v>8.75</v>
      </c>
      <c r="F244" s="4">
        <v>138</v>
      </c>
      <c r="G244" s="5">
        <v>20.85</v>
      </c>
      <c r="H244" s="4">
        <v>0</v>
      </c>
    </row>
    <row r="245" spans="1:8" x14ac:dyDescent="0.2">
      <c r="A245" s="2" t="s">
        <v>47</v>
      </c>
      <c r="B245" s="4">
        <v>66</v>
      </c>
      <c r="C245" s="5">
        <v>4.7699999999999996</v>
      </c>
      <c r="D245" s="4">
        <v>27</v>
      </c>
      <c r="E245" s="5">
        <v>3.75</v>
      </c>
      <c r="F245" s="4">
        <v>39</v>
      </c>
      <c r="G245" s="5">
        <v>5.89</v>
      </c>
      <c r="H245" s="4">
        <v>0</v>
      </c>
    </row>
    <row r="246" spans="1:8" x14ac:dyDescent="0.2">
      <c r="A246" s="2" t="s">
        <v>48</v>
      </c>
      <c r="B246" s="4">
        <v>3</v>
      </c>
      <c r="C246" s="5">
        <v>0.22</v>
      </c>
      <c r="D246" s="4">
        <v>1</v>
      </c>
      <c r="E246" s="5">
        <v>0.14000000000000001</v>
      </c>
      <c r="F246" s="4">
        <v>2</v>
      </c>
      <c r="G246" s="5">
        <v>0.3</v>
      </c>
      <c r="H246" s="4">
        <v>0</v>
      </c>
    </row>
    <row r="247" spans="1:8" x14ac:dyDescent="0.2">
      <c r="A247" s="2" t="s">
        <v>49</v>
      </c>
      <c r="B247" s="4">
        <v>16</v>
      </c>
      <c r="C247" s="5">
        <v>1.1599999999999999</v>
      </c>
      <c r="D247" s="4">
        <v>2</v>
      </c>
      <c r="E247" s="5">
        <v>0.28000000000000003</v>
      </c>
      <c r="F247" s="4">
        <v>14</v>
      </c>
      <c r="G247" s="5">
        <v>2.11</v>
      </c>
      <c r="H247" s="4">
        <v>0</v>
      </c>
    </row>
    <row r="248" spans="1:8" x14ac:dyDescent="0.2">
      <c r="A248" s="2" t="s">
        <v>50</v>
      </c>
      <c r="B248" s="4">
        <v>7</v>
      </c>
      <c r="C248" s="5">
        <v>0.51</v>
      </c>
      <c r="D248" s="4">
        <v>4</v>
      </c>
      <c r="E248" s="5">
        <v>0.56000000000000005</v>
      </c>
      <c r="F248" s="4">
        <v>3</v>
      </c>
      <c r="G248" s="5">
        <v>0.45</v>
      </c>
      <c r="H248" s="4">
        <v>0</v>
      </c>
    </row>
    <row r="249" spans="1:8" x14ac:dyDescent="0.2">
      <c r="A249" s="2" t="s">
        <v>51</v>
      </c>
      <c r="B249" s="4">
        <v>316</v>
      </c>
      <c r="C249" s="5">
        <v>22.83</v>
      </c>
      <c r="D249" s="4">
        <v>144</v>
      </c>
      <c r="E249" s="5">
        <v>20</v>
      </c>
      <c r="F249" s="4">
        <v>172</v>
      </c>
      <c r="G249" s="5">
        <v>25.98</v>
      </c>
      <c r="H249" s="4">
        <v>0</v>
      </c>
    </row>
    <row r="250" spans="1:8" x14ac:dyDescent="0.2">
      <c r="A250" s="2" t="s">
        <v>52</v>
      </c>
      <c r="B250" s="4">
        <v>10</v>
      </c>
      <c r="C250" s="5">
        <v>0.72</v>
      </c>
      <c r="D250" s="4">
        <v>3</v>
      </c>
      <c r="E250" s="5">
        <v>0.42</v>
      </c>
      <c r="F250" s="4">
        <v>7</v>
      </c>
      <c r="G250" s="5">
        <v>1.06</v>
      </c>
      <c r="H250" s="4">
        <v>0</v>
      </c>
    </row>
    <row r="251" spans="1:8" x14ac:dyDescent="0.2">
      <c r="A251" s="2" t="s">
        <v>53</v>
      </c>
      <c r="B251" s="4">
        <v>145</v>
      </c>
      <c r="C251" s="5">
        <v>10.48</v>
      </c>
      <c r="D251" s="4">
        <v>44</v>
      </c>
      <c r="E251" s="5">
        <v>6.11</v>
      </c>
      <c r="F251" s="4">
        <v>100</v>
      </c>
      <c r="G251" s="5">
        <v>15.11</v>
      </c>
      <c r="H251" s="4">
        <v>0</v>
      </c>
    </row>
    <row r="252" spans="1:8" x14ac:dyDescent="0.2">
      <c r="A252" s="2" t="s">
        <v>54</v>
      </c>
      <c r="B252" s="4">
        <v>87</v>
      </c>
      <c r="C252" s="5">
        <v>6.29</v>
      </c>
      <c r="D252" s="4">
        <v>44</v>
      </c>
      <c r="E252" s="5">
        <v>6.11</v>
      </c>
      <c r="F252" s="4">
        <v>43</v>
      </c>
      <c r="G252" s="5">
        <v>6.5</v>
      </c>
      <c r="H252" s="4">
        <v>0</v>
      </c>
    </row>
    <row r="253" spans="1:8" x14ac:dyDescent="0.2">
      <c r="A253" s="2" t="s">
        <v>55</v>
      </c>
      <c r="B253" s="4">
        <v>137</v>
      </c>
      <c r="C253" s="5">
        <v>9.9</v>
      </c>
      <c r="D253" s="4">
        <v>100</v>
      </c>
      <c r="E253" s="5">
        <v>13.89</v>
      </c>
      <c r="F253" s="4">
        <v>37</v>
      </c>
      <c r="G253" s="5">
        <v>5.59</v>
      </c>
      <c r="H253" s="4">
        <v>0</v>
      </c>
    </row>
    <row r="254" spans="1:8" x14ac:dyDescent="0.2">
      <c r="A254" s="2" t="s">
        <v>56</v>
      </c>
      <c r="B254" s="4">
        <v>225</v>
      </c>
      <c r="C254" s="5">
        <v>16.260000000000002</v>
      </c>
      <c r="D254" s="4">
        <v>175</v>
      </c>
      <c r="E254" s="5">
        <v>24.31</v>
      </c>
      <c r="F254" s="4">
        <v>49</v>
      </c>
      <c r="G254" s="5">
        <v>7.4</v>
      </c>
      <c r="H254" s="4">
        <v>0</v>
      </c>
    </row>
    <row r="255" spans="1:8" x14ac:dyDescent="0.2">
      <c r="A255" s="2" t="s">
        <v>57</v>
      </c>
      <c r="B255" s="4">
        <v>57</v>
      </c>
      <c r="C255" s="5">
        <v>4.12</v>
      </c>
      <c r="D255" s="4">
        <v>45</v>
      </c>
      <c r="E255" s="5">
        <v>6.25</v>
      </c>
      <c r="F255" s="4">
        <v>12</v>
      </c>
      <c r="G255" s="5">
        <v>1.81</v>
      </c>
      <c r="H255" s="4">
        <v>0</v>
      </c>
    </row>
    <row r="256" spans="1:8" x14ac:dyDescent="0.2">
      <c r="A256" s="2" t="s">
        <v>58</v>
      </c>
      <c r="B256" s="4">
        <v>78</v>
      </c>
      <c r="C256" s="5">
        <v>5.64</v>
      </c>
      <c r="D256" s="4">
        <v>54</v>
      </c>
      <c r="E256" s="5">
        <v>7.5</v>
      </c>
      <c r="F256" s="4">
        <v>24</v>
      </c>
      <c r="G256" s="5">
        <v>3.63</v>
      </c>
      <c r="H256" s="4">
        <v>0</v>
      </c>
    </row>
    <row r="257" spans="1:8" x14ac:dyDescent="0.2">
      <c r="A257" s="2" t="s">
        <v>59</v>
      </c>
      <c r="B257" s="4">
        <v>36</v>
      </c>
      <c r="C257" s="5">
        <v>2.6</v>
      </c>
      <c r="D257" s="4">
        <v>14</v>
      </c>
      <c r="E257" s="5">
        <v>1.94</v>
      </c>
      <c r="F257" s="4">
        <v>22</v>
      </c>
      <c r="G257" s="5">
        <v>3.32</v>
      </c>
      <c r="H257" s="4">
        <v>0</v>
      </c>
    </row>
    <row r="258" spans="1:8" x14ac:dyDescent="0.2">
      <c r="A258" s="1" t="s">
        <v>16</v>
      </c>
      <c r="B258" s="4">
        <v>4153</v>
      </c>
      <c r="C258" s="5">
        <v>100</v>
      </c>
      <c r="D258" s="4">
        <v>1667</v>
      </c>
      <c r="E258" s="5">
        <v>100.02000000000001</v>
      </c>
      <c r="F258" s="4">
        <v>2449</v>
      </c>
      <c r="G258" s="5">
        <v>99.990000000000009</v>
      </c>
      <c r="H258" s="4">
        <v>0</v>
      </c>
    </row>
    <row r="259" spans="1:8" x14ac:dyDescent="0.2">
      <c r="A259" s="2" t="s">
        <v>45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46</v>
      </c>
      <c r="B260" s="4">
        <v>719</v>
      </c>
      <c r="C260" s="5">
        <v>17.309999999999999</v>
      </c>
      <c r="D260" s="4">
        <v>217</v>
      </c>
      <c r="E260" s="5">
        <v>13.02</v>
      </c>
      <c r="F260" s="4">
        <v>502</v>
      </c>
      <c r="G260" s="5">
        <v>20.5</v>
      </c>
      <c r="H260" s="4">
        <v>0</v>
      </c>
    </row>
    <row r="261" spans="1:8" x14ac:dyDescent="0.2">
      <c r="A261" s="2" t="s">
        <v>47</v>
      </c>
      <c r="B261" s="4">
        <v>247</v>
      </c>
      <c r="C261" s="5">
        <v>5.95</v>
      </c>
      <c r="D261" s="4">
        <v>64</v>
      </c>
      <c r="E261" s="5">
        <v>3.84</v>
      </c>
      <c r="F261" s="4">
        <v>183</v>
      </c>
      <c r="G261" s="5">
        <v>7.47</v>
      </c>
      <c r="H261" s="4">
        <v>0</v>
      </c>
    </row>
    <row r="262" spans="1:8" x14ac:dyDescent="0.2">
      <c r="A262" s="2" t="s">
        <v>48</v>
      </c>
      <c r="B262" s="4">
        <v>12</v>
      </c>
      <c r="C262" s="5">
        <v>0.28999999999999998</v>
      </c>
      <c r="D262" s="4">
        <v>0</v>
      </c>
      <c r="E262" s="5">
        <v>0</v>
      </c>
      <c r="F262" s="4">
        <v>12</v>
      </c>
      <c r="G262" s="5">
        <v>0.49</v>
      </c>
      <c r="H262" s="4">
        <v>0</v>
      </c>
    </row>
    <row r="263" spans="1:8" x14ac:dyDescent="0.2">
      <c r="A263" s="2" t="s">
        <v>49</v>
      </c>
      <c r="B263" s="4">
        <v>81</v>
      </c>
      <c r="C263" s="5">
        <v>1.95</v>
      </c>
      <c r="D263" s="4">
        <v>5</v>
      </c>
      <c r="E263" s="5">
        <v>0.3</v>
      </c>
      <c r="F263" s="4">
        <v>76</v>
      </c>
      <c r="G263" s="5">
        <v>3.1</v>
      </c>
      <c r="H263" s="4">
        <v>0</v>
      </c>
    </row>
    <row r="264" spans="1:8" x14ac:dyDescent="0.2">
      <c r="A264" s="2" t="s">
        <v>50</v>
      </c>
      <c r="B264" s="4">
        <v>42</v>
      </c>
      <c r="C264" s="5">
        <v>1.01</v>
      </c>
      <c r="D264" s="4">
        <v>7</v>
      </c>
      <c r="E264" s="5">
        <v>0.42</v>
      </c>
      <c r="F264" s="4">
        <v>35</v>
      </c>
      <c r="G264" s="5">
        <v>1.43</v>
      </c>
      <c r="H264" s="4">
        <v>0</v>
      </c>
    </row>
    <row r="265" spans="1:8" x14ac:dyDescent="0.2">
      <c r="A265" s="2" t="s">
        <v>51</v>
      </c>
      <c r="B265" s="4">
        <v>950</v>
      </c>
      <c r="C265" s="5">
        <v>22.88</v>
      </c>
      <c r="D265" s="4">
        <v>335</v>
      </c>
      <c r="E265" s="5">
        <v>20.100000000000001</v>
      </c>
      <c r="F265" s="4">
        <v>615</v>
      </c>
      <c r="G265" s="5">
        <v>25.11</v>
      </c>
      <c r="H265" s="4">
        <v>0</v>
      </c>
    </row>
    <row r="266" spans="1:8" x14ac:dyDescent="0.2">
      <c r="A266" s="2" t="s">
        <v>52</v>
      </c>
      <c r="B266" s="4">
        <v>39</v>
      </c>
      <c r="C266" s="5">
        <v>0.94</v>
      </c>
      <c r="D266" s="4">
        <v>4</v>
      </c>
      <c r="E266" s="5">
        <v>0.24</v>
      </c>
      <c r="F266" s="4">
        <v>35</v>
      </c>
      <c r="G266" s="5">
        <v>1.43</v>
      </c>
      <c r="H266" s="4">
        <v>0</v>
      </c>
    </row>
    <row r="267" spans="1:8" x14ac:dyDescent="0.2">
      <c r="A267" s="2" t="s">
        <v>53</v>
      </c>
      <c r="B267" s="4">
        <v>360</v>
      </c>
      <c r="C267" s="5">
        <v>8.67</v>
      </c>
      <c r="D267" s="4">
        <v>51</v>
      </c>
      <c r="E267" s="5">
        <v>3.06</v>
      </c>
      <c r="F267" s="4">
        <v>309</v>
      </c>
      <c r="G267" s="5">
        <v>12.62</v>
      </c>
      <c r="H267" s="4">
        <v>0</v>
      </c>
    </row>
    <row r="268" spans="1:8" x14ac:dyDescent="0.2">
      <c r="A268" s="2" t="s">
        <v>54</v>
      </c>
      <c r="B268" s="4">
        <v>292</v>
      </c>
      <c r="C268" s="5">
        <v>7.03</v>
      </c>
      <c r="D268" s="4">
        <v>97</v>
      </c>
      <c r="E268" s="5">
        <v>5.82</v>
      </c>
      <c r="F268" s="4">
        <v>195</v>
      </c>
      <c r="G268" s="5">
        <v>7.96</v>
      </c>
      <c r="H268" s="4">
        <v>0</v>
      </c>
    </row>
    <row r="269" spans="1:8" x14ac:dyDescent="0.2">
      <c r="A269" s="2" t="s">
        <v>55</v>
      </c>
      <c r="B269" s="4">
        <v>336</v>
      </c>
      <c r="C269" s="5">
        <v>8.09</v>
      </c>
      <c r="D269" s="4">
        <v>227</v>
      </c>
      <c r="E269" s="5">
        <v>13.62</v>
      </c>
      <c r="F269" s="4">
        <v>107</v>
      </c>
      <c r="G269" s="5">
        <v>4.37</v>
      </c>
      <c r="H269" s="4">
        <v>0</v>
      </c>
    </row>
    <row r="270" spans="1:8" x14ac:dyDescent="0.2">
      <c r="A270" s="2" t="s">
        <v>56</v>
      </c>
      <c r="B270" s="4">
        <v>513</v>
      </c>
      <c r="C270" s="5">
        <v>12.35</v>
      </c>
      <c r="D270" s="4">
        <v>377</v>
      </c>
      <c r="E270" s="5">
        <v>22.62</v>
      </c>
      <c r="F270" s="4">
        <v>136</v>
      </c>
      <c r="G270" s="5">
        <v>5.55</v>
      </c>
      <c r="H270" s="4">
        <v>0</v>
      </c>
    </row>
    <row r="271" spans="1:8" x14ac:dyDescent="0.2">
      <c r="A271" s="2" t="s">
        <v>57</v>
      </c>
      <c r="B271" s="4">
        <v>151</v>
      </c>
      <c r="C271" s="5">
        <v>3.64</v>
      </c>
      <c r="D271" s="4">
        <v>72</v>
      </c>
      <c r="E271" s="5">
        <v>4.32</v>
      </c>
      <c r="F271" s="4">
        <v>60</v>
      </c>
      <c r="G271" s="5">
        <v>2.4500000000000002</v>
      </c>
      <c r="H271" s="4">
        <v>0</v>
      </c>
    </row>
    <row r="272" spans="1:8" x14ac:dyDescent="0.2">
      <c r="A272" s="2" t="s">
        <v>58</v>
      </c>
      <c r="B272" s="4">
        <v>187</v>
      </c>
      <c r="C272" s="5">
        <v>4.5</v>
      </c>
      <c r="D272" s="4">
        <v>129</v>
      </c>
      <c r="E272" s="5">
        <v>7.74</v>
      </c>
      <c r="F272" s="4">
        <v>47</v>
      </c>
      <c r="G272" s="5">
        <v>1.92</v>
      </c>
      <c r="H272" s="4">
        <v>0</v>
      </c>
    </row>
    <row r="273" spans="1:8" x14ac:dyDescent="0.2">
      <c r="A273" s="2" t="s">
        <v>59</v>
      </c>
      <c r="B273" s="4">
        <v>224</v>
      </c>
      <c r="C273" s="5">
        <v>5.39</v>
      </c>
      <c r="D273" s="4">
        <v>82</v>
      </c>
      <c r="E273" s="5">
        <v>4.92</v>
      </c>
      <c r="F273" s="4">
        <v>137</v>
      </c>
      <c r="G273" s="5">
        <v>5.59</v>
      </c>
      <c r="H273" s="4">
        <v>0</v>
      </c>
    </row>
    <row r="274" spans="1:8" x14ac:dyDescent="0.2">
      <c r="A274" s="1" t="s">
        <v>17</v>
      </c>
      <c r="B274" s="4">
        <v>2888</v>
      </c>
      <c r="C274" s="5">
        <v>100.00000000000001</v>
      </c>
      <c r="D274" s="4">
        <v>1609</v>
      </c>
      <c r="E274" s="5">
        <v>99.999999999999986</v>
      </c>
      <c r="F274" s="4">
        <v>1274</v>
      </c>
      <c r="G274" s="5">
        <v>99.99</v>
      </c>
      <c r="H274" s="4">
        <v>4</v>
      </c>
    </row>
    <row r="275" spans="1:8" x14ac:dyDescent="0.2">
      <c r="A275" s="2" t="s">
        <v>45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46</v>
      </c>
      <c r="B276" s="4">
        <v>423</v>
      </c>
      <c r="C276" s="5">
        <v>14.65</v>
      </c>
      <c r="D276" s="4">
        <v>129</v>
      </c>
      <c r="E276" s="5">
        <v>8.02</v>
      </c>
      <c r="F276" s="4">
        <v>294</v>
      </c>
      <c r="G276" s="5">
        <v>23.08</v>
      </c>
      <c r="H276" s="4">
        <v>0</v>
      </c>
    </row>
    <row r="277" spans="1:8" x14ac:dyDescent="0.2">
      <c r="A277" s="2" t="s">
        <v>47</v>
      </c>
      <c r="B277" s="4">
        <v>211</v>
      </c>
      <c r="C277" s="5">
        <v>7.31</v>
      </c>
      <c r="D277" s="4">
        <v>77</v>
      </c>
      <c r="E277" s="5">
        <v>4.79</v>
      </c>
      <c r="F277" s="4">
        <v>134</v>
      </c>
      <c r="G277" s="5">
        <v>10.52</v>
      </c>
      <c r="H277" s="4">
        <v>0</v>
      </c>
    </row>
    <row r="278" spans="1:8" x14ac:dyDescent="0.2">
      <c r="A278" s="2" t="s">
        <v>48</v>
      </c>
      <c r="B278" s="4">
        <v>6</v>
      </c>
      <c r="C278" s="5">
        <v>0.21</v>
      </c>
      <c r="D278" s="4">
        <v>0</v>
      </c>
      <c r="E278" s="5">
        <v>0</v>
      </c>
      <c r="F278" s="4">
        <v>6</v>
      </c>
      <c r="G278" s="5">
        <v>0.47</v>
      </c>
      <c r="H278" s="4">
        <v>0</v>
      </c>
    </row>
    <row r="279" spans="1:8" x14ac:dyDescent="0.2">
      <c r="A279" s="2" t="s">
        <v>49</v>
      </c>
      <c r="B279" s="4">
        <v>33</v>
      </c>
      <c r="C279" s="5">
        <v>1.1399999999999999</v>
      </c>
      <c r="D279" s="4">
        <v>4</v>
      </c>
      <c r="E279" s="5">
        <v>0.25</v>
      </c>
      <c r="F279" s="4">
        <v>29</v>
      </c>
      <c r="G279" s="5">
        <v>2.2799999999999998</v>
      </c>
      <c r="H279" s="4">
        <v>0</v>
      </c>
    </row>
    <row r="280" spans="1:8" x14ac:dyDescent="0.2">
      <c r="A280" s="2" t="s">
        <v>50</v>
      </c>
      <c r="B280" s="4">
        <v>32</v>
      </c>
      <c r="C280" s="5">
        <v>1.1100000000000001</v>
      </c>
      <c r="D280" s="4">
        <v>1</v>
      </c>
      <c r="E280" s="5">
        <v>0.06</v>
      </c>
      <c r="F280" s="4">
        <v>30</v>
      </c>
      <c r="G280" s="5">
        <v>2.35</v>
      </c>
      <c r="H280" s="4">
        <v>1</v>
      </c>
    </row>
    <row r="281" spans="1:8" x14ac:dyDescent="0.2">
      <c r="A281" s="2" t="s">
        <v>51</v>
      </c>
      <c r="B281" s="4">
        <v>662</v>
      </c>
      <c r="C281" s="5">
        <v>22.92</v>
      </c>
      <c r="D281" s="4">
        <v>331</v>
      </c>
      <c r="E281" s="5">
        <v>20.57</v>
      </c>
      <c r="F281" s="4">
        <v>331</v>
      </c>
      <c r="G281" s="5">
        <v>25.98</v>
      </c>
      <c r="H281" s="4">
        <v>0</v>
      </c>
    </row>
    <row r="282" spans="1:8" x14ac:dyDescent="0.2">
      <c r="A282" s="2" t="s">
        <v>52</v>
      </c>
      <c r="B282" s="4">
        <v>15</v>
      </c>
      <c r="C282" s="5">
        <v>0.52</v>
      </c>
      <c r="D282" s="4">
        <v>2</v>
      </c>
      <c r="E282" s="5">
        <v>0.12</v>
      </c>
      <c r="F282" s="4">
        <v>13</v>
      </c>
      <c r="G282" s="5">
        <v>1.02</v>
      </c>
      <c r="H282" s="4">
        <v>0</v>
      </c>
    </row>
    <row r="283" spans="1:8" x14ac:dyDescent="0.2">
      <c r="A283" s="2" t="s">
        <v>53</v>
      </c>
      <c r="B283" s="4">
        <v>202</v>
      </c>
      <c r="C283" s="5">
        <v>6.99</v>
      </c>
      <c r="D283" s="4">
        <v>77</v>
      </c>
      <c r="E283" s="5">
        <v>4.79</v>
      </c>
      <c r="F283" s="4">
        <v>124</v>
      </c>
      <c r="G283" s="5">
        <v>9.73</v>
      </c>
      <c r="H283" s="4">
        <v>1</v>
      </c>
    </row>
    <row r="284" spans="1:8" x14ac:dyDescent="0.2">
      <c r="A284" s="2" t="s">
        <v>54</v>
      </c>
      <c r="B284" s="4">
        <v>110</v>
      </c>
      <c r="C284" s="5">
        <v>3.81</v>
      </c>
      <c r="D284" s="4">
        <v>59</v>
      </c>
      <c r="E284" s="5">
        <v>3.67</v>
      </c>
      <c r="F284" s="4">
        <v>51</v>
      </c>
      <c r="G284" s="5">
        <v>4</v>
      </c>
      <c r="H284" s="4">
        <v>0</v>
      </c>
    </row>
    <row r="285" spans="1:8" x14ac:dyDescent="0.2">
      <c r="A285" s="2" t="s">
        <v>55</v>
      </c>
      <c r="B285" s="4">
        <v>393</v>
      </c>
      <c r="C285" s="5">
        <v>13.61</v>
      </c>
      <c r="D285" s="4">
        <v>323</v>
      </c>
      <c r="E285" s="5">
        <v>20.07</v>
      </c>
      <c r="F285" s="4">
        <v>70</v>
      </c>
      <c r="G285" s="5">
        <v>5.49</v>
      </c>
      <c r="H285" s="4">
        <v>0</v>
      </c>
    </row>
    <row r="286" spans="1:8" x14ac:dyDescent="0.2">
      <c r="A286" s="2" t="s">
        <v>56</v>
      </c>
      <c r="B286" s="4">
        <v>445</v>
      </c>
      <c r="C286" s="5">
        <v>15.41</v>
      </c>
      <c r="D286" s="4">
        <v>364</v>
      </c>
      <c r="E286" s="5">
        <v>22.62</v>
      </c>
      <c r="F286" s="4">
        <v>81</v>
      </c>
      <c r="G286" s="5">
        <v>6.36</v>
      </c>
      <c r="H286" s="4">
        <v>0</v>
      </c>
    </row>
    <row r="287" spans="1:8" x14ac:dyDescent="0.2">
      <c r="A287" s="2" t="s">
        <v>57</v>
      </c>
      <c r="B287" s="4">
        <v>135</v>
      </c>
      <c r="C287" s="5">
        <v>4.67</v>
      </c>
      <c r="D287" s="4">
        <v>108</v>
      </c>
      <c r="E287" s="5">
        <v>6.71</v>
      </c>
      <c r="F287" s="4">
        <v>27</v>
      </c>
      <c r="G287" s="5">
        <v>2.12</v>
      </c>
      <c r="H287" s="4">
        <v>0</v>
      </c>
    </row>
    <row r="288" spans="1:8" x14ac:dyDescent="0.2">
      <c r="A288" s="2" t="s">
        <v>58</v>
      </c>
      <c r="B288" s="4">
        <v>126</v>
      </c>
      <c r="C288" s="5">
        <v>4.3600000000000003</v>
      </c>
      <c r="D288" s="4">
        <v>91</v>
      </c>
      <c r="E288" s="5">
        <v>5.66</v>
      </c>
      <c r="F288" s="4">
        <v>33</v>
      </c>
      <c r="G288" s="5">
        <v>2.59</v>
      </c>
      <c r="H288" s="4">
        <v>1</v>
      </c>
    </row>
    <row r="289" spans="1:8" x14ac:dyDescent="0.2">
      <c r="A289" s="2" t="s">
        <v>59</v>
      </c>
      <c r="B289" s="4">
        <v>95</v>
      </c>
      <c r="C289" s="5">
        <v>3.29</v>
      </c>
      <c r="D289" s="4">
        <v>43</v>
      </c>
      <c r="E289" s="5">
        <v>2.67</v>
      </c>
      <c r="F289" s="4">
        <v>51</v>
      </c>
      <c r="G289" s="5">
        <v>4</v>
      </c>
      <c r="H289" s="4">
        <v>1</v>
      </c>
    </row>
    <row r="290" spans="1:8" x14ac:dyDescent="0.2">
      <c r="A290" s="1" t="s">
        <v>18</v>
      </c>
      <c r="B290" s="4">
        <v>1268</v>
      </c>
      <c r="C290" s="5">
        <v>99.999999999999986</v>
      </c>
      <c r="D290" s="4">
        <v>632</v>
      </c>
      <c r="E290" s="5">
        <v>100.00999999999999</v>
      </c>
      <c r="F290" s="4">
        <v>629</v>
      </c>
      <c r="G290" s="5">
        <v>100.02000000000001</v>
      </c>
      <c r="H290" s="4">
        <v>1</v>
      </c>
    </row>
    <row r="291" spans="1:8" x14ac:dyDescent="0.2">
      <c r="A291" s="2" t="s">
        <v>45</v>
      </c>
      <c r="B291" s="4">
        <v>3</v>
      </c>
      <c r="C291" s="5">
        <v>0.24</v>
      </c>
      <c r="D291" s="4">
        <v>0</v>
      </c>
      <c r="E291" s="5">
        <v>0</v>
      </c>
      <c r="F291" s="4">
        <v>3</v>
      </c>
      <c r="G291" s="5">
        <v>0.48</v>
      </c>
      <c r="H291" s="4">
        <v>0</v>
      </c>
    </row>
    <row r="292" spans="1:8" x14ac:dyDescent="0.2">
      <c r="A292" s="2" t="s">
        <v>46</v>
      </c>
      <c r="B292" s="4">
        <v>270</v>
      </c>
      <c r="C292" s="5">
        <v>21.29</v>
      </c>
      <c r="D292" s="4">
        <v>84</v>
      </c>
      <c r="E292" s="5">
        <v>13.29</v>
      </c>
      <c r="F292" s="4">
        <v>186</v>
      </c>
      <c r="G292" s="5">
        <v>29.57</v>
      </c>
      <c r="H292" s="4">
        <v>0</v>
      </c>
    </row>
    <row r="293" spans="1:8" x14ac:dyDescent="0.2">
      <c r="A293" s="2" t="s">
        <v>47</v>
      </c>
      <c r="B293" s="4">
        <v>66</v>
      </c>
      <c r="C293" s="5">
        <v>5.21</v>
      </c>
      <c r="D293" s="4">
        <v>23</v>
      </c>
      <c r="E293" s="5">
        <v>3.64</v>
      </c>
      <c r="F293" s="4">
        <v>43</v>
      </c>
      <c r="G293" s="5">
        <v>6.84</v>
      </c>
      <c r="H293" s="4">
        <v>0</v>
      </c>
    </row>
    <row r="294" spans="1:8" x14ac:dyDescent="0.2">
      <c r="A294" s="2" t="s">
        <v>48</v>
      </c>
      <c r="B294" s="4">
        <v>14</v>
      </c>
      <c r="C294" s="5">
        <v>1.1000000000000001</v>
      </c>
      <c r="D294" s="4">
        <v>0</v>
      </c>
      <c r="E294" s="5">
        <v>0</v>
      </c>
      <c r="F294" s="4">
        <v>13</v>
      </c>
      <c r="G294" s="5">
        <v>2.0699999999999998</v>
      </c>
      <c r="H294" s="4">
        <v>0</v>
      </c>
    </row>
    <row r="295" spans="1:8" x14ac:dyDescent="0.2">
      <c r="A295" s="2" t="s">
        <v>49</v>
      </c>
      <c r="B295" s="4">
        <v>10</v>
      </c>
      <c r="C295" s="5">
        <v>0.79</v>
      </c>
      <c r="D295" s="4">
        <v>0</v>
      </c>
      <c r="E295" s="5">
        <v>0</v>
      </c>
      <c r="F295" s="4">
        <v>10</v>
      </c>
      <c r="G295" s="5">
        <v>1.59</v>
      </c>
      <c r="H295" s="4">
        <v>0</v>
      </c>
    </row>
    <row r="296" spans="1:8" x14ac:dyDescent="0.2">
      <c r="A296" s="2" t="s">
        <v>50</v>
      </c>
      <c r="B296" s="4">
        <v>12</v>
      </c>
      <c r="C296" s="5">
        <v>0.95</v>
      </c>
      <c r="D296" s="4">
        <v>1</v>
      </c>
      <c r="E296" s="5">
        <v>0.16</v>
      </c>
      <c r="F296" s="4">
        <v>10</v>
      </c>
      <c r="G296" s="5">
        <v>1.59</v>
      </c>
      <c r="H296" s="4">
        <v>1</v>
      </c>
    </row>
    <row r="297" spans="1:8" x14ac:dyDescent="0.2">
      <c r="A297" s="2" t="s">
        <v>51</v>
      </c>
      <c r="B297" s="4">
        <v>269</v>
      </c>
      <c r="C297" s="5">
        <v>21.21</v>
      </c>
      <c r="D297" s="4">
        <v>119</v>
      </c>
      <c r="E297" s="5">
        <v>18.829999999999998</v>
      </c>
      <c r="F297" s="4">
        <v>150</v>
      </c>
      <c r="G297" s="5">
        <v>23.85</v>
      </c>
      <c r="H297" s="4">
        <v>0</v>
      </c>
    </row>
    <row r="298" spans="1:8" x14ac:dyDescent="0.2">
      <c r="A298" s="2" t="s">
        <v>52</v>
      </c>
      <c r="B298" s="4">
        <v>5</v>
      </c>
      <c r="C298" s="5">
        <v>0.39</v>
      </c>
      <c r="D298" s="4">
        <v>0</v>
      </c>
      <c r="E298" s="5">
        <v>0</v>
      </c>
      <c r="F298" s="4">
        <v>5</v>
      </c>
      <c r="G298" s="5">
        <v>0.79</v>
      </c>
      <c r="H298" s="4">
        <v>0</v>
      </c>
    </row>
    <row r="299" spans="1:8" x14ac:dyDescent="0.2">
      <c r="A299" s="2" t="s">
        <v>53</v>
      </c>
      <c r="B299" s="4">
        <v>103</v>
      </c>
      <c r="C299" s="5">
        <v>8.1199999999999992</v>
      </c>
      <c r="D299" s="4">
        <v>42</v>
      </c>
      <c r="E299" s="5">
        <v>6.65</v>
      </c>
      <c r="F299" s="4">
        <v>60</v>
      </c>
      <c r="G299" s="5">
        <v>9.5399999999999991</v>
      </c>
      <c r="H299" s="4">
        <v>0</v>
      </c>
    </row>
    <row r="300" spans="1:8" x14ac:dyDescent="0.2">
      <c r="A300" s="2" t="s">
        <v>54</v>
      </c>
      <c r="B300" s="4">
        <v>54</v>
      </c>
      <c r="C300" s="5">
        <v>4.26</v>
      </c>
      <c r="D300" s="4">
        <v>28</v>
      </c>
      <c r="E300" s="5">
        <v>4.43</v>
      </c>
      <c r="F300" s="4">
        <v>24</v>
      </c>
      <c r="G300" s="5">
        <v>3.82</v>
      </c>
      <c r="H300" s="4">
        <v>0</v>
      </c>
    </row>
    <row r="301" spans="1:8" x14ac:dyDescent="0.2">
      <c r="A301" s="2" t="s">
        <v>55</v>
      </c>
      <c r="B301" s="4">
        <v>162</v>
      </c>
      <c r="C301" s="5">
        <v>12.78</v>
      </c>
      <c r="D301" s="4">
        <v>126</v>
      </c>
      <c r="E301" s="5">
        <v>19.940000000000001</v>
      </c>
      <c r="F301" s="4">
        <v>36</v>
      </c>
      <c r="G301" s="5">
        <v>5.72</v>
      </c>
      <c r="H301" s="4">
        <v>0</v>
      </c>
    </row>
    <row r="302" spans="1:8" x14ac:dyDescent="0.2">
      <c r="A302" s="2" t="s">
        <v>56</v>
      </c>
      <c r="B302" s="4">
        <v>170</v>
      </c>
      <c r="C302" s="5">
        <v>13.41</v>
      </c>
      <c r="D302" s="4">
        <v>136</v>
      </c>
      <c r="E302" s="5">
        <v>21.52</v>
      </c>
      <c r="F302" s="4">
        <v>33</v>
      </c>
      <c r="G302" s="5">
        <v>5.25</v>
      </c>
      <c r="H302" s="4">
        <v>0</v>
      </c>
    </row>
    <row r="303" spans="1:8" x14ac:dyDescent="0.2">
      <c r="A303" s="2" t="s">
        <v>57</v>
      </c>
      <c r="B303" s="4">
        <v>23</v>
      </c>
      <c r="C303" s="5">
        <v>1.81</v>
      </c>
      <c r="D303" s="4">
        <v>13</v>
      </c>
      <c r="E303" s="5">
        <v>2.06</v>
      </c>
      <c r="F303" s="4">
        <v>10</v>
      </c>
      <c r="G303" s="5">
        <v>1.59</v>
      </c>
      <c r="H303" s="4">
        <v>0</v>
      </c>
    </row>
    <row r="304" spans="1:8" x14ac:dyDescent="0.2">
      <c r="A304" s="2" t="s">
        <v>58</v>
      </c>
      <c r="B304" s="4">
        <v>55</v>
      </c>
      <c r="C304" s="5">
        <v>4.34</v>
      </c>
      <c r="D304" s="4">
        <v>32</v>
      </c>
      <c r="E304" s="5">
        <v>5.0599999999999996</v>
      </c>
      <c r="F304" s="4">
        <v>23</v>
      </c>
      <c r="G304" s="5">
        <v>3.66</v>
      </c>
      <c r="H304" s="4">
        <v>0</v>
      </c>
    </row>
    <row r="305" spans="1:8" x14ac:dyDescent="0.2">
      <c r="A305" s="2" t="s">
        <v>59</v>
      </c>
      <c r="B305" s="4">
        <v>52</v>
      </c>
      <c r="C305" s="5">
        <v>4.0999999999999996</v>
      </c>
      <c r="D305" s="4">
        <v>28</v>
      </c>
      <c r="E305" s="5">
        <v>4.43</v>
      </c>
      <c r="F305" s="4">
        <v>23</v>
      </c>
      <c r="G305" s="5">
        <v>3.66</v>
      </c>
      <c r="H305" s="4">
        <v>0</v>
      </c>
    </row>
    <row r="306" spans="1:8" x14ac:dyDescent="0.2">
      <c r="A306" s="1" t="s">
        <v>19</v>
      </c>
      <c r="B306" s="4">
        <v>736</v>
      </c>
      <c r="C306" s="5">
        <v>99.990000000000009</v>
      </c>
      <c r="D306" s="4">
        <v>506</v>
      </c>
      <c r="E306" s="5">
        <v>100.02000000000001</v>
      </c>
      <c r="F306" s="4">
        <v>227</v>
      </c>
      <c r="G306" s="5">
        <v>99.99</v>
      </c>
      <c r="H306" s="4">
        <v>1</v>
      </c>
    </row>
    <row r="307" spans="1:8" x14ac:dyDescent="0.2">
      <c r="A307" s="2" t="s">
        <v>45</v>
      </c>
      <c r="B307" s="4">
        <v>2</v>
      </c>
      <c r="C307" s="5">
        <v>0.27</v>
      </c>
      <c r="D307" s="4">
        <v>2</v>
      </c>
      <c r="E307" s="5">
        <v>0.4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46</v>
      </c>
      <c r="B308" s="4">
        <v>136</v>
      </c>
      <c r="C308" s="5">
        <v>18.48</v>
      </c>
      <c r="D308" s="4">
        <v>69</v>
      </c>
      <c r="E308" s="5">
        <v>13.64</v>
      </c>
      <c r="F308" s="4">
        <v>67</v>
      </c>
      <c r="G308" s="5">
        <v>29.52</v>
      </c>
      <c r="H308" s="4">
        <v>0</v>
      </c>
    </row>
    <row r="309" spans="1:8" x14ac:dyDescent="0.2">
      <c r="A309" s="2" t="s">
        <v>47</v>
      </c>
      <c r="B309" s="4">
        <v>50</v>
      </c>
      <c r="C309" s="5">
        <v>6.79</v>
      </c>
      <c r="D309" s="4">
        <v>22</v>
      </c>
      <c r="E309" s="5">
        <v>4.3499999999999996</v>
      </c>
      <c r="F309" s="4">
        <v>28</v>
      </c>
      <c r="G309" s="5">
        <v>12.33</v>
      </c>
      <c r="H309" s="4">
        <v>0</v>
      </c>
    </row>
    <row r="310" spans="1:8" x14ac:dyDescent="0.2">
      <c r="A310" s="2" t="s">
        <v>48</v>
      </c>
      <c r="B310" s="4">
        <v>3</v>
      </c>
      <c r="C310" s="5">
        <v>0.41</v>
      </c>
      <c r="D310" s="4">
        <v>0</v>
      </c>
      <c r="E310" s="5">
        <v>0</v>
      </c>
      <c r="F310" s="4">
        <v>3</v>
      </c>
      <c r="G310" s="5">
        <v>1.32</v>
      </c>
      <c r="H310" s="4">
        <v>0</v>
      </c>
    </row>
    <row r="311" spans="1:8" x14ac:dyDescent="0.2">
      <c r="A311" s="2" t="s">
        <v>49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50</v>
      </c>
      <c r="B312" s="4">
        <v>6</v>
      </c>
      <c r="C312" s="5">
        <v>0.82</v>
      </c>
      <c r="D312" s="4">
        <v>0</v>
      </c>
      <c r="E312" s="5">
        <v>0</v>
      </c>
      <c r="F312" s="4">
        <v>5</v>
      </c>
      <c r="G312" s="5">
        <v>2.2000000000000002</v>
      </c>
      <c r="H312" s="4">
        <v>1</v>
      </c>
    </row>
    <row r="313" spans="1:8" x14ac:dyDescent="0.2">
      <c r="A313" s="2" t="s">
        <v>51</v>
      </c>
      <c r="B313" s="4">
        <v>178</v>
      </c>
      <c r="C313" s="5">
        <v>24.18</v>
      </c>
      <c r="D313" s="4">
        <v>123</v>
      </c>
      <c r="E313" s="5">
        <v>24.31</v>
      </c>
      <c r="F313" s="4">
        <v>55</v>
      </c>
      <c r="G313" s="5">
        <v>24.23</v>
      </c>
      <c r="H313" s="4">
        <v>0</v>
      </c>
    </row>
    <row r="314" spans="1:8" x14ac:dyDescent="0.2">
      <c r="A314" s="2" t="s">
        <v>52</v>
      </c>
      <c r="B314" s="4">
        <v>8</v>
      </c>
      <c r="C314" s="5">
        <v>1.0900000000000001</v>
      </c>
      <c r="D314" s="4">
        <v>1</v>
      </c>
      <c r="E314" s="5">
        <v>0.2</v>
      </c>
      <c r="F314" s="4">
        <v>7</v>
      </c>
      <c r="G314" s="5">
        <v>3.08</v>
      </c>
      <c r="H314" s="4">
        <v>0</v>
      </c>
    </row>
    <row r="315" spans="1:8" x14ac:dyDescent="0.2">
      <c r="A315" s="2" t="s">
        <v>53</v>
      </c>
      <c r="B315" s="4">
        <v>45</v>
      </c>
      <c r="C315" s="5">
        <v>6.11</v>
      </c>
      <c r="D315" s="4">
        <v>28</v>
      </c>
      <c r="E315" s="5">
        <v>5.53</v>
      </c>
      <c r="F315" s="4">
        <v>17</v>
      </c>
      <c r="G315" s="5">
        <v>7.49</v>
      </c>
      <c r="H315" s="4">
        <v>0</v>
      </c>
    </row>
    <row r="316" spans="1:8" x14ac:dyDescent="0.2">
      <c r="A316" s="2" t="s">
        <v>54</v>
      </c>
      <c r="B316" s="4">
        <v>28</v>
      </c>
      <c r="C316" s="5">
        <v>3.8</v>
      </c>
      <c r="D316" s="4">
        <v>13</v>
      </c>
      <c r="E316" s="5">
        <v>2.57</v>
      </c>
      <c r="F316" s="4">
        <v>15</v>
      </c>
      <c r="G316" s="5">
        <v>6.61</v>
      </c>
      <c r="H316" s="4">
        <v>0</v>
      </c>
    </row>
    <row r="317" spans="1:8" x14ac:dyDescent="0.2">
      <c r="A317" s="2" t="s">
        <v>55</v>
      </c>
      <c r="B317" s="4">
        <v>109</v>
      </c>
      <c r="C317" s="5">
        <v>14.81</v>
      </c>
      <c r="D317" s="4">
        <v>103</v>
      </c>
      <c r="E317" s="5">
        <v>20.36</v>
      </c>
      <c r="F317" s="4">
        <v>5</v>
      </c>
      <c r="G317" s="5">
        <v>2.2000000000000002</v>
      </c>
      <c r="H317" s="4">
        <v>0</v>
      </c>
    </row>
    <row r="318" spans="1:8" x14ac:dyDescent="0.2">
      <c r="A318" s="2" t="s">
        <v>56</v>
      </c>
      <c r="B318" s="4">
        <v>94</v>
      </c>
      <c r="C318" s="5">
        <v>12.77</v>
      </c>
      <c r="D318" s="4">
        <v>84</v>
      </c>
      <c r="E318" s="5">
        <v>16.600000000000001</v>
      </c>
      <c r="F318" s="4">
        <v>10</v>
      </c>
      <c r="G318" s="5">
        <v>4.41</v>
      </c>
      <c r="H318" s="4">
        <v>0</v>
      </c>
    </row>
    <row r="319" spans="1:8" x14ac:dyDescent="0.2">
      <c r="A319" s="2" t="s">
        <v>57</v>
      </c>
      <c r="B319" s="4">
        <v>16</v>
      </c>
      <c r="C319" s="5">
        <v>2.17</v>
      </c>
      <c r="D319" s="4">
        <v>12</v>
      </c>
      <c r="E319" s="5">
        <v>2.37</v>
      </c>
      <c r="F319" s="4">
        <v>4</v>
      </c>
      <c r="G319" s="5">
        <v>1.76</v>
      </c>
      <c r="H319" s="4">
        <v>0</v>
      </c>
    </row>
    <row r="320" spans="1:8" x14ac:dyDescent="0.2">
      <c r="A320" s="2" t="s">
        <v>58</v>
      </c>
      <c r="B320" s="4">
        <v>25</v>
      </c>
      <c r="C320" s="5">
        <v>3.4</v>
      </c>
      <c r="D320" s="4">
        <v>22</v>
      </c>
      <c r="E320" s="5">
        <v>4.3499999999999996</v>
      </c>
      <c r="F320" s="4">
        <v>3</v>
      </c>
      <c r="G320" s="5">
        <v>1.32</v>
      </c>
      <c r="H320" s="4">
        <v>0</v>
      </c>
    </row>
    <row r="321" spans="1:8" x14ac:dyDescent="0.2">
      <c r="A321" s="2" t="s">
        <v>59</v>
      </c>
      <c r="B321" s="4">
        <v>36</v>
      </c>
      <c r="C321" s="5">
        <v>4.8899999999999997</v>
      </c>
      <c r="D321" s="4">
        <v>27</v>
      </c>
      <c r="E321" s="5">
        <v>5.34</v>
      </c>
      <c r="F321" s="4">
        <v>8</v>
      </c>
      <c r="G321" s="5">
        <v>3.52</v>
      </c>
      <c r="H321" s="4">
        <v>0</v>
      </c>
    </row>
    <row r="322" spans="1:8" x14ac:dyDescent="0.2">
      <c r="A322" s="1" t="s">
        <v>20</v>
      </c>
      <c r="B322" s="4">
        <v>1216</v>
      </c>
      <c r="C322" s="5">
        <v>100</v>
      </c>
      <c r="D322" s="4">
        <v>600</v>
      </c>
      <c r="E322" s="5">
        <v>100</v>
      </c>
      <c r="F322" s="4">
        <v>613</v>
      </c>
      <c r="G322" s="5">
        <v>100.00000000000001</v>
      </c>
      <c r="H322" s="4">
        <v>1</v>
      </c>
    </row>
    <row r="323" spans="1:8" x14ac:dyDescent="0.2">
      <c r="A323" s="2" t="s">
        <v>45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46</v>
      </c>
      <c r="B324" s="4">
        <v>173</v>
      </c>
      <c r="C324" s="5">
        <v>14.23</v>
      </c>
      <c r="D324" s="4">
        <v>48</v>
      </c>
      <c r="E324" s="5">
        <v>8</v>
      </c>
      <c r="F324" s="4">
        <v>125</v>
      </c>
      <c r="G324" s="5">
        <v>20.39</v>
      </c>
      <c r="H324" s="4">
        <v>0</v>
      </c>
    </row>
    <row r="325" spans="1:8" x14ac:dyDescent="0.2">
      <c r="A325" s="2" t="s">
        <v>47</v>
      </c>
      <c r="B325" s="4">
        <v>64</v>
      </c>
      <c r="C325" s="5">
        <v>5.26</v>
      </c>
      <c r="D325" s="4">
        <v>17</v>
      </c>
      <c r="E325" s="5">
        <v>2.83</v>
      </c>
      <c r="F325" s="4">
        <v>47</v>
      </c>
      <c r="G325" s="5">
        <v>7.67</v>
      </c>
      <c r="H325" s="4">
        <v>0</v>
      </c>
    </row>
    <row r="326" spans="1:8" x14ac:dyDescent="0.2">
      <c r="A326" s="2" t="s">
        <v>48</v>
      </c>
      <c r="B326" s="4">
        <v>4</v>
      </c>
      <c r="C326" s="5">
        <v>0.33</v>
      </c>
      <c r="D326" s="4">
        <v>0</v>
      </c>
      <c r="E326" s="5">
        <v>0</v>
      </c>
      <c r="F326" s="4">
        <v>4</v>
      </c>
      <c r="G326" s="5">
        <v>0.65</v>
      </c>
      <c r="H326" s="4">
        <v>0</v>
      </c>
    </row>
    <row r="327" spans="1:8" x14ac:dyDescent="0.2">
      <c r="A327" s="2" t="s">
        <v>49</v>
      </c>
      <c r="B327" s="4">
        <v>15</v>
      </c>
      <c r="C327" s="5">
        <v>1.23</v>
      </c>
      <c r="D327" s="4">
        <v>1</v>
      </c>
      <c r="E327" s="5">
        <v>0.17</v>
      </c>
      <c r="F327" s="4">
        <v>14</v>
      </c>
      <c r="G327" s="5">
        <v>2.2799999999999998</v>
      </c>
      <c r="H327" s="4">
        <v>0</v>
      </c>
    </row>
    <row r="328" spans="1:8" x14ac:dyDescent="0.2">
      <c r="A328" s="2" t="s">
        <v>50</v>
      </c>
      <c r="B328" s="4">
        <v>8</v>
      </c>
      <c r="C328" s="5">
        <v>0.66</v>
      </c>
      <c r="D328" s="4">
        <v>3</v>
      </c>
      <c r="E328" s="5">
        <v>0.5</v>
      </c>
      <c r="F328" s="4">
        <v>5</v>
      </c>
      <c r="G328" s="5">
        <v>0.82</v>
      </c>
      <c r="H328" s="4">
        <v>0</v>
      </c>
    </row>
    <row r="329" spans="1:8" x14ac:dyDescent="0.2">
      <c r="A329" s="2" t="s">
        <v>51</v>
      </c>
      <c r="B329" s="4">
        <v>220</v>
      </c>
      <c r="C329" s="5">
        <v>18.09</v>
      </c>
      <c r="D329" s="4">
        <v>96</v>
      </c>
      <c r="E329" s="5">
        <v>16</v>
      </c>
      <c r="F329" s="4">
        <v>124</v>
      </c>
      <c r="G329" s="5">
        <v>20.23</v>
      </c>
      <c r="H329" s="4">
        <v>0</v>
      </c>
    </row>
    <row r="330" spans="1:8" x14ac:dyDescent="0.2">
      <c r="A330" s="2" t="s">
        <v>52</v>
      </c>
      <c r="B330" s="4">
        <v>7</v>
      </c>
      <c r="C330" s="5">
        <v>0.57999999999999996</v>
      </c>
      <c r="D330" s="4">
        <v>0</v>
      </c>
      <c r="E330" s="5">
        <v>0</v>
      </c>
      <c r="F330" s="4">
        <v>7</v>
      </c>
      <c r="G330" s="5">
        <v>1.1399999999999999</v>
      </c>
      <c r="H330" s="4">
        <v>0</v>
      </c>
    </row>
    <row r="331" spans="1:8" x14ac:dyDescent="0.2">
      <c r="A331" s="2" t="s">
        <v>53</v>
      </c>
      <c r="B331" s="4">
        <v>117</v>
      </c>
      <c r="C331" s="5">
        <v>9.6199999999999992</v>
      </c>
      <c r="D331" s="4">
        <v>17</v>
      </c>
      <c r="E331" s="5">
        <v>2.83</v>
      </c>
      <c r="F331" s="4">
        <v>100</v>
      </c>
      <c r="G331" s="5">
        <v>16.309999999999999</v>
      </c>
      <c r="H331" s="4">
        <v>0</v>
      </c>
    </row>
    <row r="332" spans="1:8" x14ac:dyDescent="0.2">
      <c r="A332" s="2" t="s">
        <v>54</v>
      </c>
      <c r="B332" s="4">
        <v>105</v>
      </c>
      <c r="C332" s="5">
        <v>8.6300000000000008</v>
      </c>
      <c r="D332" s="4">
        <v>60</v>
      </c>
      <c r="E332" s="5">
        <v>10</v>
      </c>
      <c r="F332" s="4">
        <v>44</v>
      </c>
      <c r="G332" s="5">
        <v>7.18</v>
      </c>
      <c r="H332" s="4">
        <v>0</v>
      </c>
    </row>
    <row r="333" spans="1:8" x14ac:dyDescent="0.2">
      <c r="A333" s="2" t="s">
        <v>55</v>
      </c>
      <c r="B333" s="4">
        <v>95</v>
      </c>
      <c r="C333" s="5">
        <v>7.81</v>
      </c>
      <c r="D333" s="4">
        <v>67</v>
      </c>
      <c r="E333" s="5">
        <v>11.17</v>
      </c>
      <c r="F333" s="4">
        <v>28</v>
      </c>
      <c r="G333" s="5">
        <v>4.57</v>
      </c>
      <c r="H333" s="4">
        <v>0</v>
      </c>
    </row>
    <row r="334" spans="1:8" x14ac:dyDescent="0.2">
      <c r="A334" s="2" t="s">
        <v>56</v>
      </c>
      <c r="B334" s="4">
        <v>177</v>
      </c>
      <c r="C334" s="5">
        <v>14.56</v>
      </c>
      <c r="D334" s="4">
        <v>129</v>
      </c>
      <c r="E334" s="5">
        <v>21.5</v>
      </c>
      <c r="F334" s="4">
        <v>48</v>
      </c>
      <c r="G334" s="5">
        <v>7.83</v>
      </c>
      <c r="H334" s="4">
        <v>0</v>
      </c>
    </row>
    <row r="335" spans="1:8" x14ac:dyDescent="0.2">
      <c r="A335" s="2" t="s">
        <v>57</v>
      </c>
      <c r="B335" s="4">
        <v>116</v>
      </c>
      <c r="C335" s="5">
        <v>9.5399999999999991</v>
      </c>
      <c r="D335" s="4">
        <v>85</v>
      </c>
      <c r="E335" s="5">
        <v>14.17</v>
      </c>
      <c r="F335" s="4">
        <v>30</v>
      </c>
      <c r="G335" s="5">
        <v>4.8899999999999997</v>
      </c>
      <c r="H335" s="4">
        <v>1</v>
      </c>
    </row>
    <row r="336" spans="1:8" x14ac:dyDescent="0.2">
      <c r="A336" s="2" t="s">
        <v>58</v>
      </c>
      <c r="B336" s="4">
        <v>71</v>
      </c>
      <c r="C336" s="5">
        <v>5.84</v>
      </c>
      <c r="D336" s="4">
        <v>56</v>
      </c>
      <c r="E336" s="5">
        <v>9.33</v>
      </c>
      <c r="F336" s="4">
        <v>15</v>
      </c>
      <c r="G336" s="5">
        <v>2.4500000000000002</v>
      </c>
      <c r="H336" s="4">
        <v>0</v>
      </c>
    </row>
    <row r="337" spans="1:8" x14ac:dyDescent="0.2">
      <c r="A337" s="2" t="s">
        <v>59</v>
      </c>
      <c r="B337" s="4">
        <v>44</v>
      </c>
      <c r="C337" s="5">
        <v>3.62</v>
      </c>
      <c r="D337" s="4">
        <v>21</v>
      </c>
      <c r="E337" s="5">
        <v>3.5</v>
      </c>
      <c r="F337" s="4">
        <v>22</v>
      </c>
      <c r="G337" s="5">
        <v>3.59</v>
      </c>
      <c r="H337" s="4">
        <v>0</v>
      </c>
    </row>
    <row r="338" spans="1:8" x14ac:dyDescent="0.2">
      <c r="A338" s="1" t="s">
        <v>21</v>
      </c>
      <c r="B338" s="4">
        <v>966</v>
      </c>
      <c r="C338" s="5">
        <v>99.989999999999981</v>
      </c>
      <c r="D338" s="4">
        <v>636</v>
      </c>
      <c r="E338" s="5">
        <v>99.989999999999981</v>
      </c>
      <c r="F338" s="4">
        <v>321</v>
      </c>
      <c r="G338" s="5">
        <v>99.990000000000009</v>
      </c>
      <c r="H338" s="4">
        <v>1</v>
      </c>
    </row>
    <row r="339" spans="1:8" x14ac:dyDescent="0.2">
      <c r="A339" s="2" t="s">
        <v>45</v>
      </c>
      <c r="B339" s="4">
        <v>3</v>
      </c>
      <c r="C339" s="5">
        <v>0.31</v>
      </c>
      <c r="D339" s="4">
        <v>0</v>
      </c>
      <c r="E339" s="5">
        <v>0</v>
      </c>
      <c r="F339" s="4">
        <v>3</v>
      </c>
      <c r="G339" s="5">
        <v>0.93</v>
      </c>
      <c r="H339" s="4">
        <v>0</v>
      </c>
    </row>
    <row r="340" spans="1:8" x14ac:dyDescent="0.2">
      <c r="A340" s="2" t="s">
        <v>46</v>
      </c>
      <c r="B340" s="4">
        <v>213</v>
      </c>
      <c r="C340" s="5">
        <v>22.05</v>
      </c>
      <c r="D340" s="4">
        <v>125</v>
      </c>
      <c r="E340" s="5">
        <v>19.649999999999999</v>
      </c>
      <c r="F340" s="4">
        <v>88</v>
      </c>
      <c r="G340" s="5">
        <v>27.41</v>
      </c>
      <c r="H340" s="4">
        <v>0</v>
      </c>
    </row>
    <row r="341" spans="1:8" x14ac:dyDescent="0.2">
      <c r="A341" s="2" t="s">
        <v>47</v>
      </c>
      <c r="B341" s="4">
        <v>111</v>
      </c>
      <c r="C341" s="5">
        <v>11.49</v>
      </c>
      <c r="D341" s="4">
        <v>58</v>
      </c>
      <c r="E341" s="5">
        <v>9.1199999999999992</v>
      </c>
      <c r="F341" s="4">
        <v>53</v>
      </c>
      <c r="G341" s="5">
        <v>16.510000000000002</v>
      </c>
      <c r="H341" s="4">
        <v>0</v>
      </c>
    </row>
    <row r="342" spans="1:8" x14ac:dyDescent="0.2">
      <c r="A342" s="2" t="s">
        <v>48</v>
      </c>
      <c r="B342" s="4">
        <v>1</v>
      </c>
      <c r="C342" s="5">
        <v>0.1</v>
      </c>
      <c r="D342" s="4">
        <v>0</v>
      </c>
      <c r="E342" s="5">
        <v>0</v>
      </c>
      <c r="F342" s="4">
        <v>1</v>
      </c>
      <c r="G342" s="5">
        <v>0.31</v>
      </c>
      <c r="H342" s="4">
        <v>0</v>
      </c>
    </row>
    <row r="343" spans="1:8" x14ac:dyDescent="0.2">
      <c r="A343" s="2" t="s">
        <v>49</v>
      </c>
      <c r="B343" s="4">
        <v>6</v>
      </c>
      <c r="C343" s="5">
        <v>0.62</v>
      </c>
      <c r="D343" s="4">
        <v>0</v>
      </c>
      <c r="E343" s="5">
        <v>0</v>
      </c>
      <c r="F343" s="4">
        <v>6</v>
      </c>
      <c r="G343" s="5">
        <v>1.87</v>
      </c>
      <c r="H343" s="4">
        <v>0</v>
      </c>
    </row>
    <row r="344" spans="1:8" x14ac:dyDescent="0.2">
      <c r="A344" s="2" t="s">
        <v>50</v>
      </c>
      <c r="B344" s="4">
        <v>6</v>
      </c>
      <c r="C344" s="5">
        <v>0.62</v>
      </c>
      <c r="D344" s="4">
        <v>3</v>
      </c>
      <c r="E344" s="5">
        <v>0.47</v>
      </c>
      <c r="F344" s="4">
        <v>3</v>
      </c>
      <c r="G344" s="5">
        <v>0.93</v>
      </c>
      <c r="H344" s="4">
        <v>0</v>
      </c>
    </row>
    <row r="345" spans="1:8" x14ac:dyDescent="0.2">
      <c r="A345" s="2" t="s">
        <v>51</v>
      </c>
      <c r="B345" s="4">
        <v>242</v>
      </c>
      <c r="C345" s="5">
        <v>25.05</v>
      </c>
      <c r="D345" s="4">
        <v>163</v>
      </c>
      <c r="E345" s="5">
        <v>25.63</v>
      </c>
      <c r="F345" s="4">
        <v>78</v>
      </c>
      <c r="G345" s="5">
        <v>24.3</v>
      </c>
      <c r="H345" s="4">
        <v>1</v>
      </c>
    </row>
    <row r="346" spans="1:8" x14ac:dyDescent="0.2">
      <c r="A346" s="2" t="s">
        <v>52</v>
      </c>
      <c r="B346" s="4">
        <v>3</v>
      </c>
      <c r="C346" s="5">
        <v>0.31</v>
      </c>
      <c r="D346" s="4">
        <v>1</v>
      </c>
      <c r="E346" s="5">
        <v>0.16</v>
      </c>
      <c r="F346" s="4">
        <v>2</v>
      </c>
      <c r="G346" s="5">
        <v>0.62</v>
      </c>
      <c r="H346" s="4">
        <v>0</v>
      </c>
    </row>
    <row r="347" spans="1:8" x14ac:dyDescent="0.2">
      <c r="A347" s="2" t="s">
        <v>53</v>
      </c>
      <c r="B347" s="4">
        <v>43</v>
      </c>
      <c r="C347" s="5">
        <v>4.45</v>
      </c>
      <c r="D347" s="4">
        <v>26</v>
      </c>
      <c r="E347" s="5">
        <v>4.09</v>
      </c>
      <c r="F347" s="4">
        <v>17</v>
      </c>
      <c r="G347" s="5">
        <v>5.3</v>
      </c>
      <c r="H347" s="4">
        <v>0</v>
      </c>
    </row>
    <row r="348" spans="1:8" x14ac:dyDescent="0.2">
      <c r="A348" s="2" t="s">
        <v>54</v>
      </c>
      <c r="B348" s="4">
        <v>30</v>
      </c>
      <c r="C348" s="5">
        <v>3.11</v>
      </c>
      <c r="D348" s="4">
        <v>17</v>
      </c>
      <c r="E348" s="5">
        <v>2.67</v>
      </c>
      <c r="F348" s="4">
        <v>12</v>
      </c>
      <c r="G348" s="5">
        <v>3.74</v>
      </c>
      <c r="H348" s="4">
        <v>0</v>
      </c>
    </row>
    <row r="349" spans="1:8" x14ac:dyDescent="0.2">
      <c r="A349" s="2" t="s">
        <v>55</v>
      </c>
      <c r="B349" s="4">
        <v>80</v>
      </c>
      <c r="C349" s="5">
        <v>8.2799999999999994</v>
      </c>
      <c r="D349" s="4">
        <v>67</v>
      </c>
      <c r="E349" s="5">
        <v>10.53</v>
      </c>
      <c r="F349" s="4">
        <v>12</v>
      </c>
      <c r="G349" s="5">
        <v>3.74</v>
      </c>
      <c r="H349" s="4">
        <v>0</v>
      </c>
    </row>
    <row r="350" spans="1:8" x14ac:dyDescent="0.2">
      <c r="A350" s="2" t="s">
        <v>56</v>
      </c>
      <c r="B350" s="4">
        <v>129</v>
      </c>
      <c r="C350" s="5">
        <v>13.35</v>
      </c>
      <c r="D350" s="4">
        <v>113</v>
      </c>
      <c r="E350" s="5">
        <v>17.77</v>
      </c>
      <c r="F350" s="4">
        <v>16</v>
      </c>
      <c r="G350" s="5">
        <v>4.9800000000000004</v>
      </c>
      <c r="H350" s="4">
        <v>0</v>
      </c>
    </row>
    <row r="351" spans="1:8" x14ac:dyDescent="0.2">
      <c r="A351" s="2" t="s">
        <v>57</v>
      </c>
      <c r="B351" s="4">
        <v>20</v>
      </c>
      <c r="C351" s="5">
        <v>2.0699999999999998</v>
      </c>
      <c r="D351" s="4">
        <v>10</v>
      </c>
      <c r="E351" s="5">
        <v>1.57</v>
      </c>
      <c r="F351" s="4">
        <v>7</v>
      </c>
      <c r="G351" s="5">
        <v>2.1800000000000002</v>
      </c>
      <c r="H351" s="4">
        <v>0</v>
      </c>
    </row>
    <row r="352" spans="1:8" x14ac:dyDescent="0.2">
      <c r="A352" s="2" t="s">
        <v>58</v>
      </c>
      <c r="B352" s="4">
        <v>37</v>
      </c>
      <c r="C352" s="5">
        <v>3.83</v>
      </c>
      <c r="D352" s="4">
        <v>24</v>
      </c>
      <c r="E352" s="5">
        <v>3.77</v>
      </c>
      <c r="F352" s="4">
        <v>11</v>
      </c>
      <c r="G352" s="5">
        <v>3.43</v>
      </c>
      <c r="H352" s="4">
        <v>0</v>
      </c>
    </row>
    <row r="353" spans="1:8" x14ac:dyDescent="0.2">
      <c r="A353" s="2" t="s">
        <v>59</v>
      </c>
      <c r="B353" s="4">
        <v>42</v>
      </c>
      <c r="C353" s="5">
        <v>4.3499999999999996</v>
      </c>
      <c r="D353" s="4">
        <v>29</v>
      </c>
      <c r="E353" s="5">
        <v>4.5599999999999996</v>
      </c>
      <c r="F353" s="4">
        <v>12</v>
      </c>
      <c r="G353" s="5">
        <v>3.74</v>
      </c>
      <c r="H353" s="4">
        <v>0</v>
      </c>
    </row>
    <row r="354" spans="1:8" x14ac:dyDescent="0.2">
      <c r="A354" s="1" t="s">
        <v>22</v>
      </c>
      <c r="B354" s="4">
        <v>1084</v>
      </c>
      <c r="C354" s="5">
        <v>100.00999999999999</v>
      </c>
      <c r="D354" s="4">
        <v>663</v>
      </c>
      <c r="E354" s="5">
        <v>99.97999999999999</v>
      </c>
      <c r="F354" s="4">
        <v>411</v>
      </c>
      <c r="G354" s="5">
        <v>100.01</v>
      </c>
      <c r="H354" s="4">
        <v>2</v>
      </c>
    </row>
    <row r="355" spans="1:8" x14ac:dyDescent="0.2">
      <c r="A355" s="2" t="s">
        <v>45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46</v>
      </c>
      <c r="B356" s="4">
        <v>225</v>
      </c>
      <c r="C356" s="5">
        <v>20.76</v>
      </c>
      <c r="D356" s="4">
        <v>96</v>
      </c>
      <c r="E356" s="5">
        <v>14.48</v>
      </c>
      <c r="F356" s="4">
        <v>129</v>
      </c>
      <c r="G356" s="5">
        <v>31.39</v>
      </c>
      <c r="H356" s="4">
        <v>0</v>
      </c>
    </row>
    <row r="357" spans="1:8" x14ac:dyDescent="0.2">
      <c r="A357" s="2" t="s">
        <v>47</v>
      </c>
      <c r="B357" s="4">
        <v>93</v>
      </c>
      <c r="C357" s="5">
        <v>8.58</v>
      </c>
      <c r="D357" s="4">
        <v>53</v>
      </c>
      <c r="E357" s="5">
        <v>7.99</v>
      </c>
      <c r="F357" s="4">
        <v>40</v>
      </c>
      <c r="G357" s="5">
        <v>9.73</v>
      </c>
      <c r="H357" s="4">
        <v>0</v>
      </c>
    </row>
    <row r="358" spans="1:8" x14ac:dyDescent="0.2">
      <c r="A358" s="2" t="s">
        <v>48</v>
      </c>
      <c r="B358" s="4">
        <v>3</v>
      </c>
      <c r="C358" s="5">
        <v>0.28000000000000003</v>
      </c>
      <c r="D358" s="4">
        <v>0</v>
      </c>
      <c r="E358" s="5">
        <v>0</v>
      </c>
      <c r="F358" s="4">
        <v>2</v>
      </c>
      <c r="G358" s="5">
        <v>0.49</v>
      </c>
      <c r="H358" s="4">
        <v>0</v>
      </c>
    </row>
    <row r="359" spans="1:8" x14ac:dyDescent="0.2">
      <c r="A359" s="2" t="s">
        <v>49</v>
      </c>
      <c r="B359" s="4">
        <v>9</v>
      </c>
      <c r="C359" s="5">
        <v>0.83</v>
      </c>
      <c r="D359" s="4">
        <v>1</v>
      </c>
      <c r="E359" s="5">
        <v>0.15</v>
      </c>
      <c r="F359" s="4">
        <v>8</v>
      </c>
      <c r="G359" s="5">
        <v>1.95</v>
      </c>
      <c r="H359" s="4">
        <v>0</v>
      </c>
    </row>
    <row r="360" spans="1:8" x14ac:dyDescent="0.2">
      <c r="A360" s="2" t="s">
        <v>50</v>
      </c>
      <c r="B360" s="4">
        <v>11</v>
      </c>
      <c r="C360" s="5">
        <v>1.01</v>
      </c>
      <c r="D360" s="4">
        <v>3</v>
      </c>
      <c r="E360" s="5">
        <v>0.45</v>
      </c>
      <c r="F360" s="4">
        <v>8</v>
      </c>
      <c r="G360" s="5">
        <v>1.95</v>
      </c>
      <c r="H360" s="4">
        <v>0</v>
      </c>
    </row>
    <row r="361" spans="1:8" x14ac:dyDescent="0.2">
      <c r="A361" s="2" t="s">
        <v>51</v>
      </c>
      <c r="B361" s="4">
        <v>248</v>
      </c>
      <c r="C361" s="5">
        <v>22.88</v>
      </c>
      <c r="D361" s="4">
        <v>144</v>
      </c>
      <c r="E361" s="5">
        <v>21.72</v>
      </c>
      <c r="F361" s="4">
        <v>104</v>
      </c>
      <c r="G361" s="5">
        <v>25.3</v>
      </c>
      <c r="H361" s="4">
        <v>0</v>
      </c>
    </row>
    <row r="362" spans="1:8" x14ac:dyDescent="0.2">
      <c r="A362" s="2" t="s">
        <v>52</v>
      </c>
      <c r="B362" s="4">
        <v>4</v>
      </c>
      <c r="C362" s="5">
        <v>0.37</v>
      </c>
      <c r="D362" s="4">
        <v>1</v>
      </c>
      <c r="E362" s="5">
        <v>0.15</v>
      </c>
      <c r="F362" s="4">
        <v>3</v>
      </c>
      <c r="G362" s="5">
        <v>0.73</v>
      </c>
      <c r="H362" s="4">
        <v>0</v>
      </c>
    </row>
    <row r="363" spans="1:8" x14ac:dyDescent="0.2">
      <c r="A363" s="2" t="s">
        <v>53</v>
      </c>
      <c r="B363" s="4">
        <v>56</v>
      </c>
      <c r="C363" s="5">
        <v>5.17</v>
      </c>
      <c r="D363" s="4">
        <v>34</v>
      </c>
      <c r="E363" s="5">
        <v>5.13</v>
      </c>
      <c r="F363" s="4">
        <v>22</v>
      </c>
      <c r="G363" s="5">
        <v>5.35</v>
      </c>
      <c r="H363" s="4">
        <v>0</v>
      </c>
    </row>
    <row r="364" spans="1:8" x14ac:dyDescent="0.2">
      <c r="A364" s="2" t="s">
        <v>54</v>
      </c>
      <c r="B364" s="4">
        <v>42</v>
      </c>
      <c r="C364" s="5">
        <v>3.87</v>
      </c>
      <c r="D364" s="4">
        <v>24</v>
      </c>
      <c r="E364" s="5">
        <v>3.62</v>
      </c>
      <c r="F364" s="4">
        <v>18</v>
      </c>
      <c r="G364" s="5">
        <v>4.38</v>
      </c>
      <c r="H364" s="4">
        <v>0</v>
      </c>
    </row>
    <row r="365" spans="1:8" x14ac:dyDescent="0.2">
      <c r="A365" s="2" t="s">
        <v>55</v>
      </c>
      <c r="B365" s="4">
        <v>101</v>
      </c>
      <c r="C365" s="5">
        <v>9.32</v>
      </c>
      <c r="D365" s="4">
        <v>89</v>
      </c>
      <c r="E365" s="5">
        <v>13.42</v>
      </c>
      <c r="F365" s="4">
        <v>12</v>
      </c>
      <c r="G365" s="5">
        <v>2.92</v>
      </c>
      <c r="H365" s="4">
        <v>0</v>
      </c>
    </row>
    <row r="366" spans="1:8" x14ac:dyDescent="0.2">
      <c r="A366" s="2" t="s">
        <v>56</v>
      </c>
      <c r="B366" s="4">
        <v>147</v>
      </c>
      <c r="C366" s="5">
        <v>13.56</v>
      </c>
      <c r="D366" s="4">
        <v>122</v>
      </c>
      <c r="E366" s="5">
        <v>18.399999999999999</v>
      </c>
      <c r="F366" s="4">
        <v>24</v>
      </c>
      <c r="G366" s="5">
        <v>5.84</v>
      </c>
      <c r="H366" s="4">
        <v>0</v>
      </c>
    </row>
    <row r="367" spans="1:8" x14ac:dyDescent="0.2">
      <c r="A367" s="2" t="s">
        <v>57</v>
      </c>
      <c r="B367" s="4">
        <v>24</v>
      </c>
      <c r="C367" s="5">
        <v>2.21</v>
      </c>
      <c r="D367" s="4">
        <v>17</v>
      </c>
      <c r="E367" s="5">
        <v>2.56</v>
      </c>
      <c r="F367" s="4">
        <v>6</v>
      </c>
      <c r="G367" s="5">
        <v>1.46</v>
      </c>
      <c r="H367" s="4">
        <v>1</v>
      </c>
    </row>
    <row r="368" spans="1:8" x14ac:dyDescent="0.2">
      <c r="A368" s="2" t="s">
        <v>58</v>
      </c>
      <c r="B368" s="4">
        <v>61</v>
      </c>
      <c r="C368" s="5">
        <v>5.63</v>
      </c>
      <c r="D368" s="4">
        <v>42</v>
      </c>
      <c r="E368" s="5">
        <v>6.33</v>
      </c>
      <c r="F368" s="4">
        <v>17</v>
      </c>
      <c r="G368" s="5">
        <v>4.1399999999999997</v>
      </c>
      <c r="H368" s="4">
        <v>0</v>
      </c>
    </row>
    <row r="369" spans="1:8" x14ac:dyDescent="0.2">
      <c r="A369" s="2" t="s">
        <v>59</v>
      </c>
      <c r="B369" s="4">
        <v>60</v>
      </c>
      <c r="C369" s="5">
        <v>5.54</v>
      </c>
      <c r="D369" s="4">
        <v>37</v>
      </c>
      <c r="E369" s="5">
        <v>5.58</v>
      </c>
      <c r="F369" s="4">
        <v>18</v>
      </c>
      <c r="G369" s="5">
        <v>4.38</v>
      </c>
      <c r="H369" s="4">
        <v>1</v>
      </c>
    </row>
    <row r="370" spans="1:8" x14ac:dyDescent="0.2">
      <c r="A370" s="1" t="s">
        <v>23</v>
      </c>
      <c r="B370" s="4">
        <v>2725</v>
      </c>
      <c r="C370" s="5">
        <v>100.00000000000001</v>
      </c>
      <c r="D370" s="4">
        <v>1583</v>
      </c>
      <c r="E370" s="5">
        <v>99.99</v>
      </c>
      <c r="F370" s="4">
        <v>1118</v>
      </c>
      <c r="G370" s="5">
        <v>100.01</v>
      </c>
      <c r="H370" s="4">
        <v>1</v>
      </c>
    </row>
    <row r="371" spans="1:8" x14ac:dyDescent="0.2">
      <c r="A371" s="2" t="s">
        <v>45</v>
      </c>
      <c r="B371" s="4">
        <v>2</v>
      </c>
      <c r="C371" s="5">
        <v>7.0000000000000007E-2</v>
      </c>
      <c r="D371" s="4">
        <v>0</v>
      </c>
      <c r="E371" s="5">
        <v>0</v>
      </c>
      <c r="F371" s="4">
        <v>2</v>
      </c>
      <c r="G371" s="5">
        <v>0.18</v>
      </c>
      <c r="H371" s="4">
        <v>0</v>
      </c>
    </row>
    <row r="372" spans="1:8" x14ac:dyDescent="0.2">
      <c r="A372" s="2" t="s">
        <v>46</v>
      </c>
      <c r="B372" s="4">
        <v>507</v>
      </c>
      <c r="C372" s="5">
        <v>18.61</v>
      </c>
      <c r="D372" s="4">
        <v>202</v>
      </c>
      <c r="E372" s="5">
        <v>12.76</v>
      </c>
      <c r="F372" s="4">
        <v>305</v>
      </c>
      <c r="G372" s="5">
        <v>27.28</v>
      </c>
      <c r="H372" s="4">
        <v>0</v>
      </c>
    </row>
    <row r="373" spans="1:8" x14ac:dyDescent="0.2">
      <c r="A373" s="2" t="s">
        <v>47</v>
      </c>
      <c r="B373" s="4">
        <v>358</v>
      </c>
      <c r="C373" s="5">
        <v>13.14</v>
      </c>
      <c r="D373" s="4">
        <v>154</v>
      </c>
      <c r="E373" s="5">
        <v>9.73</v>
      </c>
      <c r="F373" s="4">
        <v>204</v>
      </c>
      <c r="G373" s="5">
        <v>18.25</v>
      </c>
      <c r="H373" s="4">
        <v>0</v>
      </c>
    </row>
    <row r="374" spans="1:8" x14ac:dyDescent="0.2">
      <c r="A374" s="2" t="s">
        <v>48</v>
      </c>
      <c r="B374" s="4">
        <v>13</v>
      </c>
      <c r="C374" s="5">
        <v>0.48</v>
      </c>
      <c r="D374" s="4">
        <v>0</v>
      </c>
      <c r="E374" s="5">
        <v>0</v>
      </c>
      <c r="F374" s="4">
        <v>13</v>
      </c>
      <c r="G374" s="5">
        <v>1.1599999999999999</v>
      </c>
      <c r="H374" s="4">
        <v>0</v>
      </c>
    </row>
    <row r="375" spans="1:8" x14ac:dyDescent="0.2">
      <c r="A375" s="2" t="s">
        <v>49</v>
      </c>
      <c r="B375" s="4">
        <v>15</v>
      </c>
      <c r="C375" s="5">
        <v>0.55000000000000004</v>
      </c>
      <c r="D375" s="4">
        <v>3</v>
      </c>
      <c r="E375" s="5">
        <v>0.19</v>
      </c>
      <c r="F375" s="4">
        <v>12</v>
      </c>
      <c r="G375" s="5">
        <v>1.07</v>
      </c>
      <c r="H375" s="4">
        <v>0</v>
      </c>
    </row>
    <row r="376" spans="1:8" x14ac:dyDescent="0.2">
      <c r="A376" s="2" t="s">
        <v>50</v>
      </c>
      <c r="B376" s="4">
        <v>24</v>
      </c>
      <c r="C376" s="5">
        <v>0.88</v>
      </c>
      <c r="D376" s="4">
        <v>1</v>
      </c>
      <c r="E376" s="5">
        <v>0.06</v>
      </c>
      <c r="F376" s="4">
        <v>23</v>
      </c>
      <c r="G376" s="5">
        <v>2.06</v>
      </c>
      <c r="H376" s="4">
        <v>0</v>
      </c>
    </row>
    <row r="377" spans="1:8" x14ac:dyDescent="0.2">
      <c r="A377" s="2" t="s">
        <v>51</v>
      </c>
      <c r="B377" s="4">
        <v>657</v>
      </c>
      <c r="C377" s="5">
        <v>24.11</v>
      </c>
      <c r="D377" s="4">
        <v>363</v>
      </c>
      <c r="E377" s="5">
        <v>22.93</v>
      </c>
      <c r="F377" s="4">
        <v>294</v>
      </c>
      <c r="G377" s="5">
        <v>26.3</v>
      </c>
      <c r="H377" s="4">
        <v>0</v>
      </c>
    </row>
    <row r="378" spans="1:8" x14ac:dyDescent="0.2">
      <c r="A378" s="2" t="s">
        <v>52</v>
      </c>
      <c r="B378" s="4">
        <v>23</v>
      </c>
      <c r="C378" s="5">
        <v>0.84</v>
      </c>
      <c r="D378" s="4">
        <v>7</v>
      </c>
      <c r="E378" s="5">
        <v>0.44</v>
      </c>
      <c r="F378" s="4">
        <v>16</v>
      </c>
      <c r="G378" s="5">
        <v>1.43</v>
      </c>
      <c r="H378" s="4">
        <v>0</v>
      </c>
    </row>
    <row r="379" spans="1:8" x14ac:dyDescent="0.2">
      <c r="A379" s="2" t="s">
        <v>53</v>
      </c>
      <c r="B379" s="4">
        <v>158</v>
      </c>
      <c r="C379" s="5">
        <v>5.8</v>
      </c>
      <c r="D379" s="4">
        <v>96</v>
      </c>
      <c r="E379" s="5">
        <v>6.06</v>
      </c>
      <c r="F379" s="4">
        <v>62</v>
      </c>
      <c r="G379" s="5">
        <v>5.55</v>
      </c>
      <c r="H379" s="4">
        <v>0</v>
      </c>
    </row>
    <row r="380" spans="1:8" x14ac:dyDescent="0.2">
      <c r="A380" s="2" t="s">
        <v>54</v>
      </c>
      <c r="B380" s="4">
        <v>90</v>
      </c>
      <c r="C380" s="5">
        <v>3.3</v>
      </c>
      <c r="D380" s="4">
        <v>60</v>
      </c>
      <c r="E380" s="5">
        <v>3.79</v>
      </c>
      <c r="F380" s="4">
        <v>28</v>
      </c>
      <c r="G380" s="5">
        <v>2.5</v>
      </c>
      <c r="H380" s="4">
        <v>0</v>
      </c>
    </row>
    <row r="381" spans="1:8" x14ac:dyDescent="0.2">
      <c r="A381" s="2" t="s">
        <v>55</v>
      </c>
      <c r="B381" s="4">
        <v>247</v>
      </c>
      <c r="C381" s="5">
        <v>9.06</v>
      </c>
      <c r="D381" s="4">
        <v>202</v>
      </c>
      <c r="E381" s="5">
        <v>12.76</v>
      </c>
      <c r="F381" s="4">
        <v>44</v>
      </c>
      <c r="G381" s="5">
        <v>3.94</v>
      </c>
      <c r="H381" s="4">
        <v>0</v>
      </c>
    </row>
    <row r="382" spans="1:8" x14ac:dyDescent="0.2">
      <c r="A382" s="2" t="s">
        <v>56</v>
      </c>
      <c r="B382" s="4">
        <v>340</v>
      </c>
      <c r="C382" s="5">
        <v>12.48</v>
      </c>
      <c r="D382" s="4">
        <v>296</v>
      </c>
      <c r="E382" s="5">
        <v>18.7</v>
      </c>
      <c r="F382" s="4">
        <v>41</v>
      </c>
      <c r="G382" s="5">
        <v>3.67</v>
      </c>
      <c r="H382" s="4">
        <v>0</v>
      </c>
    </row>
    <row r="383" spans="1:8" x14ac:dyDescent="0.2">
      <c r="A383" s="2" t="s">
        <v>57</v>
      </c>
      <c r="B383" s="4">
        <v>76</v>
      </c>
      <c r="C383" s="5">
        <v>2.79</v>
      </c>
      <c r="D383" s="4">
        <v>50</v>
      </c>
      <c r="E383" s="5">
        <v>3.16</v>
      </c>
      <c r="F383" s="4">
        <v>11</v>
      </c>
      <c r="G383" s="5">
        <v>0.98</v>
      </c>
      <c r="H383" s="4">
        <v>0</v>
      </c>
    </row>
    <row r="384" spans="1:8" x14ac:dyDescent="0.2">
      <c r="A384" s="2" t="s">
        <v>58</v>
      </c>
      <c r="B384" s="4">
        <v>93</v>
      </c>
      <c r="C384" s="5">
        <v>3.41</v>
      </c>
      <c r="D384" s="4">
        <v>72</v>
      </c>
      <c r="E384" s="5">
        <v>4.55</v>
      </c>
      <c r="F384" s="4">
        <v>20</v>
      </c>
      <c r="G384" s="5">
        <v>1.79</v>
      </c>
      <c r="H384" s="4">
        <v>0</v>
      </c>
    </row>
    <row r="385" spans="1:8" x14ac:dyDescent="0.2">
      <c r="A385" s="2" t="s">
        <v>59</v>
      </c>
      <c r="B385" s="4">
        <v>122</v>
      </c>
      <c r="C385" s="5">
        <v>4.4800000000000004</v>
      </c>
      <c r="D385" s="4">
        <v>77</v>
      </c>
      <c r="E385" s="5">
        <v>4.8600000000000003</v>
      </c>
      <c r="F385" s="4">
        <v>43</v>
      </c>
      <c r="G385" s="5">
        <v>3.85</v>
      </c>
      <c r="H385" s="4">
        <v>1</v>
      </c>
    </row>
    <row r="386" spans="1:8" x14ac:dyDescent="0.2">
      <c r="A386" s="1" t="s">
        <v>24</v>
      </c>
      <c r="B386" s="4">
        <v>1618</v>
      </c>
      <c r="C386" s="5">
        <v>99.989999999999981</v>
      </c>
      <c r="D386" s="4">
        <v>932</v>
      </c>
      <c r="E386" s="5">
        <v>100.00000000000001</v>
      </c>
      <c r="F386" s="4">
        <v>674</v>
      </c>
      <c r="G386" s="5">
        <v>100.01999999999998</v>
      </c>
      <c r="H386" s="4">
        <v>2</v>
      </c>
    </row>
    <row r="387" spans="1:8" x14ac:dyDescent="0.2">
      <c r="A387" s="2" t="s">
        <v>45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46</v>
      </c>
      <c r="B388" s="4">
        <v>417</v>
      </c>
      <c r="C388" s="5">
        <v>25.77</v>
      </c>
      <c r="D388" s="4">
        <v>209</v>
      </c>
      <c r="E388" s="5">
        <v>22.42</v>
      </c>
      <c r="F388" s="4">
        <v>208</v>
      </c>
      <c r="G388" s="5">
        <v>30.86</v>
      </c>
      <c r="H388" s="4">
        <v>0</v>
      </c>
    </row>
    <row r="389" spans="1:8" x14ac:dyDescent="0.2">
      <c r="A389" s="2" t="s">
        <v>47</v>
      </c>
      <c r="B389" s="4">
        <v>249</v>
      </c>
      <c r="C389" s="5">
        <v>15.39</v>
      </c>
      <c r="D389" s="4">
        <v>101</v>
      </c>
      <c r="E389" s="5">
        <v>10.84</v>
      </c>
      <c r="F389" s="4">
        <v>148</v>
      </c>
      <c r="G389" s="5">
        <v>21.96</v>
      </c>
      <c r="H389" s="4">
        <v>0</v>
      </c>
    </row>
    <row r="390" spans="1:8" x14ac:dyDescent="0.2">
      <c r="A390" s="2" t="s">
        <v>48</v>
      </c>
      <c r="B390" s="4">
        <v>2</v>
      </c>
      <c r="C390" s="5">
        <v>0.12</v>
      </c>
      <c r="D390" s="4">
        <v>0</v>
      </c>
      <c r="E390" s="5">
        <v>0</v>
      </c>
      <c r="F390" s="4">
        <v>2</v>
      </c>
      <c r="G390" s="5">
        <v>0.3</v>
      </c>
      <c r="H390" s="4">
        <v>0</v>
      </c>
    </row>
    <row r="391" spans="1:8" x14ac:dyDescent="0.2">
      <c r="A391" s="2" t="s">
        <v>49</v>
      </c>
      <c r="B391" s="4">
        <v>2</v>
      </c>
      <c r="C391" s="5">
        <v>0.12</v>
      </c>
      <c r="D391" s="4">
        <v>0</v>
      </c>
      <c r="E391" s="5">
        <v>0</v>
      </c>
      <c r="F391" s="4">
        <v>2</v>
      </c>
      <c r="G391" s="5">
        <v>0.3</v>
      </c>
      <c r="H391" s="4">
        <v>0</v>
      </c>
    </row>
    <row r="392" spans="1:8" x14ac:dyDescent="0.2">
      <c r="A392" s="2" t="s">
        <v>50</v>
      </c>
      <c r="B392" s="4">
        <v>24</v>
      </c>
      <c r="C392" s="5">
        <v>1.48</v>
      </c>
      <c r="D392" s="4">
        <v>3</v>
      </c>
      <c r="E392" s="5">
        <v>0.32</v>
      </c>
      <c r="F392" s="4">
        <v>21</v>
      </c>
      <c r="G392" s="5">
        <v>3.12</v>
      </c>
      <c r="H392" s="4">
        <v>0</v>
      </c>
    </row>
    <row r="393" spans="1:8" x14ac:dyDescent="0.2">
      <c r="A393" s="2" t="s">
        <v>51</v>
      </c>
      <c r="B393" s="4">
        <v>333</v>
      </c>
      <c r="C393" s="5">
        <v>20.58</v>
      </c>
      <c r="D393" s="4">
        <v>176</v>
      </c>
      <c r="E393" s="5">
        <v>18.88</v>
      </c>
      <c r="F393" s="4">
        <v>156</v>
      </c>
      <c r="G393" s="5">
        <v>23.15</v>
      </c>
      <c r="H393" s="4">
        <v>1</v>
      </c>
    </row>
    <row r="394" spans="1:8" x14ac:dyDescent="0.2">
      <c r="A394" s="2" t="s">
        <v>52</v>
      </c>
      <c r="B394" s="4">
        <v>9</v>
      </c>
      <c r="C394" s="5">
        <v>0.56000000000000005</v>
      </c>
      <c r="D394" s="4">
        <v>0</v>
      </c>
      <c r="E394" s="5">
        <v>0</v>
      </c>
      <c r="F394" s="4">
        <v>9</v>
      </c>
      <c r="G394" s="5">
        <v>1.34</v>
      </c>
      <c r="H394" s="4">
        <v>0</v>
      </c>
    </row>
    <row r="395" spans="1:8" x14ac:dyDescent="0.2">
      <c r="A395" s="2" t="s">
        <v>53</v>
      </c>
      <c r="B395" s="4">
        <v>83</v>
      </c>
      <c r="C395" s="5">
        <v>5.13</v>
      </c>
      <c r="D395" s="4">
        <v>45</v>
      </c>
      <c r="E395" s="5">
        <v>4.83</v>
      </c>
      <c r="F395" s="4">
        <v>38</v>
      </c>
      <c r="G395" s="5">
        <v>5.64</v>
      </c>
      <c r="H395" s="4">
        <v>0</v>
      </c>
    </row>
    <row r="396" spans="1:8" x14ac:dyDescent="0.2">
      <c r="A396" s="2" t="s">
        <v>54</v>
      </c>
      <c r="B396" s="4">
        <v>46</v>
      </c>
      <c r="C396" s="5">
        <v>2.84</v>
      </c>
      <c r="D396" s="4">
        <v>35</v>
      </c>
      <c r="E396" s="5">
        <v>3.76</v>
      </c>
      <c r="F396" s="4">
        <v>11</v>
      </c>
      <c r="G396" s="5">
        <v>1.63</v>
      </c>
      <c r="H396" s="4">
        <v>0</v>
      </c>
    </row>
    <row r="397" spans="1:8" x14ac:dyDescent="0.2">
      <c r="A397" s="2" t="s">
        <v>55</v>
      </c>
      <c r="B397" s="4">
        <v>122</v>
      </c>
      <c r="C397" s="5">
        <v>7.54</v>
      </c>
      <c r="D397" s="4">
        <v>105</v>
      </c>
      <c r="E397" s="5">
        <v>11.27</v>
      </c>
      <c r="F397" s="4">
        <v>17</v>
      </c>
      <c r="G397" s="5">
        <v>2.52</v>
      </c>
      <c r="H397" s="4">
        <v>0</v>
      </c>
    </row>
    <row r="398" spans="1:8" x14ac:dyDescent="0.2">
      <c r="A398" s="2" t="s">
        <v>56</v>
      </c>
      <c r="B398" s="4">
        <v>172</v>
      </c>
      <c r="C398" s="5">
        <v>10.63</v>
      </c>
      <c r="D398" s="4">
        <v>148</v>
      </c>
      <c r="E398" s="5">
        <v>15.88</v>
      </c>
      <c r="F398" s="4">
        <v>23</v>
      </c>
      <c r="G398" s="5">
        <v>3.41</v>
      </c>
      <c r="H398" s="4">
        <v>0</v>
      </c>
    </row>
    <row r="399" spans="1:8" x14ac:dyDescent="0.2">
      <c r="A399" s="2" t="s">
        <v>57</v>
      </c>
      <c r="B399" s="4">
        <v>25</v>
      </c>
      <c r="C399" s="5">
        <v>1.55</v>
      </c>
      <c r="D399" s="4">
        <v>20</v>
      </c>
      <c r="E399" s="5">
        <v>2.15</v>
      </c>
      <c r="F399" s="4">
        <v>2</v>
      </c>
      <c r="G399" s="5">
        <v>0.3</v>
      </c>
      <c r="H399" s="4">
        <v>0</v>
      </c>
    </row>
    <row r="400" spans="1:8" x14ac:dyDescent="0.2">
      <c r="A400" s="2" t="s">
        <v>58</v>
      </c>
      <c r="B400" s="4">
        <v>60</v>
      </c>
      <c r="C400" s="5">
        <v>3.71</v>
      </c>
      <c r="D400" s="4">
        <v>40</v>
      </c>
      <c r="E400" s="5">
        <v>4.29</v>
      </c>
      <c r="F400" s="4">
        <v>14</v>
      </c>
      <c r="G400" s="5">
        <v>2.08</v>
      </c>
      <c r="H400" s="4">
        <v>0</v>
      </c>
    </row>
    <row r="401" spans="1:8" x14ac:dyDescent="0.2">
      <c r="A401" s="2" t="s">
        <v>59</v>
      </c>
      <c r="B401" s="4">
        <v>74</v>
      </c>
      <c r="C401" s="5">
        <v>4.57</v>
      </c>
      <c r="D401" s="4">
        <v>50</v>
      </c>
      <c r="E401" s="5">
        <v>5.36</v>
      </c>
      <c r="F401" s="4">
        <v>23</v>
      </c>
      <c r="G401" s="5">
        <v>3.41</v>
      </c>
      <c r="H401" s="4">
        <v>1</v>
      </c>
    </row>
    <row r="402" spans="1:8" x14ac:dyDescent="0.2">
      <c r="A402" s="1" t="s">
        <v>25</v>
      </c>
      <c r="B402" s="4">
        <v>952</v>
      </c>
      <c r="C402" s="5">
        <v>100.02</v>
      </c>
      <c r="D402" s="4">
        <v>553</v>
      </c>
      <c r="E402" s="5">
        <v>99.98</v>
      </c>
      <c r="F402" s="4">
        <v>396</v>
      </c>
      <c r="G402" s="5">
        <v>100</v>
      </c>
      <c r="H402" s="4">
        <v>0</v>
      </c>
    </row>
    <row r="403" spans="1:8" x14ac:dyDescent="0.2">
      <c r="A403" s="2" t="s">
        <v>45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46</v>
      </c>
      <c r="B404" s="4">
        <v>210</v>
      </c>
      <c r="C404" s="5">
        <v>22.06</v>
      </c>
      <c r="D404" s="4">
        <v>110</v>
      </c>
      <c r="E404" s="5">
        <v>19.89</v>
      </c>
      <c r="F404" s="4">
        <v>100</v>
      </c>
      <c r="G404" s="5">
        <v>25.25</v>
      </c>
      <c r="H404" s="4">
        <v>0</v>
      </c>
    </row>
    <row r="405" spans="1:8" x14ac:dyDescent="0.2">
      <c r="A405" s="2" t="s">
        <v>47</v>
      </c>
      <c r="B405" s="4">
        <v>107</v>
      </c>
      <c r="C405" s="5">
        <v>11.24</v>
      </c>
      <c r="D405" s="4">
        <v>30</v>
      </c>
      <c r="E405" s="5">
        <v>5.42</v>
      </c>
      <c r="F405" s="4">
        <v>77</v>
      </c>
      <c r="G405" s="5">
        <v>19.440000000000001</v>
      </c>
      <c r="H405" s="4">
        <v>0</v>
      </c>
    </row>
    <row r="406" spans="1:8" x14ac:dyDescent="0.2">
      <c r="A406" s="2" t="s">
        <v>48</v>
      </c>
      <c r="B406" s="4">
        <v>2</v>
      </c>
      <c r="C406" s="5">
        <v>0.21</v>
      </c>
      <c r="D406" s="4">
        <v>0</v>
      </c>
      <c r="E406" s="5">
        <v>0</v>
      </c>
      <c r="F406" s="4">
        <v>2</v>
      </c>
      <c r="G406" s="5">
        <v>0.51</v>
      </c>
      <c r="H406" s="4">
        <v>0</v>
      </c>
    </row>
    <row r="407" spans="1:8" x14ac:dyDescent="0.2">
      <c r="A407" s="2" t="s">
        <v>49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50</v>
      </c>
      <c r="B408" s="4">
        <v>9</v>
      </c>
      <c r="C408" s="5">
        <v>0.95</v>
      </c>
      <c r="D408" s="4">
        <v>2</v>
      </c>
      <c r="E408" s="5">
        <v>0.36</v>
      </c>
      <c r="F408" s="4">
        <v>7</v>
      </c>
      <c r="G408" s="5">
        <v>1.77</v>
      </c>
      <c r="H408" s="4">
        <v>0</v>
      </c>
    </row>
    <row r="409" spans="1:8" x14ac:dyDescent="0.2">
      <c r="A409" s="2" t="s">
        <v>51</v>
      </c>
      <c r="B409" s="4">
        <v>257</v>
      </c>
      <c r="C409" s="5">
        <v>27</v>
      </c>
      <c r="D409" s="4">
        <v>149</v>
      </c>
      <c r="E409" s="5">
        <v>26.94</v>
      </c>
      <c r="F409" s="4">
        <v>108</v>
      </c>
      <c r="G409" s="5">
        <v>27.27</v>
      </c>
      <c r="H409" s="4">
        <v>0</v>
      </c>
    </row>
    <row r="410" spans="1:8" x14ac:dyDescent="0.2">
      <c r="A410" s="2" t="s">
        <v>52</v>
      </c>
      <c r="B410" s="4">
        <v>1</v>
      </c>
      <c r="C410" s="5">
        <v>0.11</v>
      </c>
      <c r="D410" s="4">
        <v>0</v>
      </c>
      <c r="E410" s="5">
        <v>0</v>
      </c>
      <c r="F410" s="4">
        <v>1</v>
      </c>
      <c r="G410" s="5">
        <v>0.25</v>
      </c>
      <c r="H410" s="4">
        <v>0</v>
      </c>
    </row>
    <row r="411" spans="1:8" x14ac:dyDescent="0.2">
      <c r="A411" s="2" t="s">
        <v>53</v>
      </c>
      <c r="B411" s="4">
        <v>36</v>
      </c>
      <c r="C411" s="5">
        <v>3.78</v>
      </c>
      <c r="D411" s="4">
        <v>20</v>
      </c>
      <c r="E411" s="5">
        <v>3.62</v>
      </c>
      <c r="F411" s="4">
        <v>16</v>
      </c>
      <c r="G411" s="5">
        <v>4.04</v>
      </c>
      <c r="H411" s="4">
        <v>0</v>
      </c>
    </row>
    <row r="412" spans="1:8" x14ac:dyDescent="0.2">
      <c r="A412" s="2" t="s">
        <v>54</v>
      </c>
      <c r="B412" s="4">
        <v>26</v>
      </c>
      <c r="C412" s="5">
        <v>2.73</v>
      </c>
      <c r="D412" s="4">
        <v>16</v>
      </c>
      <c r="E412" s="5">
        <v>2.89</v>
      </c>
      <c r="F412" s="4">
        <v>10</v>
      </c>
      <c r="G412" s="5">
        <v>2.5299999999999998</v>
      </c>
      <c r="H412" s="4">
        <v>0</v>
      </c>
    </row>
    <row r="413" spans="1:8" x14ac:dyDescent="0.2">
      <c r="A413" s="2" t="s">
        <v>55</v>
      </c>
      <c r="B413" s="4">
        <v>63</v>
      </c>
      <c r="C413" s="5">
        <v>6.62</v>
      </c>
      <c r="D413" s="4">
        <v>51</v>
      </c>
      <c r="E413" s="5">
        <v>9.2200000000000006</v>
      </c>
      <c r="F413" s="4">
        <v>10</v>
      </c>
      <c r="G413" s="5">
        <v>2.5299999999999998</v>
      </c>
      <c r="H413" s="4">
        <v>0</v>
      </c>
    </row>
    <row r="414" spans="1:8" x14ac:dyDescent="0.2">
      <c r="A414" s="2" t="s">
        <v>56</v>
      </c>
      <c r="B414" s="4">
        <v>125</v>
      </c>
      <c r="C414" s="5">
        <v>13.13</v>
      </c>
      <c r="D414" s="4">
        <v>101</v>
      </c>
      <c r="E414" s="5">
        <v>18.260000000000002</v>
      </c>
      <c r="F414" s="4">
        <v>24</v>
      </c>
      <c r="G414" s="5">
        <v>6.06</v>
      </c>
      <c r="H414" s="4">
        <v>0</v>
      </c>
    </row>
    <row r="415" spans="1:8" x14ac:dyDescent="0.2">
      <c r="A415" s="2" t="s">
        <v>57</v>
      </c>
      <c r="B415" s="4">
        <v>18</v>
      </c>
      <c r="C415" s="5">
        <v>1.89</v>
      </c>
      <c r="D415" s="4">
        <v>11</v>
      </c>
      <c r="E415" s="5">
        <v>1.99</v>
      </c>
      <c r="F415" s="4">
        <v>7</v>
      </c>
      <c r="G415" s="5">
        <v>1.77</v>
      </c>
      <c r="H415" s="4">
        <v>0</v>
      </c>
    </row>
    <row r="416" spans="1:8" x14ac:dyDescent="0.2">
      <c r="A416" s="2" t="s">
        <v>58</v>
      </c>
      <c r="B416" s="4">
        <v>39</v>
      </c>
      <c r="C416" s="5">
        <v>4.0999999999999996</v>
      </c>
      <c r="D416" s="4">
        <v>26</v>
      </c>
      <c r="E416" s="5">
        <v>4.7</v>
      </c>
      <c r="F416" s="4">
        <v>13</v>
      </c>
      <c r="G416" s="5">
        <v>3.28</v>
      </c>
      <c r="H416" s="4">
        <v>0</v>
      </c>
    </row>
    <row r="417" spans="1:8" x14ac:dyDescent="0.2">
      <c r="A417" s="2" t="s">
        <v>59</v>
      </c>
      <c r="B417" s="4">
        <v>59</v>
      </c>
      <c r="C417" s="5">
        <v>6.2</v>
      </c>
      <c r="D417" s="4">
        <v>37</v>
      </c>
      <c r="E417" s="5">
        <v>6.69</v>
      </c>
      <c r="F417" s="4">
        <v>21</v>
      </c>
      <c r="G417" s="5">
        <v>5.3</v>
      </c>
      <c r="H417" s="4">
        <v>0</v>
      </c>
    </row>
    <row r="418" spans="1:8" x14ac:dyDescent="0.2">
      <c r="A418" s="1" t="s">
        <v>26</v>
      </c>
      <c r="B418" s="4">
        <v>836</v>
      </c>
      <c r="C418" s="5">
        <v>100.00000000000001</v>
      </c>
      <c r="D418" s="4">
        <v>465</v>
      </c>
      <c r="E418" s="5">
        <v>100.00000000000001</v>
      </c>
      <c r="F418" s="4">
        <v>365</v>
      </c>
      <c r="G418" s="5">
        <v>100</v>
      </c>
      <c r="H418" s="4">
        <v>2</v>
      </c>
    </row>
    <row r="419" spans="1:8" x14ac:dyDescent="0.2">
      <c r="A419" s="2" t="s">
        <v>45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46</v>
      </c>
      <c r="B420" s="4">
        <v>199</v>
      </c>
      <c r="C420" s="5">
        <v>23.8</v>
      </c>
      <c r="D420" s="4">
        <v>83</v>
      </c>
      <c r="E420" s="5">
        <v>17.850000000000001</v>
      </c>
      <c r="F420" s="4">
        <v>116</v>
      </c>
      <c r="G420" s="5">
        <v>31.78</v>
      </c>
      <c r="H420" s="4">
        <v>0</v>
      </c>
    </row>
    <row r="421" spans="1:8" x14ac:dyDescent="0.2">
      <c r="A421" s="2" t="s">
        <v>47</v>
      </c>
      <c r="B421" s="4">
        <v>69</v>
      </c>
      <c r="C421" s="5">
        <v>8.25</v>
      </c>
      <c r="D421" s="4">
        <v>27</v>
      </c>
      <c r="E421" s="5">
        <v>5.81</v>
      </c>
      <c r="F421" s="4">
        <v>42</v>
      </c>
      <c r="G421" s="5">
        <v>11.51</v>
      </c>
      <c r="H421" s="4">
        <v>0</v>
      </c>
    </row>
    <row r="422" spans="1:8" x14ac:dyDescent="0.2">
      <c r="A422" s="2" t="s">
        <v>48</v>
      </c>
      <c r="B422" s="4">
        <v>3</v>
      </c>
      <c r="C422" s="5">
        <v>0.36</v>
      </c>
      <c r="D422" s="4">
        <v>0</v>
      </c>
      <c r="E422" s="5">
        <v>0</v>
      </c>
      <c r="F422" s="4">
        <v>3</v>
      </c>
      <c r="G422" s="5">
        <v>0.82</v>
      </c>
      <c r="H422" s="4">
        <v>0</v>
      </c>
    </row>
    <row r="423" spans="1:8" x14ac:dyDescent="0.2">
      <c r="A423" s="2" t="s">
        <v>49</v>
      </c>
      <c r="B423" s="4">
        <v>3</v>
      </c>
      <c r="C423" s="5">
        <v>0.36</v>
      </c>
      <c r="D423" s="4">
        <v>1</v>
      </c>
      <c r="E423" s="5">
        <v>0.22</v>
      </c>
      <c r="F423" s="4">
        <v>2</v>
      </c>
      <c r="G423" s="5">
        <v>0.55000000000000004</v>
      </c>
      <c r="H423" s="4">
        <v>0</v>
      </c>
    </row>
    <row r="424" spans="1:8" x14ac:dyDescent="0.2">
      <c r="A424" s="2" t="s">
        <v>50</v>
      </c>
      <c r="B424" s="4">
        <v>11</v>
      </c>
      <c r="C424" s="5">
        <v>1.32</v>
      </c>
      <c r="D424" s="4">
        <v>0</v>
      </c>
      <c r="E424" s="5">
        <v>0</v>
      </c>
      <c r="F424" s="4">
        <v>10</v>
      </c>
      <c r="G424" s="5">
        <v>2.74</v>
      </c>
      <c r="H424" s="4">
        <v>1</v>
      </c>
    </row>
    <row r="425" spans="1:8" x14ac:dyDescent="0.2">
      <c r="A425" s="2" t="s">
        <v>51</v>
      </c>
      <c r="B425" s="4">
        <v>154</v>
      </c>
      <c r="C425" s="5">
        <v>18.420000000000002</v>
      </c>
      <c r="D425" s="4">
        <v>85</v>
      </c>
      <c r="E425" s="5">
        <v>18.28</v>
      </c>
      <c r="F425" s="4">
        <v>68</v>
      </c>
      <c r="G425" s="5">
        <v>18.63</v>
      </c>
      <c r="H425" s="4">
        <v>1</v>
      </c>
    </row>
    <row r="426" spans="1:8" x14ac:dyDescent="0.2">
      <c r="A426" s="2" t="s">
        <v>52</v>
      </c>
      <c r="B426" s="4">
        <v>2</v>
      </c>
      <c r="C426" s="5">
        <v>0.24</v>
      </c>
      <c r="D426" s="4">
        <v>0</v>
      </c>
      <c r="E426" s="5">
        <v>0</v>
      </c>
      <c r="F426" s="4">
        <v>2</v>
      </c>
      <c r="G426" s="5">
        <v>0.55000000000000004</v>
      </c>
      <c r="H426" s="4">
        <v>0</v>
      </c>
    </row>
    <row r="427" spans="1:8" x14ac:dyDescent="0.2">
      <c r="A427" s="2" t="s">
        <v>53</v>
      </c>
      <c r="B427" s="4">
        <v>108</v>
      </c>
      <c r="C427" s="5">
        <v>12.92</v>
      </c>
      <c r="D427" s="4">
        <v>72</v>
      </c>
      <c r="E427" s="5">
        <v>15.48</v>
      </c>
      <c r="F427" s="4">
        <v>36</v>
      </c>
      <c r="G427" s="5">
        <v>9.86</v>
      </c>
      <c r="H427" s="4">
        <v>0</v>
      </c>
    </row>
    <row r="428" spans="1:8" x14ac:dyDescent="0.2">
      <c r="A428" s="2" t="s">
        <v>54</v>
      </c>
      <c r="B428" s="4">
        <v>22</v>
      </c>
      <c r="C428" s="5">
        <v>2.63</v>
      </c>
      <c r="D428" s="4">
        <v>12</v>
      </c>
      <c r="E428" s="5">
        <v>2.58</v>
      </c>
      <c r="F428" s="4">
        <v>10</v>
      </c>
      <c r="G428" s="5">
        <v>2.74</v>
      </c>
      <c r="H428" s="4">
        <v>0</v>
      </c>
    </row>
    <row r="429" spans="1:8" x14ac:dyDescent="0.2">
      <c r="A429" s="2" t="s">
        <v>55</v>
      </c>
      <c r="B429" s="4">
        <v>57</v>
      </c>
      <c r="C429" s="5">
        <v>6.82</v>
      </c>
      <c r="D429" s="4">
        <v>44</v>
      </c>
      <c r="E429" s="5">
        <v>9.4600000000000009</v>
      </c>
      <c r="F429" s="4">
        <v>13</v>
      </c>
      <c r="G429" s="5">
        <v>3.56</v>
      </c>
      <c r="H429" s="4">
        <v>0</v>
      </c>
    </row>
    <row r="430" spans="1:8" x14ac:dyDescent="0.2">
      <c r="A430" s="2" t="s">
        <v>56</v>
      </c>
      <c r="B430" s="4">
        <v>95</v>
      </c>
      <c r="C430" s="5">
        <v>11.36</v>
      </c>
      <c r="D430" s="4">
        <v>82</v>
      </c>
      <c r="E430" s="5">
        <v>17.63</v>
      </c>
      <c r="F430" s="4">
        <v>13</v>
      </c>
      <c r="G430" s="5">
        <v>3.56</v>
      </c>
      <c r="H430" s="4">
        <v>0</v>
      </c>
    </row>
    <row r="431" spans="1:8" x14ac:dyDescent="0.2">
      <c r="A431" s="2" t="s">
        <v>57</v>
      </c>
      <c r="B431" s="4">
        <v>18</v>
      </c>
      <c r="C431" s="5">
        <v>2.15</v>
      </c>
      <c r="D431" s="4">
        <v>11</v>
      </c>
      <c r="E431" s="5">
        <v>2.37</v>
      </c>
      <c r="F431" s="4">
        <v>5</v>
      </c>
      <c r="G431" s="5">
        <v>1.37</v>
      </c>
      <c r="H431" s="4">
        <v>0</v>
      </c>
    </row>
    <row r="432" spans="1:8" x14ac:dyDescent="0.2">
      <c r="A432" s="2" t="s">
        <v>58</v>
      </c>
      <c r="B432" s="4">
        <v>34</v>
      </c>
      <c r="C432" s="5">
        <v>4.07</v>
      </c>
      <c r="D432" s="4">
        <v>14</v>
      </c>
      <c r="E432" s="5">
        <v>3.01</v>
      </c>
      <c r="F432" s="4">
        <v>19</v>
      </c>
      <c r="G432" s="5">
        <v>5.21</v>
      </c>
      <c r="H432" s="4">
        <v>0</v>
      </c>
    </row>
    <row r="433" spans="1:8" x14ac:dyDescent="0.2">
      <c r="A433" s="2" t="s">
        <v>59</v>
      </c>
      <c r="B433" s="4">
        <v>61</v>
      </c>
      <c r="C433" s="5">
        <v>7.3</v>
      </c>
      <c r="D433" s="4">
        <v>34</v>
      </c>
      <c r="E433" s="5">
        <v>7.31</v>
      </c>
      <c r="F433" s="4">
        <v>26</v>
      </c>
      <c r="G433" s="5">
        <v>7.12</v>
      </c>
      <c r="H433" s="4">
        <v>0</v>
      </c>
    </row>
    <row r="434" spans="1:8" x14ac:dyDescent="0.2">
      <c r="A434" s="1" t="s">
        <v>27</v>
      </c>
      <c r="B434" s="4">
        <v>1292</v>
      </c>
      <c r="C434" s="5">
        <v>99.999999999999972</v>
      </c>
      <c r="D434" s="4">
        <v>775</v>
      </c>
      <c r="E434" s="5">
        <v>100</v>
      </c>
      <c r="F434" s="4">
        <v>508</v>
      </c>
      <c r="G434" s="5">
        <v>99.990000000000009</v>
      </c>
      <c r="H434" s="4">
        <v>0</v>
      </c>
    </row>
    <row r="435" spans="1:8" x14ac:dyDescent="0.2">
      <c r="A435" s="2" t="s">
        <v>45</v>
      </c>
      <c r="B435" s="4">
        <v>1</v>
      </c>
      <c r="C435" s="5">
        <v>0.08</v>
      </c>
      <c r="D435" s="4">
        <v>1</v>
      </c>
      <c r="E435" s="5">
        <v>0.13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46</v>
      </c>
      <c r="B436" s="4">
        <v>235</v>
      </c>
      <c r="C436" s="5">
        <v>18.190000000000001</v>
      </c>
      <c r="D436" s="4">
        <v>125</v>
      </c>
      <c r="E436" s="5">
        <v>16.13</v>
      </c>
      <c r="F436" s="4">
        <v>110</v>
      </c>
      <c r="G436" s="5">
        <v>21.65</v>
      </c>
      <c r="H436" s="4">
        <v>0</v>
      </c>
    </row>
    <row r="437" spans="1:8" x14ac:dyDescent="0.2">
      <c r="A437" s="2" t="s">
        <v>47</v>
      </c>
      <c r="B437" s="4">
        <v>337</v>
      </c>
      <c r="C437" s="5">
        <v>26.08</v>
      </c>
      <c r="D437" s="4">
        <v>162</v>
      </c>
      <c r="E437" s="5">
        <v>20.9</v>
      </c>
      <c r="F437" s="4">
        <v>175</v>
      </c>
      <c r="G437" s="5">
        <v>34.450000000000003</v>
      </c>
      <c r="H437" s="4">
        <v>0</v>
      </c>
    </row>
    <row r="438" spans="1:8" x14ac:dyDescent="0.2">
      <c r="A438" s="2" t="s">
        <v>48</v>
      </c>
      <c r="B438" s="4">
        <v>3</v>
      </c>
      <c r="C438" s="5">
        <v>0.23</v>
      </c>
      <c r="D438" s="4">
        <v>0</v>
      </c>
      <c r="E438" s="5">
        <v>0</v>
      </c>
      <c r="F438" s="4">
        <v>3</v>
      </c>
      <c r="G438" s="5">
        <v>0.59</v>
      </c>
      <c r="H438" s="4">
        <v>0</v>
      </c>
    </row>
    <row r="439" spans="1:8" x14ac:dyDescent="0.2">
      <c r="A439" s="2" t="s">
        <v>49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50</v>
      </c>
      <c r="B440" s="4">
        <v>9</v>
      </c>
      <c r="C440" s="5">
        <v>0.7</v>
      </c>
      <c r="D440" s="4">
        <v>1</v>
      </c>
      <c r="E440" s="5">
        <v>0.13</v>
      </c>
      <c r="F440" s="4">
        <v>8</v>
      </c>
      <c r="G440" s="5">
        <v>1.57</v>
      </c>
      <c r="H440" s="4">
        <v>0</v>
      </c>
    </row>
    <row r="441" spans="1:8" x14ac:dyDescent="0.2">
      <c r="A441" s="2" t="s">
        <v>51</v>
      </c>
      <c r="B441" s="4">
        <v>315</v>
      </c>
      <c r="C441" s="5">
        <v>24.38</v>
      </c>
      <c r="D441" s="4">
        <v>186</v>
      </c>
      <c r="E441" s="5">
        <v>24</v>
      </c>
      <c r="F441" s="4">
        <v>129</v>
      </c>
      <c r="G441" s="5">
        <v>25.39</v>
      </c>
      <c r="H441" s="4">
        <v>0</v>
      </c>
    </row>
    <row r="442" spans="1:8" x14ac:dyDescent="0.2">
      <c r="A442" s="2" t="s">
        <v>52</v>
      </c>
      <c r="B442" s="4">
        <v>1</v>
      </c>
      <c r="C442" s="5">
        <v>0.08</v>
      </c>
      <c r="D442" s="4">
        <v>1</v>
      </c>
      <c r="E442" s="5">
        <v>0.13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53</v>
      </c>
      <c r="B443" s="4">
        <v>30</v>
      </c>
      <c r="C443" s="5">
        <v>2.3199999999999998</v>
      </c>
      <c r="D443" s="4">
        <v>10</v>
      </c>
      <c r="E443" s="5">
        <v>1.29</v>
      </c>
      <c r="F443" s="4">
        <v>20</v>
      </c>
      <c r="G443" s="5">
        <v>3.94</v>
      </c>
      <c r="H443" s="4">
        <v>0</v>
      </c>
    </row>
    <row r="444" spans="1:8" x14ac:dyDescent="0.2">
      <c r="A444" s="2" t="s">
        <v>54</v>
      </c>
      <c r="B444" s="4">
        <v>42</v>
      </c>
      <c r="C444" s="5">
        <v>3.25</v>
      </c>
      <c r="D444" s="4">
        <v>25</v>
      </c>
      <c r="E444" s="5">
        <v>3.23</v>
      </c>
      <c r="F444" s="4">
        <v>16</v>
      </c>
      <c r="G444" s="5">
        <v>3.15</v>
      </c>
      <c r="H444" s="4">
        <v>0</v>
      </c>
    </row>
    <row r="445" spans="1:8" x14ac:dyDescent="0.2">
      <c r="A445" s="2" t="s">
        <v>55</v>
      </c>
      <c r="B445" s="4">
        <v>85</v>
      </c>
      <c r="C445" s="5">
        <v>6.58</v>
      </c>
      <c r="D445" s="4">
        <v>79</v>
      </c>
      <c r="E445" s="5">
        <v>10.19</v>
      </c>
      <c r="F445" s="4">
        <v>5</v>
      </c>
      <c r="G445" s="5">
        <v>0.98</v>
      </c>
      <c r="H445" s="4">
        <v>0</v>
      </c>
    </row>
    <row r="446" spans="1:8" x14ac:dyDescent="0.2">
      <c r="A446" s="2" t="s">
        <v>56</v>
      </c>
      <c r="B446" s="4">
        <v>124</v>
      </c>
      <c r="C446" s="5">
        <v>9.6</v>
      </c>
      <c r="D446" s="4">
        <v>112</v>
      </c>
      <c r="E446" s="5">
        <v>14.45</v>
      </c>
      <c r="F446" s="4">
        <v>12</v>
      </c>
      <c r="G446" s="5">
        <v>2.36</v>
      </c>
      <c r="H446" s="4">
        <v>0</v>
      </c>
    </row>
    <row r="447" spans="1:8" x14ac:dyDescent="0.2">
      <c r="A447" s="2" t="s">
        <v>57</v>
      </c>
      <c r="B447" s="4">
        <v>15</v>
      </c>
      <c r="C447" s="5">
        <v>1.1599999999999999</v>
      </c>
      <c r="D447" s="4">
        <v>11</v>
      </c>
      <c r="E447" s="5">
        <v>1.42</v>
      </c>
      <c r="F447" s="4">
        <v>4</v>
      </c>
      <c r="G447" s="5">
        <v>0.79</v>
      </c>
      <c r="H447" s="4">
        <v>0</v>
      </c>
    </row>
    <row r="448" spans="1:8" x14ac:dyDescent="0.2">
      <c r="A448" s="2" t="s">
        <v>58</v>
      </c>
      <c r="B448" s="4">
        <v>41</v>
      </c>
      <c r="C448" s="5">
        <v>3.17</v>
      </c>
      <c r="D448" s="4">
        <v>26</v>
      </c>
      <c r="E448" s="5">
        <v>3.35</v>
      </c>
      <c r="F448" s="4">
        <v>9</v>
      </c>
      <c r="G448" s="5">
        <v>1.77</v>
      </c>
      <c r="H448" s="4">
        <v>0</v>
      </c>
    </row>
    <row r="449" spans="1:8" x14ac:dyDescent="0.2">
      <c r="A449" s="2" t="s">
        <v>59</v>
      </c>
      <c r="B449" s="4">
        <v>54</v>
      </c>
      <c r="C449" s="5">
        <v>4.18</v>
      </c>
      <c r="D449" s="4">
        <v>36</v>
      </c>
      <c r="E449" s="5">
        <v>4.6500000000000004</v>
      </c>
      <c r="F449" s="4">
        <v>17</v>
      </c>
      <c r="G449" s="5">
        <v>3.35</v>
      </c>
      <c r="H449" s="4">
        <v>0</v>
      </c>
    </row>
    <row r="450" spans="1:8" x14ac:dyDescent="0.2">
      <c r="A450" s="1" t="s">
        <v>28</v>
      </c>
      <c r="B450" s="4">
        <v>2271</v>
      </c>
      <c r="C450" s="5">
        <v>100.00000000000001</v>
      </c>
      <c r="D450" s="4">
        <v>1144</v>
      </c>
      <c r="E450" s="5">
        <v>100.02</v>
      </c>
      <c r="F450" s="4">
        <v>1110</v>
      </c>
      <c r="G450" s="5">
        <v>99.999999999999986</v>
      </c>
      <c r="H450" s="4">
        <v>1</v>
      </c>
    </row>
    <row r="451" spans="1:8" x14ac:dyDescent="0.2">
      <c r="A451" s="2" t="s">
        <v>45</v>
      </c>
      <c r="B451" s="4">
        <v>4</v>
      </c>
      <c r="C451" s="5">
        <v>0.18</v>
      </c>
      <c r="D451" s="4">
        <v>0</v>
      </c>
      <c r="E451" s="5">
        <v>0</v>
      </c>
      <c r="F451" s="4">
        <v>4</v>
      </c>
      <c r="G451" s="5">
        <v>0.36</v>
      </c>
      <c r="H451" s="4">
        <v>0</v>
      </c>
    </row>
    <row r="452" spans="1:8" x14ac:dyDescent="0.2">
      <c r="A452" s="2" t="s">
        <v>46</v>
      </c>
      <c r="B452" s="4">
        <v>495</v>
      </c>
      <c r="C452" s="5">
        <v>21.8</v>
      </c>
      <c r="D452" s="4">
        <v>107</v>
      </c>
      <c r="E452" s="5">
        <v>9.35</v>
      </c>
      <c r="F452" s="4">
        <v>388</v>
      </c>
      <c r="G452" s="5">
        <v>34.950000000000003</v>
      </c>
      <c r="H452" s="4">
        <v>0</v>
      </c>
    </row>
    <row r="453" spans="1:8" x14ac:dyDescent="0.2">
      <c r="A453" s="2" t="s">
        <v>47</v>
      </c>
      <c r="B453" s="4">
        <v>121</v>
      </c>
      <c r="C453" s="5">
        <v>5.33</v>
      </c>
      <c r="D453" s="4">
        <v>40</v>
      </c>
      <c r="E453" s="5">
        <v>3.5</v>
      </c>
      <c r="F453" s="4">
        <v>81</v>
      </c>
      <c r="G453" s="5">
        <v>7.3</v>
      </c>
      <c r="H453" s="4">
        <v>0</v>
      </c>
    </row>
    <row r="454" spans="1:8" x14ac:dyDescent="0.2">
      <c r="A454" s="2" t="s">
        <v>48</v>
      </c>
      <c r="B454" s="4">
        <v>16</v>
      </c>
      <c r="C454" s="5">
        <v>0.7</v>
      </c>
      <c r="D454" s="4">
        <v>0</v>
      </c>
      <c r="E454" s="5">
        <v>0</v>
      </c>
      <c r="F454" s="4">
        <v>16</v>
      </c>
      <c r="G454" s="5">
        <v>1.44</v>
      </c>
      <c r="H454" s="4">
        <v>0</v>
      </c>
    </row>
    <row r="455" spans="1:8" x14ac:dyDescent="0.2">
      <c r="A455" s="2" t="s">
        <v>49</v>
      </c>
      <c r="B455" s="4">
        <v>10</v>
      </c>
      <c r="C455" s="5">
        <v>0.44</v>
      </c>
      <c r="D455" s="4">
        <v>1</v>
      </c>
      <c r="E455" s="5">
        <v>0.09</v>
      </c>
      <c r="F455" s="4">
        <v>9</v>
      </c>
      <c r="G455" s="5">
        <v>0.81</v>
      </c>
      <c r="H455" s="4">
        <v>0</v>
      </c>
    </row>
    <row r="456" spans="1:8" x14ac:dyDescent="0.2">
      <c r="A456" s="2" t="s">
        <v>50</v>
      </c>
      <c r="B456" s="4">
        <v>80</v>
      </c>
      <c r="C456" s="5">
        <v>3.52</v>
      </c>
      <c r="D456" s="4">
        <v>9</v>
      </c>
      <c r="E456" s="5">
        <v>0.79</v>
      </c>
      <c r="F456" s="4">
        <v>71</v>
      </c>
      <c r="G456" s="5">
        <v>6.4</v>
      </c>
      <c r="H456" s="4">
        <v>0</v>
      </c>
    </row>
    <row r="457" spans="1:8" x14ac:dyDescent="0.2">
      <c r="A457" s="2" t="s">
        <v>51</v>
      </c>
      <c r="B457" s="4">
        <v>403</v>
      </c>
      <c r="C457" s="5">
        <v>17.75</v>
      </c>
      <c r="D457" s="4">
        <v>199</v>
      </c>
      <c r="E457" s="5">
        <v>17.399999999999999</v>
      </c>
      <c r="F457" s="4">
        <v>203</v>
      </c>
      <c r="G457" s="5">
        <v>18.29</v>
      </c>
      <c r="H457" s="4">
        <v>1</v>
      </c>
    </row>
    <row r="458" spans="1:8" x14ac:dyDescent="0.2">
      <c r="A458" s="2" t="s">
        <v>52</v>
      </c>
      <c r="B458" s="4">
        <v>11</v>
      </c>
      <c r="C458" s="5">
        <v>0.48</v>
      </c>
      <c r="D458" s="4">
        <v>5</v>
      </c>
      <c r="E458" s="5">
        <v>0.44</v>
      </c>
      <c r="F458" s="4">
        <v>6</v>
      </c>
      <c r="G458" s="5">
        <v>0.54</v>
      </c>
      <c r="H458" s="4">
        <v>0</v>
      </c>
    </row>
    <row r="459" spans="1:8" x14ac:dyDescent="0.2">
      <c r="A459" s="2" t="s">
        <v>53</v>
      </c>
      <c r="B459" s="4">
        <v>257</v>
      </c>
      <c r="C459" s="5">
        <v>11.32</v>
      </c>
      <c r="D459" s="4">
        <v>156</v>
      </c>
      <c r="E459" s="5">
        <v>13.64</v>
      </c>
      <c r="F459" s="4">
        <v>101</v>
      </c>
      <c r="G459" s="5">
        <v>9.1</v>
      </c>
      <c r="H459" s="4">
        <v>0</v>
      </c>
    </row>
    <row r="460" spans="1:8" x14ac:dyDescent="0.2">
      <c r="A460" s="2" t="s">
        <v>54</v>
      </c>
      <c r="B460" s="4">
        <v>67</v>
      </c>
      <c r="C460" s="5">
        <v>2.95</v>
      </c>
      <c r="D460" s="4">
        <v>29</v>
      </c>
      <c r="E460" s="5">
        <v>2.5299999999999998</v>
      </c>
      <c r="F460" s="4">
        <v>37</v>
      </c>
      <c r="G460" s="5">
        <v>3.33</v>
      </c>
      <c r="H460" s="4">
        <v>0</v>
      </c>
    </row>
    <row r="461" spans="1:8" x14ac:dyDescent="0.2">
      <c r="A461" s="2" t="s">
        <v>55</v>
      </c>
      <c r="B461" s="4">
        <v>283</v>
      </c>
      <c r="C461" s="5">
        <v>12.46</v>
      </c>
      <c r="D461" s="4">
        <v>226</v>
      </c>
      <c r="E461" s="5">
        <v>19.760000000000002</v>
      </c>
      <c r="F461" s="4">
        <v>56</v>
      </c>
      <c r="G461" s="5">
        <v>5.05</v>
      </c>
      <c r="H461" s="4">
        <v>0</v>
      </c>
    </row>
    <row r="462" spans="1:8" x14ac:dyDescent="0.2">
      <c r="A462" s="2" t="s">
        <v>56</v>
      </c>
      <c r="B462" s="4">
        <v>287</v>
      </c>
      <c r="C462" s="5">
        <v>12.64</v>
      </c>
      <c r="D462" s="4">
        <v>237</v>
      </c>
      <c r="E462" s="5">
        <v>20.72</v>
      </c>
      <c r="F462" s="4">
        <v>48</v>
      </c>
      <c r="G462" s="5">
        <v>4.32</v>
      </c>
      <c r="H462" s="4">
        <v>0</v>
      </c>
    </row>
    <row r="463" spans="1:8" x14ac:dyDescent="0.2">
      <c r="A463" s="2" t="s">
        <v>57</v>
      </c>
      <c r="B463" s="4">
        <v>62</v>
      </c>
      <c r="C463" s="5">
        <v>2.73</v>
      </c>
      <c r="D463" s="4">
        <v>41</v>
      </c>
      <c r="E463" s="5">
        <v>3.58</v>
      </c>
      <c r="F463" s="4">
        <v>18</v>
      </c>
      <c r="G463" s="5">
        <v>1.62</v>
      </c>
      <c r="H463" s="4">
        <v>0</v>
      </c>
    </row>
    <row r="464" spans="1:8" x14ac:dyDescent="0.2">
      <c r="A464" s="2" t="s">
        <v>58</v>
      </c>
      <c r="B464" s="4">
        <v>65</v>
      </c>
      <c r="C464" s="5">
        <v>2.86</v>
      </c>
      <c r="D464" s="4">
        <v>46</v>
      </c>
      <c r="E464" s="5">
        <v>4.0199999999999996</v>
      </c>
      <c r="F464" s="4">
        <v>16</v>
      </c>
      <c r="G464" s="5">
        <v>1.44</v>
      </c>
      <c r="H464" s="4">
        <v>0</v>
      </c>
    </row>
    <row r="465" spans="1:8" x14ac:dyDescent="0.2">
      <c r="A465" s="2" t="s">
        <v>59</v>
      </c>
      <c r="B465" s="4">
        <v>110</v>
      </c>
      <c r="C465" s="5">
        <v>4.84</v>
      </c>
      <c r="D465" s="4">
        <v>48</v>
      </c>
      <c r="E465" s="5">
        <v>4.2</v>
      </c>
      <c r="F465" s="4">
        <v>56</v>
      </c>
      <c r="G465" s="5">
        <v>5.05</v>
      </c>
      <c r="H465" s="4">
        <v>0</v>
      </c>
    </row>
    <row r="466" spans="1:8" x14ac:dyDescent="0.2">
      <c r="A466" s="1" t="s">
        <v>29</v>
      </c>
      <c r="B466" s="4">
        <v>946</v>
      </c>
      <c r="C466" s="5">
        <v>100.02</v>
      </c>
      <c r="D466" s="4">
        <v>657</v>
      </c>
      <c r="E466" s="5">
        <v>99.99</v>
      </c>
      <c r="F466" s="4">
        <v>282</v>
      </c>
      <c r="G466" s="5">
        <v>99.999999999999986</v>
      </c>
      <c r="H466" s="4">
        <v>1</v>
      </c>
    </row>
    <row r="467" spans="1:8" x14ac:dyDescent="0.2">
      <c r="A467" s="2" t="s">
        <v>45</v>
      </c>
      <c r="B467" s="4">
        <v>3</v>
      </c>
      <c r="C467" s="5">
        <v>0.32</v>
      </c>
      <c r="D467" s="4">
        <v>1</v>
      </c>
      <c r="E467" s="5">
        <v>0.15</v>
      </c>
      <c r="F467" s="4">
        <v>2</v>
      </c>
      <c r="G467" s="5">
        <v>0.71</v>
      </c>
      <c r="H467" s="4">
        <v>0</v>
      </c>
    </row>
    <row r="468" spans="1:8" x14ac:dyDescent="0.2">
      <c r="A468" s="2" t="s">
        <v>46</v>
      </c>
      <c r="B468" s="4">
        <v>249</v>
      </c>
      <c r="C468" s="5">
        <v>26.32</v>
      </c>
      <c r="D468" s="4">
        <v>160</v>
      </c>
      <c r="E468" s="5">
        <v>24.35</v>
      </c>
      <c r="F468" s="4">
        <v>89</v>
      </c>
      <c r="G468" s="5">
        <v>31.56</v>
      </c>
      <c r="H468" s="4">
        <v>0</v>
      </c>
    </row>
    <row r="469" spans="1:8" x14ac:dyDescent="0.2">
      <c r="A469" s="2" t="s">
        <v>47</v>
      </c>
      <c r="B469" s="4">
        <v>112</v>
      </c>
      <c r="C469" s="5">
        <v>11.84</v>
      </c>
      <c r="D469" s="4">
        <v>69</v>
      </c>
      <c r="E469" s="5">
        <v>10.5</v>
      </c>
      <c r="F469" s="4">
        <v>43</v>
      </c>
      <c r="G469" s="5">
        <v>15.25</v>
      </c>
      <c r="H469" s="4">
        <v>0</v>
      </c>
    </row>
    <row r="470" spans="1:8" x14ac:dyDescent="0.2">
      <c r="A470" s="2" t="s">
        <v>48</v>
      </c>
      <c r="B470" s="4">
        <v>1</v>
      </c>
      <c r="C470" s="5">
        <v>0.11</v>
      </c>
      <c r="D470" s="4">
        <v>0</v>
      </c>
      <c r="E470" s="5">
        <v>0</v>
      </c>
      <c r="F470" s="4">
        <v>1</v>
      </c>
      <c r="G470" s="5">
        <v>0.35</v>
      </c>
      <c r="H470" s="4">
        <v>0</v>
      </c>
    </row>
    <row r="471" spans="1:8" x14ac:dyDescent="0.2">
      <c r="A471" s="2" t="s">
        <v>49</v>
      </c>
      <c r="B471" s="4">
        <v>1</v>
      </c>
      <c r="C471" s="5">
        <v>0.11</v>
      </c>
      <c r="D471" s="4">
        <v>0</v>
      </c>
      <c r="E471" s="5">
        <v>0</v>
      </c>
      <c r="F471" s="4">
        <v>1</v>
      </c>
      <c r="G471" s="5">
        <v>0.35</v>
      </c>
      <c r="H471" s="4">
        <v>0</v>
      </c>
    </row>
    <row r="472" spans="1:8" x14ac:dyDescent="0.2">
      <c r="A472" s="2" t="s">
        <v>50</v>
      </c>
      <c r="B472" s="4">
        <v>16</v>
      </c>
      <c r="C472" s="5">
        <v>1.69</v>
      </c>
      <c r="D472" s="4">
        <v>1</v>
      </c>
      <c r="E472" s="5">
        <v>0.15</v>
      </c>
      <c r="F472" s="4">
        <v>15</v>
      </c>
      <c r="G472" s="5">
        <v>5.32</v>
      </c>
      <c r="H472" s="4">
        <v>0</v>
      </c>
    </row>
    <row r="473" spans="1:8" x14ac:dyDescent="0.2">
      <c r="A473" s="2" t="s">
        <v>51</v>
      </c>
      <c r="B473" s="4">
        <v>248</v>
      </c>
      <c r="C473" s="5">
        <v>26.22</v>
      </c>
      <c r="D473" s="4">
        <v>178</v>
      </c>
      <c r="E473" s="5">
        <v>27.09</v>
      </c>
      <c r="F473" s="4">
        <v>69</v>
      </c>
      <c r="G473" s="5">
        <v>24.47</v>
      </c>
      <c r="H473" s="4">
        <v>1</v>
      </c>
    </row>
    <row r="474" spans="1:8" x14ac:dyDescent="0.2">
      <c r="A474" s="2" t="s">
        <v>52</v>
      </c>
      <c r="B474" s="4">
        <v>5</v>
      </c>
      <c r="C474" s="5">
        <v>0.53</v>
      </c>
      <c r="D474" s="4">
        <v>1</v>
      </c>
      <c r="E474" s="5">
        <v>0.15</v>
      </c>
      <c r="F474" s="4">
        <v>4</v>
      </c>
      <c r="G474" s="5">
        <v>1.42</v>
      </c>
      <c r="H474" s="4">
        <v>0</v>
      </c>
    </row>
    <row r="475" spans="1:8" x14ac:dyDescent="0.2">
      <c r="A475" s="2" t="s">
        <v>53</v>
      </c>
      <c r="B475" s="4">
        <v>19</v>
      </c>
      <c r="C475" s="5">
        <v>2.0099999999999998</v>
      </c>
      <c r="D475" s="4">
        <v>9</v>
      </c>
      <c r="E475" s="5">
        <v>1.37</v>
      </c>
      <c r="F475" s="4">
        <v>10</v>
      </c>
      <c r="G475" s="5">
        <v>3.55</v>
      </c>
      <c r="H475" s="4">
        <v>0</v>
      </c>
    </row>
    <row r="476" spans="1:8" x14ac:dyDescent="0.2">
      <c r="A476" s="2" t="s">
        <v>54</v>
      </c>
      <c r="B476" s="4">
        <v>25</v>
      </c>
      <c r="C476" s="5">
        <v>2.64</v>
      </c>
      <c r="D476" s="4">
        <v>17</v>
      </c>
      <c r="E476" s="5">
        <v>2.59</v>
      </c>
      <c r="F476" s="4">
        <v>6</v>
      </c>
      <c r="G476" s="5">
        <v>2.13</v>
      </c>
      <c r="H476" s="4">
        <v>0</v>
      </c>
    </row>
    <row r="477" spans="1:8" x14ac:dyDescent="0.2">
      <c r="A477" s="2" t="s">
        <v>55</v>
      </c>
      <c r="B477" s="4">
        <v>63</v>
      </c>
      <c r="C477" s="5">
        <v>6.66</v>
      </c>
      <c r="D477" s="4">
        <v>56</v>
      </c>
      <c r="E477" s="5">
        <v>8.52</v>
      </c>
      <c r="F477" s="4">
        <v>5</v>
      </c>
      <c r="G477" s="5">
        <v>1.77</v>
      </c>
      <c r="H477" s="4">
        <v>0</v>
      </c>
    </row>
    <row r="478" spans="1:8" x14ac:dyDescent="0.2">
      <c r="A478" s="2" t="s">
        <v>56</v>
      </c>
      <c r="B478" s="4">
        <v>101</v>
      </c>
      <c r="C478" s="5">
        <v>10.68</v>
      </c>
      <c r="D478" s="4">
        <v>90</v>
      </c>
      <c r="E478" s="5">
        <v>13.7</v>
      </c>
      <c r="F478" s="4">
        <v>11</v>
      </c>
      <c r="G478" s="5">
        <v>3.9</v>
      </c>
      <c r="H478" s="4">
        <v>0</v>
      </c>
    </row>
    <row r="479" spans="1:8" x14ac:dyDescent="0.2">
      <c r="A479" s="2" t="s">
        <v>57</v>
      </c>
      <c r="B479" s="4">
        <v>15</v>
      </c>
      <c r="C479" s="5">
        <v>1.59</v>
      </c>
      <c r="D479" s="4">
        <v>12</v>
      </c>
      <c r="E479" s="5">
        <v>1.83</v>
      </c>
      <c r="F479" s="4">
        <v>1</v>
      </c>
      <c r="G479" s="5">
        <v>0.35</v>
      </c>
      <c r="H479" s="4">
        <v>0</v>
      </c>
    </row>
    <row r="480" spans="1:8" x14ac:dyDescent="0.2">
      <c r="A480" s="2" t="s">
        <v>58</v>
      </c>
      <c r="B480" s="4">
        <v>32</v>
      </c>
      <c r="C480" s="5">
        <v>3.38</v>
      </c>
      <c r="D480" s="4">
        <v>19</v>
      </c>
      <c r="E480" s="5">
        <v>2.89</v>
      </c>
      <c r="F480" s="4">
        <v>13</v>
      </c>
      <c r="G480" s="5">
        <v>4.6100000000000003</v>
      </c>
      <c r="H480" s="4">
        <v>0</v>
      </c>
    </row>
    <row r="481" spans="1:8" x14ac:dyDescent="0.2">
      <c r="A481" s="2" t="s">
        <v>59</v>
      </c>
      <c r="B481" s="4">
        <v>56</v>
      </c>
      <c r="C481" s="5">
        <v>5.92</v>
      </c>
      <c r="D481" s="4">
        <v>44</v>
      </c>
      <c r="E481" s="5">
        <v>6.7</v>
      </c>
      <c r="F481" s="4">
        <v>12</v>
      </c>
      <c r="G481" s="5">
        <v>4.26</v>
      </c>
      <c r="H481" s="4">
        <v>0</v>
      </c>
    </row>
    <row r="482" spans="1:8" x14ac:dyDescent="0.2">
      <c r="A482" s="1" t="s">
        <v>30</v>
      </c>
      <c r="B482" s="4">
        <v>1030</v>
      </c>
      <c r="C482" s="5">
        <v>99.990000000000009</v>
      </c>
      <c r="D482" s="4">
        <v>686</v>
      </c>
      <c r="E482" s="5">
        <v>99.999999999999986</v>
      </c>
      <c r="F482" s="4">
        <v>334</v>
      </c>
      <c r="G482" s="5">
        <v>100.00000000000001</v>
      </c>
      <c r="H482" s="4">
        <v>1</v>
      </c>
    </row>
    <row r="483" spans="1:8" x14ac:dyDescent="0.2">
      <c r="A483" s="2" t="s">
        <v>45</v>
      </c>
      <c r="B483" s="4">
        <v>2</v>
      </c>
      <c r="C483" s="5">
        <v>0.19</v>
      </c>
      <c r="D483" s="4">
        <v>1</v>
      </c>
      <c r="E483" s="5">
        <v>0.15</v>
      </c>
      <c r="F483" s="4">
        <v>1</v>
      </c>
      <c r="G483" s="5">
        <v>0.3</v>
      </c>
      <c r="H483" s="4">
        <v>0</v>
      </c>
    </row>
    <row r="484" spans="1:8" x14ac:dyDescent="0.2">
      <c r="A484" s="2" t="s">
        <v>46</v>
      </c>
      <c r="B484" s="4">
        <v>241</v>
      </c>
      <c r="C484" s="5">
        <v>23.4</v>
      </c>
      <c r="D484" s="4">
        <v>148</v>
      </c>
      <c r="E484" s="5">
        <v>21.57</v>
      </c>
      <c r="F484" s="4">
        <v>93</v>
      </c>
      <c r="G484" s="5">
        <v>27.84</v>
      </c>
      <c r="H484" s="4">
        <v>0</v>
      </c>
    </row>
    <row r="485" spans="1:8" x14ac:dyDescent="0.2">
      <c r="A485" s="2" t="s">
        <v>47</v>
      </c>
      <c r="B485" s="4">
        <v>74</v>
      </c>
      <c r="C485" s="5">
        <v>7.18</v>
      </c>
      <c r="D485" s="4">
        <v>38</v>
      </c>
      <c r="E485" s="5">
        <v>5.54</v>
      </c>
      <c r="F485" s="4">
        <v>36</v>
      </c>
      <c r="G485" s="5">
        <v>10.78</v>
      </c>
      <c r="H485" s="4">
        <v>0</v>
      </c>
    </row>
    <row r="486" spans="1:8" x14ac:dyDescent="0.2">
      <c r="A486" s="2" t="s">
        <v>48</v>
      </c>
      <c r="B486" s="4">
        <v>3</v>
      </c>
      <c r="C486" s="5">
        <v>0.28999999999999998</v>
      </c>
      <c r="D486" s="4">
        <v>0</v>
      </c>
      <c r="E486" s="5">
        <v>0</v>
      </c>
      <c r="F486" s="4">
        <v>3</v>
      </c>
      <c r="G486" s="5">
        <v>0.9</v>
      </c>
      <c r="H486" s="4">
        <v>0</v>
      </c>
    </row>
    <row r="487" spans="1:8" x14ac:dyDescent="0.2">
      <c r="A487" s="2" t="s">
        <v>49</v>
      </c>
      <c r="B487" s="4">
        <v>3</v>
      </c>
      <c r="C487" s="5">
        <v>0.28999999999999998</v>
      </c>
      <c r="D487" s="4">
        <v>0</v>
      </c>
      <c r="E487" s="5">
        <v>0</v>
      </c>
      <c r="F487" s="4">
        <v>3</v>
      </c>
      <c r="G487" s="5">
        <v>0.9</v>
      </c>
      <c r="H487" s="4">
        <v>0</v>
      </c>
    </row>
    <row r="488" spans="1:8" x14ac:dyDescent="0.2">
      <c r="A488" s="2" t="s">
        <v>50</v>
      </c>
      <c r="B488" s="4">
        <v>10</v>
      </c>
      <c r="C488" s="5">
        <v>0.97</v>
      </c>
      <c r="D488" s="4">
        <v>1</v>
      </c>
      <c r="E488" s="5">
        <v>0.15</v>
      </c>
      <c r="F488" s="4">
        <v>9</v>
      </c>
      <c r="G488" s="5">
        <v>2.69</v>
      </c>
      <c r="H488" s="4">
        <v>0</v>
      </c>
    </row>
    <row r="489" spans="1:8" x14ac:dyDescent="0.2">
      <c r="A489" s="2" t="s">
        <v>51</v>
      </c>
      <c r="B489" s="4">
        <v>257</v>
      </c>
      <c r="C489" s="5">
        <v>24.95</v>
      </c>
      <c r="D489" s="4">
        <v>169</v>
      </c>
      <c r="E489" s="5">
        <v>24.64</v>
      </c>
      <c r="F489" s="4">
        <v>88</v>
      </c>
      <c r="G489" s="5">
        <v>26.35</v>
      </c>
      <c r="H489" s="4">
        <v>0</v>
      </c>
    </row>
    <row r="490" spans="1:8" x14ac:dyDescent="0.2">
      <c r="A490" s="2" t="s">
        <v>52</v>
      </c>
      <c r="B490" s="4">
        <v>4</v>
      </c>
      <c r="C490" s="5">
        <v>0.39</v>
      </c>
      <c r="D490" s="4">
        <v>1</v>
      </c>
      <c r="E490" s="5">
        <v>0.15</v>
      </c>
      <c r="F490" s="4">
        <v>3</v>
      </c>
      <c r="G490" s="5">
        <v>0.9</v>
      </c>
      <c r="H490" s="4">
        <v>0</v>
      </c>
    </row>
    <row r="491" spans="1:8" x14ac:dyDescent="0.2">
      <c r="A491" s="2" t="s">
        <v>53</v>
      </c>
      <c r="B491" s="4">
        <v>51</v>
      </c>
      <c r="C491" s="5">
        <v>4.95</v>
      </c>
      <c r="D491" s="4">
        <v>25</v>
      </c>
      <c r="E491" s="5">
        <v>3.64</v>
      </c>
      <c r="F491" s="4">
        <v>26</v>
      </c>
      <c r="G491" s="5">
        <v>7.78</v>
      </c>
      <c r="H491" s="4">
        <v>0</v>
      </c>
    </row>
    <row r="492" spans="1:8" x14ac:dyDescent="0.2">
      <c r="A492" s="2" t="s">
        <v>54</v>
      </c>
      <c r="B492" s="4">
        <v>37</v>
      </c>
      <c r="C492" s="5">
        <v>3.59</v>
      </c>
      <c r="D492" s="4">
        <v>23</v>
      </c>
      <c r="E492" s="5">
        <v>3.35</v>
      </c>
      <c r="F492" s="4">
        <v>12</v>
      </c>
      <c r="G492" s="5">
        <v>3.59</v>
      </c>
      <c r="H492" s="4">
        <v>0</v>
      </c>
    </row>
    <row r="493" spans="1:8" x14ac:dyDescent="0.2">
      <c r="A493" s="2" t="s">
        <v>55</v>
      </c>
      <c r="B493" s="4">
        <v>87</v>
      </c>
      <c r="C493" s="5">
        <v>8.4499999999999993</v>
      </c>
      <c r="D493" s="4">
        <v>80</v>
      </c>
      <c r="E493" s="5">
        <v>11.66</v>
      </c>
      <c r="F493" s="4">
        <v>6</v>
      </c>
      <c r="G493" s="5">
        <v>1.8</v>
      </c>
      <c r="H493" s="4">
        <v>0</v>
      </c>
    </row>
    <row r="494" spans="1:8" x14ac:dyDescent="0.2">
      <c r="A494" s="2" t="s">
        <v>56</v>
      </c>
      <c r="B494" s="4">
        <v>147</v>
      </c>
      <c r="C494" s="5">
        <v>14.27</v>
      </c>
      <c r="D494" s="4">
        <v>127</v>
      </c>
      <c r="E494" s="5">
        <v>18.510000000000002</v>
      </c>
      <c r="F494" s="4">
        <v>16</v>
      </c>
      <c r="G494" s="5">
        <v>4.79</v>
      </c>
      <c r="H494" s="4">
        <v>0</v>
      </c>
    </row>
    <row r="495" spans="1:8" x14ac:dyDescent="0.2">
      <c r="A495" s="2" t="s">
        <v>57</v>
      </c>
      <c r="B495" s="4">
        <v>21</v>
      </c>
      <c r="C495" s="5">
        <v>2.04</v>
      </c>
      <c r="D495" s="4">
        <v>15</v>
      </c>
      <c r="E495" s="5">
        <v>2.19</v>
      </c>
      <c r="F495" s="4">
        <v>5</v>
      </c>
      <c r="G495" s="5">
        <v>1.5</v>
      </c>
      <c r="H495" s="4">
        <v>0</v>
      </c>
    </row>
    <row r="496" spans="1:8" x14ac:dyDescent="0.2">
      <c r="A496" s="2" t="s">
        <v>58</v>
      </c>
      <c r="B496" s="4">
        <v>39</v>
      </c>
      <c r="C496" s="5">
        <v>3.79</v>
      </c>
      <c r="D496" s="4">
        <v>23</v>
      </c>
      <c r="E496" s="5">
        <v>3.35</v>
      </c>
      <c r="F496" s="4">
        <v>16</v>
      </c>
      <c r="G496" s="5">
        <v>4.79</v>
      </c>
      <c r="H496" s="4">
        <v>0</v>
      </c>
    </row>
    <row r="497" spans="1:8" x14ac:dyDescent="0.2">
      <c r="A497" s="2" t="s">
        <v>59</v>
      </c>
      <c r="B497" s="4">
        <v>54</v>
      </c>
      <c r="C497" s="5">
        <v>5.24</v>
      </c>
      <c r="D497" s="4">
        <v>35</v>
      </c>
      <c r="E497" s="5">
        <v>5.0999999999999996</v>
      </c>
      <c r="F497" s="4">
        <v>17</v>
      </c>
      <c r="G497" s="5">
        <v>5.09</v>
      </c>
      <c r="H497" s="4">
        <v>1</v>
      </c>
    </row>
    <row r="498" spans="1:8" x14ac:dyDescent="0.2">
      <c r="A498" s="1" t="s">
        <v>31</v>
      </c>
      <c r="B498" s="4">
        <v>778</v>
      </c>
      <c r="C498" s="5">
        <v>99.989999999999981</v>
      </c>
      <c r="D498" s="4">
        <v>366</v>
      </c>
      <c r="E498" s="5">
        <v>99.999999999999986</v>
      </c>
      <c r="F498" s="4">
        <v>409</v>
      </c>
      <c r="G498" s="5">
        <v>100.00999999999999</v>
      </c>
      <c r="H498" s="4">
        <v>0</v>
      </c>
    </row>
    <row r="499" spans="1:8" x14ac:dyDescent="0.2">
      <c r="A499" s="2" t="s">
        <v>45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46</v>
      </c>
      <c r="B500" s="4">
        <v>188</v>
      </c>
      <c r="C500" s="5">
        <v>24.16</v>
      </c>
      <c r="D500" s="4">
        <v>73</v>
      </c>
      <c r="E500" s="5">
        <v>19.95</v>
      </c>
      <c r="F500" s="4">
        <v>115</v>
      </c>
      <c r="G500" s="5">
        <v>28.12</v>
      </c>
      <c r="H500" s="4">
        <v>0</v>
      </c>
    </row>
    <row r="501" spans="1:8" x14ac:dyDescent="0.2">
      <c r="A501" s="2" t="s">
        <v>47</v>
      </c>
      <c r="B501" s="4">
        <v>69</v>
      </c>
      <c r="C501" s="5">
        <v>8.8699999999999992</v>
      </c>
      <c r="D501" s="4">
        <v>12</v>
      </c>
      <c r="E501" s="5">
        <v>3.28</v>
      </c>
      <c r="F501" s="4">
        <v>57</v>
      </c>
      <c r="G501" s="5">
        <v>13.94</v>
      </c>
      <c r="H501" s="4">
        <v>0</v>
      </c>
    </row>
    <row r="502" spans="1:8" x14ac:dyDescent="0.2">
      <c r="A502" s="2" t="s">
        <v>48</v>
      </c>
      <c r="B502" s="4">
        <v>1</v>
      </c>
      <c r="C502" s="5">
        <v>0.13</v>
      </c>
      <c r="D502" s="4">
        <v>0</v>
      </c>
      <c r="E502" s="5">
        <v>0</v>
      </c>
      <c r="F502" s="4">
        <v>1</v>
      </c>
      <c r="G502" s="5">
        <v>0.24</v>
      </c>
      <c r="H502" s="4">
        <v>0</v>
      </c>
    </row>
    <row r="503" spans="1:8" x14ac:dyDescent="0.2">
      <c r="A503" s="2" t="s">
        <v>49</v>
      </c>
      <c r="B503" s="4">
        <v>6</v>
      </c>
      <c r="C503" s="5">
        <v>0.77</v>
      </c>
      <c r="D503" s="4">
        <v>0</v>
      </c>
      <c r="E503" s="5">
        <v>0</v>
      </c>
      <c r="F503" s="4">
        <v>6</v>
      </c>
      <c r="G503" s="5">
        <v>1.47</v>
      </c>
      <c r="H503" s="4">
        <v>0</v>
      </c>
    </row>
    <row r="504" spans="1:8" x14ac:dyDescent="0.2">
      <c r="A504" s="2" t="s">
        <v>50</v>
      </c>
      <c r="B504" s="4">
        <v>18</v>
      </c>
      <c r="C504" s="5">
        <v>2.31</v>
      </c>
      <c r="D504" s="4">
        <v>4</v>
      </c>
      <c r="E504" s="5">
        <v>1.0900000000000001</v>
      </c>
      <c r="F504" s="4">
        <v>14</v>
      </c>
      <c r="G504" s="5">
        <v>3.42</v>
      </c>
      <c r="H504" s="4">
        <v>0</v>
      </c>
    </row>
    <row r="505" spans="1:8" x14ac:dyDescent="0.2">
      <c r="A505" s="2" t="s">
        <v>51</v>
      </c>
      <c r="B505" s="4">
        <v>169</v>
      </c>
      <c r="C505" s="5">
        <v>21.72</v>
      </c>
      <c r="D505" s="4">
        <v>78</v>
      </c>
      <c r="E505" s="5">
        <v>21.31</v>
      </c>
      <c r="F505" s="4">
        <v>91</v>
      </c>
      <c r="G505" s="5">
        <v>22.25</v>
      </c>
      <c r="H505" s="4">
        <v>0</v>
      </c>
    </row>
    <row r="506" spans="1:8" x14ac:dyDescent="0.2">
      <c r="A506" s="2" t="s">
        <v>52</v>
      </c>
      <c r="B506" s="4">
        <v>5</v>
      </c>
      <c r="C506" s="5">
        <v>0.64</v>
      </c>
      <c r="D506" s="4">
        <v>0</v>
      </c>
      <c r="E506" s="5">
        <v>0</v>
      </c>
      <c r="F506" s="4">
        <v>5</v>
      </c>
      <c r="G506" s="5">
        <v>1.22</v>
      </c>
      <c r="H506" s="4">
        <v>0</v>
      </c>
    </row>
    <row r="507" spans="1:8" x14ac:dyDescent="0.2">
      <c r="A507" s="2" t="s">
        <v>53</v>
      </c>
      <c r="B507" s="4">
        <v>39</v>
      </c>
      <c r="C507" s="5">
        <v>5.01</v>
      </c>
      <c r="D507" s="4">
        <v>6</v>
      </c>
      <c r="E507" s="5">
        <v>1.64</v>
      </c>
      <c r="F507" s="4">
        <v>33</v>
      </c>
      <c r="G507" s="5">
        <v>8.07</v>
      </c>
      <c r="H507" s="4">
        <v>0</v>
      </c>
    </row>
    <row r="508" spans="1:8" x14ac:dyDescent="0.2">
      <c r="A508" s="2" t="s">
        <v>54</v>
      </c>
      <c r="B508" s="4">
        <v>42</v>
      </c>
      <c r="C508" s="5">
        <v>5.4</v>
      </c>
      <c r="D508" s="4">
        <v>14</v>
      </c>
      <c r="E508" s="5">
        <v>3.83</v>
      </c>
      <c r="F508" s="4">
        <v>28</v>
      </c>
      <c r="G508" s="5">
        <v>6.85</v>
      </c>
      <c r="H508" s="4">
        <v>0</v>
      </c>
    </row>
    <row r="509" spans="1:8" x14ac:dyDescent="0.2">
      <c r="A509" s="2" t="s">
        <v>55</v>
      </c>
      <c r="B509" s="4">
        <v>58</v>
      </c>
      <c r="C509" s="5">
        <v>7.46</v>
      </c>
      <c r="D509" s="4">
        <v>47</v>
      </c>
      <c r="E509" s="5">
        <v>12.84</v>
      </c>
      <c r="F509" s="4">
        <v>11</v>
      </c>
      <c r="G509" s="5">
        <v>2.69</v>
      </c>
      <c r="H509" s="4">
        <v>0</v>
      </c>
    </row>
    <row r="510" spans="1:8" x14ac:dyDescent="0.2">
      <c r="A510" s="2" t="s">
        <v>56</v>
      </c>
      <c r="B510" s="4">
        <v>100</v>
      </c>
      <c r="C510" s="5">
        <v>12.85</v>
      </c>
      <c r="D510" s="4">
        <v>81</v>
      </c>
      <c r="E510" s="5">
        <v>22.13</v>
      </c>
      <c r="F510" s="4">
        <v>19</v>
      </c>
      <c r="G510" s="5">
        <v>4.6500000000000004</v>
      </c>
      <c r="H510" s="4">
        <v>0</v>
      </c>
    </row>
    <row r="511" spans="1:8" x14ac:dyDescent="0.2">
      <c r="A511" s="2" t="s">
        <v>57</v>
      </c>
      <c r="B511" s="4">
        <v>22</v>
      </c>
      <c r="C511" s="5">
        <v>2.83</v>
      </c>
      <c r="D511" s="4">
        <v>15</v>
      </c>
      <c r="E511" s="5">
        <v>4.0999999999999996</v>
      </c>
      <c r="F511" s="4">
        <v>5</v>
      </c>
      <c r="G511" s="5">
        <v>1.22</v>
      </c>
      <c r="H511" s="4">
        <v>0</v>
      </c>
    </row>
    <row r="512" spans="1:8" x14ac:dyDescent="0.2">
      <c r="A512" s="2" t="s">
        <v>58</v>
      </c>
      <c r="B512" s="4">
        <v>28</v>
      </c>
      <c r="C512" s="5">
        <v>3.6</v>
      </c>
      <c r="D512" s="4">
        <v>19</v>
      </c>
      <c r="E512" s="5">
        <v>5.19</v>
      </c>
      <c r="F512" s="4">
        <v>9</v>
      </c>
      <c r="G512" s="5">
        <v>2.2000000000000002</v>
      </c>
      <c r="H512" s="4">
        <v>0</v>
      </c>
    </row>
    <row r="513" spans="1:8" x14ac:dyDescent="0.2">
      <c r="A513" s="2" t="s">
        <v>59</v>
      </c>
      <c r="B513" s="4">
        <v>33</v>
      </c>
      <c r="C513" s="5">
        <v>4.24</v>
      </c>
      <c r="D513" s="4">
        <v>17</v>
      </c>
      <c r="E513" s="5">
        <v>4.6399999999999997</v>
      </c>
      <c r="F513" s="4">
        <v>15</v>
      </c>
      <c r="G513" s="5">
        <v>3.67</v>
      </c>
      <c r="H513" s="4">
        <v>0</v>
      </c>
    </row>
    <row r="514" spans="1:8" x14ac:dyDescent="0.2">
      <c r="A514" s="1" t="s">
        <v>32</v>
      </c>
      <c r="B514" s="4">
        <v>988</v>
      </c>
      <c r="C514" s="5">
        <v>100</v>
      </c>
      <c r="D514" s="4">
        <v>532</v>
      </c>
      <c r="E514" s="5">
        <v>99.99</v>
      </c>
      <c r="F514" s="4">
        <v>449</v>
      </c>
      <c r="G514" s="5">
        <v>100.00000000000003</v>
      </c>
      <c r="H514" s="4">
        <v>0</v>
      </c>
    </row>
    <row r="515" spans="1:8" x14ac:dyDescent="0.2">
      <c r="A515" s="2" t="s">
        <v>45</v>
      </c>
      <c r="B515" s="4">
        <v>1</v>
      </c>
      <c r="C515" s="5">
        <v>0.1</v>
      </c>
      <c r="D515" s="4">
        <v>0</v>
      </c>
      <c r="E515" s="5">
        <v>0</v>
      </c>
      <c r="F515" s="4">
        <v>1</v>
      </c>
      <c r="G515" s="5">
        <v>0.22</v>
      </c>
      <c r="H515" s="4">
        <v>0</v>
      </c>
    </row>
    <row r="516" spans="1:8" x14ac:dyDescent="0.2">
      <c r="A516" s="2" t="s">
        <v>46</v>
      </c>
      <c r="B516" s="4">
        <v>228</v>
      </c>
      <c r="C516" s="5">
        <v>23.08</v>
      </c>
      <c r="D516" s="4">
        <v>106</v>
      </c>
      <c r="E516" s="5">
        <v>19.920000000000002</v>
      </c>
      <c r="F516" s="4">
        <v>122</v>
      </c>
      <c r="G516" s="5">
        <v>27.17</v>
      </c>
      <c r="H516" s="4">
        <v>0</v>
      </c>
    </row>
    <row r="517" spans="1:8" x14ac:dyDescent="0.2">
      <c r="A517" s="2" t="s">
        <v>47</v>
      </c>
      <c r="B517" s="4">
        <v>91</v>
      </c>
      <c r="C517" s="5">
        <v>9.2100000000000009</v>
      </c>
      <c r="D517" s="4">
        <v>25</v>
      </c>
      <c r="E517" s="5">
        <v>4.7</v>
      </c>
      <c r="F517" s="4">
        <v>66</v>
      </c>
      <c r="G517" s="5">
        <v>14.7</v>
      </c>
      <c r="H517" s="4">
        <v>0</v>
      </c>
    </row>
    <row r="518" spans="1:8" x14ac:dyDescent="0.2">
      <c r="A518" s="2" t="s">
        <v>48</v>
      </c>
      <c r="B518" s="4">
        <v>7</v>
      </c>
      <c r="C518" s="5">
        <v>0.71</v>
      </c>
      <c r="D518" s="4">
        <v>0</v>
      </c>
      <c r="E518" s="5">
        <v>0</v>
      </c>
      <c r="F518" s="4">
        <v>7</v>
      </c>
      <c r="G518" s="5">
        <v>1.56</v>
      </c>
      <c r="H518" s="4">
        <v>0</v>
      </c>
    </row>
    <row r="519" spans="1:8" x14ac:dyDescent="0.2">
      <c r="A519" s="2" t="s">
        <v>49</v>
      </c>
      <c r="B519" s="4">
        <v>3</v>
      </c>
      <c r="C519" s="5">
        <v>0.3</v>
      </c>
      <c r="D519" s="4">
        <v>1</v>
      </c>
      <c r="E519" s="5">
        <v>0.19</v>
      </c>
      <c r="F519" s="4">
        <v>2</v>
      </c>
      <c r="G519" s="5">
        <v>0.45</v>
      </c>
      <c r="H519" s="4">
        <v>0</v>
      </c>
    </row>
    <row r="520" spans="1:8" x14ac:dyDescent="0.2">
      <c r="A520" s="2" t="s">
        <v>50</v>
      </c>
      <c r="B520" s="4">
        <v>18</v>
      </c>
      <c r="C520" s="5">
        <v>1.82</v>
      </c>
      <c r="D520" s="4">
        <v>2</v>
      </c>
      <c r="E520" s="5">
        <v>0.38</v>
      </c>
      <c r="F520" s="4">
        <v>16</v>
      </c>
      <c r="G520" s="5">
        <v>3.56</v>
      </c>
      <c r="H520" s="4">
        <v>0</v>
      </c>
    </row>
    <row r="521" spans="1:8" x14ac:dyDescent="0.2">
      <c r="A521" s="2" t="s">
        <v>51</v>
      </c>
      <c r="B521" s="4">
        <v>209</v>
      </c>
      <c r="C521" s="5">
        <v>21.15</v>
      </c>
      <c r="D521" s="4">
        <v>111</v>
      </c>
      <c r="E521" s="5">
        <v>20.86</v>
      </c>
      <c r="F521" s="4">
        <v>98</v>
      </c>
      <c r="G521" s="5">
        <v>21.83</v>
      </c>
      <c r="H521" s="4">
        <v>0</v>
      </c>
    </row>
    <row r="522" spans="1:8" x14ac:dyDescent="0.2">
      <c r="A522" s="2" t="s">
        <v>52</v>
      </c>
      <c r="B522" s="4">
        <v>6</v>
      </c>
      <c r="C522" s="5">
        <v>0.61</v>
      </c>
      <c r="D522" s="4">
        <v>3</v>
      </c>
      <c r="E522" s="5">
        <v>0.56000000000000005</v>
      </c>
      <c r="F522" s="4">
        <v>3</v>
      </c>
      <c r="G522" s="5">
        <v>0.67</v>
      </c>
      <c r="H522" s="4">
        <v>0</v>
      </c>
    </row>
    <row r="523" spans="1:8" x14ac:dyDescent="0.2">
      <c r="A523" s="2" t="s">
        <v>53</v>
      </c>
      <c r="B523" s="4">
        <v>73</v>
      </c>
      <c r="C523" s="5">
        <v>7.39</v>
      </c>
      <c r="D523" s="4">
        <v>34</v>
      </c>
      <c r="E523" s="5">
        <v>6.39</v>
      </c>
      <c r="F523" s="4">
        <v>39</v>
      </c>
      <c r="G523" s="5">
        <v>8.69</v>
      </c>
      <c r="H523" s="4">
        <v>0</v>
      </c>
    </row>
    <row r="524" spans="1:8" x14ac:dyDescent="0.2">
      <c r="A524" s="2" t="s">
        <v>54</v>
      </c>
      <c r="B524" s="4">
        <v>36</v>
      </c>
      <c r="C524" s="5">
        <v>3.64</v>
      </c>
      <c r="D524" s="4">
        <v>18</v>
      </c>
      <c r="E524" s="5">
        <v>3.38</v>
      </c>
      <c r="F524" s="4">
        <v>18</v>
      </c>
      <c r="G524" s="5">
        <v>4.01</v>
      </c>
      <c r="H524" s="4">
        <v>0</v>
      </c>
    </row>
    <row r="525" spans="1:8" x14ac:dyDescent="0.2">
      <c r="A525" s="2" t="s">
        <v>55</v>
      </c>
      <c r="B525" s="4">
        <v>72</v>
      </c>
      <c r="C525" s="5">
        <v>7.29</v>
      </c>
      <c r="D525" s="4">
        <v>54</v>
      </c>
      <c r="E525" s="5">
        <v>10.15</v>
      </c>
      <c r="F525" s="4">
        <v>18</v>
      </c>
      <c r="G525" s="5">
        <v>4.01</v>
      </c>
      <c r="H525" s="4">
        <v>0</v>
      </c>
    </row>
    <row r="526" spans="1:8" x14ac:dyDescent="0.2">
      <c r="A526" s="2" t="s">
        <v>56</v>
      </c>
      <c r="B526" s="4">
        <v>138</v>
      </c>
      <c r="C526" s="5">
        <v>13.97</v>
      </c>
      <c r="D526" s="4">
        <v>118</v>
      </c>
      <c r="E526" s="5">
        <v>22.18</v>
      </c>
      <c r="F526" s="4">
        <v>20</v>
      </c>
      <c r="G526" s="5">
        <v>4.45</v>
      </c>
      <c r="H526" s="4">
        <v>0</v>
      </c>
    </row>
    <row r="527" spans="1:8" x14ac:dyDescent="0.2">
      <c r="A527" s="2" t="s">
        <v>57</v>
      </c>
      <c r="B527" s="4">
        <v>25</v>
      </c>
      <c r="C527" s="5">
        <v>2.5299999999999998</v>
      </c>
      <c r="D527" s="4">
        <v>15</v>
      </c>
      <c r="E527" s="5">
        <v>2.82</v>
      </c>
      <c r="F527" s="4">
        <v>5</v>
      </c>
      <c r="G527" s="5">
        <v>1.1100000000000001</v>
      </c>
      <c r="H527" s="4">
        <v>0</v>
      </c>
    </row>
    <row r="528" spans="1:8" x14ac:dyDescent="0.2">
      <c r="A528" s="2" t="s">
        <v>58</v>
      </c>
      <c r="B528" s="4">
        <v>30</v>
      </c>
      <c r="C528" s="5">
        <v>3.04</v>
      </c>
      <c r="D528" s="4">
        <v>14</v>
      </c>
      <c r="E528" s="5">
        <v>2.63</v>
      </c>
      <c r="F528" s="4">
        <v>16</v>
      </c>
      <c r="G528" s="5">
        <v>3.56</v>
      </c>
      <c r="H528" s="4">
        <v>0</v>
      </c>
    </row>
    <row r="529" spans="1:8" x14ac:dyDescent="0.2">
      <c r="A529" s="2" t="s">
        <v>59</v>
      </c>
      <c r="B529" s="4">
        <v>51</v>
      </c>
      <c r="C529" s="5">
        <v>5.16</v>
      </c>
      <c r="D529" s="4">
        <v>31</v>
      </c>
      <c r="E529" s="5">
        <v>5.83</v>
      </c>
      <c r="F529" s="4">
        <v>18</v>
      </c>
      <c r="G529" s="5">
        <v>4.01</v>
      </c>
      <c r="H529" s="4">
        <v>0</v>
      </c>
    </row>
    <row r="530" spans="1:8" x14ac:dyDescent="0.2">
      <c r="A530" s="1" t="s">
        <v>33</v>
      </c>
      <c r="B530" s="4">
        <v>702</v>
      </c>
      <c r="C530" s="5">
        <v>99.99</v>
      </c>
      <c r="D530" s="4">
        <v>390</v>
      </c>
      <c r="E530" s="5">
        <v>100.00999999999998</v>
      </c>
      <c r="F530" s="4">
        <v>308</v>
      </c>
      <c r="G530" s="5">
        <v>99.989999999999981</v>
      </c>
      <c r="H530" s="4">
        <v>2</v>
      </c>
    </row>
    <row r="531" spans="1:8" x14ac:dyDescent="0.2">
      <c r="A531" s="2" t="s">
        <v>45</v>
      </c>
      <c r="B531" s="4">
        <v>1</v>
      </c>
      <c r="C531" s="5">
        <v>0.14000000000000001</v>
      </c>
      <c r="D531" s="4">
        <v>0</v>
      </c>
      <c r="E531" s="5">
        <v>0</v>
      </c>
      <c r="F531" s="4">
        <v>1</v>
      </c>
      <c r="G531" s="5">
        <v>0.32</v>
      </c>
      <c r="H531" s="4">
        <v>0</v>
      </c>
    </row>
    <row r="532" spans="1:8" x14ac:dyDescent="0.2">
      <c r="A532" s="2" t="s">
        <v>46</v>
      </c>
      <c r="B532" s="4">
        <v>197</v>
      </c>
      <c r="C532" s="5">
        <v>28.06</v>
      </c>
      <c r="D532" s="4">
        <v>96</v>
      </c>
      <c r="E532" s="5">
        <v>24.62</v>
      </c>
      <c r="F532" s="4">
        <v>101</v>
      </c>
      <c r="G532" s="5">
        <v>32.79</v>
      </c>
      <c r="H532" s="4">
        <v>0</v>
      </c>
    </row>
    <row r="533" spans="1:8" x14ac:dyDescent="0.2">
      <c r="A533" s="2" t="s">
        <v>47</v>
      </c>
      <c r="B533" s="4">
        <v>61</v>
      </c>
      <c r="C533" s="5">
        <v>8.69</v>
      </c>
      <c r="D533" s="4">
        <v>31</v>
      </c>
      <c r="E533" s="5">
        <v>7.95</v>
      </c>
      <c r="F533" s="4">
        <v>30</v>
      </c>
      <c r="G533" s="5">
        <v>9.74</v>
      </c>
      <c r="H533" s="4">
        <v>0</v>
      </c>
    </row>
    <row r="534" spans="1:8" x14ac:dyDescent="0.2">
      <c r="A534" s="2" t="s">
        <v>48</v>
      </c>
      <c r="B534" s="4">
        <v>5</v>
      </c>
      <c r="C534" s="5">
        <v>0.71</v>
      </c>
      <c r="D534" s="4">
        <v>0</v>
      </c>
      <c r="E534" s="5">
        <v>0</v>
      </c>
      <c r="F534" s="4">
        <v>5</v>
      </c>
      <c r="G534" s="5">
        <v>1.62</v>
      </c>
      <c r="H534" s="4">
        <v>0</v>
      </c>
    </row>
    <row r="535" spans="1:8" x14ac:dyDescent="0.2">
      <c r="A535" s="2" t="s">
        <v>49</v>
      </c>
      <c r="B535" s="4">
        <v>2</v>
      </c>
      <c r="C535" s="5">
        <v>0.28000000000000003</v>
      </c>
      <c r="D535" s="4">
        <v>0</v>
      </c>
      <c r="E535" s="5">
        <v>0</v>
      </c>
      <c r="F535" s="4">
        <v>2</v>
      </c>
      <c r="G535" s="5">
        <v>0.65</v>
      </c>
      <c r="H535" s="4">
        <v>0</v>
      </c>
    </row>
    <row r="536" spans="1:8" x14ac:dyDescent="0.2">
      <c r="A536" s="2" t="s">
        <v>50</v>
      </c>
      <c r="B536" s="4">
        <v>16</v>
      </c>
      <c r="C536" s="5">
        <v>2.2799999999999998</v>
      </c>
      <c r="D536" s="4">
        <v>6</v>
      </c>
      <c r="E536" s="5">
        <v>1.54</v>
      </c>
      <c r="F536" s="4">
        <v>10</v>
      </c>
      <c r="G536" s="5">
        <v>3.25</v>
      </c>
      <c r="H536" s="4">
        <v>0</v>
      </c>
    </row>
    <row r="537" spans="1:8" x14ac:dyDescent="0.2">
      <c r="A537" s="2" t="s">
        <v>51</v>
      </c>
      <c r="B537" s="4">
        <v>150</v>
      </c>
      <c r="C537" s="5">
        <v>21.37</v>
      </c>
      <c r="D537" s="4">
        <v>66</v>
      </c>
      <c r="E537" s="5">
        <v>16.920000000000002</v>
      </c>
      <c r="F537" s="4">
        <v>82</v>
      </c>
      <c r="G537" s="5">
        <v>26.62</v>
      </c>
      <c r="H537" s="4">
        <v>2</v>
      </c>
    </row>
    <row r="538" spans="1:8" x14ac:dyDescent="0.2">
      <c r="A538" s="2" t="s">
        <v>52</v>
      </c>
      <c r="B538" s="4">
        <v>7</v>
      </c>
      <c r="C538" s="5">
        <v>1</v>
      </c>
      <c r="D538" s="4">
        <v>1</v>
      </c>
      <c r="E538" s="5">
        <v>0.26</v>
      </c>
      <c r="F538" s="4">
        <v>5</v>
      </c>
      <c r="G538" s="5">
        <v>1.62</v>
      </c>
      <c r="H538" s="4">
        <v>0</v>
      </c>
    </row>
    <row r="539" spans="1:8" x14ac:dyDescent="0.2">
      <c r="A539" s="2" t="s">
        <v>53</v>
      </c>
      <c r="B539" s="4">
        <v>32</v>
      </c>
      <c r="C539" s="5">
        <v>4.5599999999999996</v>
      </c>
      <c r="D539" s="4">
        <v>18</v>
      </c>
      <c r="E539" s="5">
        <v>4.62</v>
      </c>
      <c r="F539" s="4">
        <v>14</v>
      </c>
      <c r="G539" s="5">
        <v>4.55</v>
      </c>
      <c r="H539" s="4">
        <v>0</v>
      </c>
    </row>
    <row r="540" spans="1:8" x14ac:dyDescent="0.2">
      <c r="A540" s="2" t="s">
        <v>54</v>
      </c>
      <c r="B540" s="4">
        <v>16</v>
      </c>
      <c r="C540" s="5">
        <v>2.2799999999999998</v>
      </c>
      <c r="D540" s="4">
        <v>8</v>
      </c>
      <c r="E540" s="5">
        <v>2.0499999999999998</v>
      </c>
      <c r="F540" s="4">
        <v>8</v>
      </c>
      <c r="G540" s="5">
        <v>2.6</v>
      </c>
      <c r="H540" s="4">
        <v>0</v>
      </c>
    </row>
    <row r="541" spans="1:8" x14ac:dyDescent="0.2">
      <c r="A541" s="2" t="s">
        <v>55</v>
      </c>
      <c r="B541" s="4">
        <v>37</v>
      </c>
      <c r="C541" s="5">
        <v>5.27</v>
      </c>
      <c r="D541" s="4">
        <v>30</v>
      </c>
      <c r="E541" s="5">
        <v>7.69</v>
      </c>
      <c r="F541" s="4">
        <v>7</v>
      </c>
      <c r="G541" s="5">
        <v>2.27</v>
      </c>
      <c r="H541" s="4">
        <v>0</v>
      </c>
    </row>
    <row r="542" spans="1:8" x14ac:dyDescent="0.2">
      <c r="A542" s="2" t="s">
        <v>56</v>
      </c>
      <c r="B542" s="4">
        <v>87</v>
      </c>
      <c r="C542" s="5">
        <v>12.39</v>
      </c>
      <c r="D542" s="4">
        <v>77</v>
      </c>
      <c r="E542" s="5">
        <v>19.739999999999998</v>
      </c>
      <c r="F542" s="4">
        <v>10</v>
      </c>
      <c r="G542" s="5">
        <v>3.25</v>
      </c>
      <c r="H542" s="4">
        <v>0</v>
      </c>
    </row>
    <row r="543" spans="1:8" x14ac:dyDescent="0.2">
      <c r="A543" s="2" t="s">
        <v>57</v>
      </c>
      <c r="B543" s="4">
        <v>16</v>
      </c>
      <c r="C543" s="5">
        <v>2.2799999999999998</v>
      </c>
      <c r="D543" s="4">
        <v>9</v>
      </c>
      <c r="E543" s="5">
        <v>2.31</v>
      </c>
      <c r="F543" s="4">
        <v>7</v>
      </c>
      <c r="G543" s="5">
        <v>2.27</v>
      </c>
      <c r="H543" s="4">
        <v>0</v>
      </c>
    </row>
    <row r="544" spans="1:8" x14ac:dyDescent="0.2">
      <c r="A544" s="2" t="s">
        <v>58</v>
      </c>
      <c r="B544" s="4">
        <v>20</v>
      </c>
      <c r="C544" s="5">
        <v>2.85</v>
      </c>
      <c r="D544" s="4">
        <v>11</v>
      </c>
      <c r="E544" s="5">
        <v>2.82</v>
      </c>
      <c r="F544" s="4">
        <v>9</v>
      </c>
      <c r="G544" s="5">
        <v>2.92</v>
      </c>
      <c r="H544" s="4">
        <v>0</v>
      </c>
    </row>
    <row r="545" spans="1:8" x14ac:dyDescent="0.2">
      <c r="A545" s="2" t="s">
        <v>59</v>
      </c>
      <c r="B545" s="4">
        <v>55</v>
      </c>
      <c r="C545" s="5">
        <v>7.83</v>
      </c>
      <c r="D545" s="4">
        <v>37</v>
      </c>
      <c r="E545" s="5">
        <v>9.49</v>
      </c>
      <c r="F545" s="4">
        <v>17</v>
      </c>
      <c r="G545" s="5">
        <v>5.52</v>
      </c>
      <c r="H545" s="4">
        <v>0</v>
      </c>
    </row>
    <row r="546" spans="1:8" x14ac:dyDescent="0.2">
      <c r="A546" s="1" t="s">
        <v>34</v>
      </c>
      <c r="B546" s="4">
        <v>529</v>
      </c>
      <c r="C546" s="5">
        <v>100.00999999999999</v>
      </c>
      <c r="D546" s="4">
        <v>309</v>
      </c>
      <c r="E546" s="5">
        <v>100</v>
      </c>
      <c r="F546" s="4">
        <v>219</v>
      </c>
      <c r="G546" s="5">
        <v>99.99</v>
      </c>
      <c r="H546" s="4">
        <v>0</v>
      </c>
    </row>
    <row r="547" spans="1:8" x14ac:dyDescent="0.2">
      <c r="A547" s="2" t="s">
        <v>45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46</v>
      </c>
      <c r="B548" s="4">
        <v>78</v>
      </c>
      <c r="C548" s="5">
        <v>14.74</v>
      </c>
      <c r="D548" s="4">
        <v>28</v>
      </c>
      <c r="E548" s="5">
        <v>9.06</v>
      </c>
      <c r="F548" s="4">
        <v>50</v>
      </c>
      <c r="G548" s="5">
        <v>22.83</v>
      </c>
      <c r="H548" s="4">
        <v>0</v>
      </c>
    </row>
    <row r="549" spans="1:8" x14ac:dyDescent="0.2">
      <c r="A549" s="2" t="s">
        <v>47</v>
      </c>
      <c r="B549" s="4">
        <v>39</v>
      </c>
      <c r="C549" s="5">
        <v>7.37</v>
      </c>
      <c r="D549" s="4">
        <v>19</v>
      </c>
      <c r="E549" s="5">
        <v>6.15</v>
      </c>
      <c r="F549" s="4">
        <v>20</v>
      </c>
      <c r="G549" s="5">
        <v>9.1300000000000008</v>
      </c>
      <c r="H549" s="4">
        <v>0</v>
      </c>
    </row>
    <row r="550" spans="1:8" x14ac:dyDescent="0.2">
      <c r="A550" s="2" t="s">
        <v>48</v>
      </c>
      <c r="B550" s="4">
        <v>2</v>
      </c>
      <c r="C550" s="5">
        <v>0.38</v>
      </c>
      <c r="D550" s="4">
        <v>0</v>
      </c>
      <c r="E550" s="5">
        <v>0</v>
      </c>
      <c r="F550" s="4">
        <v>1</v>
      </c>
      <c r="G550" s="5">
        <v>0.46</v>
      </c>
      <c r="H550" s="4">
        <v>0</v>
      </c>
    </row>
    <row r="551" spans="1:8" x14ac:dyDescent="0.2">
      <c r="A551" s="2" t="s">
        <v>49</v>
      </c>
      <c r="B551" s="4">
        <v>4</v>
      </c>
      <c r="C551" s="5">
        <v>0.76</v>
      </c>
      <c r="D551" s="4">
        <v>1</v>
      </c>
      <c r="E551" s="5">
        <v>0.32</v>
      </c>
      <c r="F551" s="4">
        <v>3</v>
      </c>
      <c r="G551" s="5">
        <v>1.37</v>
      </c>
      <c r="H551" s="4">
        <v>0</v>
      </c>
    </row>
    <row r="552" spans="1:8" x14ac:dyDescent="0.2">
      <c r="A552" s="2" t="s">
        <v>50</v>
      </c>
      <c r="B552" s="4">
        <v>12</v>
      </c>
      <c r="C552" s="5">
        <v>2.27</v>
      </c>
      <c r="D552" s="4">
        <v>0</v>
      </c>
      <c r="E552" s="5">
        <v>0</v>
      </c>
      <c r="F552" s="4">
        <v>12</v>
      </c>
      <c r="G552" s="5">
        <v>5.48</v>
      </c>
      <c r="H552" s="4">
        <v>0</v>
      </c>
    </row>
    <row r="553" spans="1:8" x14ac:dyDescent="0.2">
      <c r="A553" s="2" t="s">
        <v>51</v>
      </c>
      <c r="B553" s="4">
        <v>172</v>
      </c>
      <c r="C553" s="5">
        <v>32.51</v>
      </c>
      <c r="D553" s="4">
        <v>108</v>
      </c>
      <c r="E553" s="5">
        <v>34.950000000000003</v>
      </c>
      <c r="F553" s="4">
        <v>64</v>
      </c>
      <c r="G553" s="5">
        <v>29.22</v>
      </c>
      <c r="H553" s="4">
        <v>0</v>
      </c>
    </row>
    <row r="554" spans="1:8" x14ac:dyDescent="0.2">
      <c r="A554" s="2" t="s">
        <v>52</v>
      </c>
      <c r="B554" s="4">
        <v>3</v>
      </c>
      <c r="C554" s="5">
        <v>0.56999999999999995</v>
      </c>
      <c r="D554" s="4">
        <v>1</v>
      </c>
      <c r="E554" s="5">
        <v>0.32</v>
      </c>
      <c r="F554" s="4">
        <v>2</v>
      </c>
      <c r="G554" s="5">
        <v>0.91</v>
      </c>
      <c r="H554" s="4">
        <v>0</v>
      </c>
    </row>
    <row r="555" spans="1:8" x14ac:dyDescent="0.2">
      <c r="A555" s="2" t="s">
        <v>53</v>
      </c>
      <c r="B555" s="4">
        <v>13</v>
      </c>
      <c r="C555" s="5">
        <v>2.46</v>
      </c>
      <c r="D555" s="4">
        <v>2</v>
      </c>
      <c r="E555" s="5">
        <v>0.65</v>
      </c>
      <c r="F555" s="4">
        <v>11</v>
      </c>
      <c r="G555" s="5">
        <v>5.0199999999999996</v>
      </c>
      <c r="H555" s="4">
        <v>0</v>
      </c>
    </row>
    <row r="556" spans="1:8" x14ac:dyDescent="0.2">
      <c r="A556" s="2" t="s">
        <v>54</v>
      </c>
      <c r="B556" s="4">
        <v>5</v>
      </c>
      <c r="C556" s="5">
        <v>0.95</v>
      </c>
      <c r="D556" s="4">
        <v>5</v>
      </c>
      <c r="E556" s="5">
        <v>1.62</v>
      </c>
      <c r="F556" s="4">
        <v>0</v>
      </c>
      <c r="G556" s="5">
        <v>0</v>
      </c>
      <c r="H556" s="4">
        <v>0</v>
      </c>
    </row>
    <row r="557" spans="1:8" x14ac:dyDescent="0.2">
      <c r="A557" s="2" t="s">
        <v>55</v>
      </c>
      <c r="B557" s="4">
        <v>96</v>
      </c>
      <c r="C557" s="5">
        <v>18.149999999999999</v>
      </c>
      <c r="D557" s="4">
        <v>67</v>
      </c>
      <c r="E557" s="5">
        <v>21.68</v>
      </c>
      <c r="F557" s="4">
        <v>29</v>
      </c>
      <c r="G557" s="5">
        <v>13.24</v>
      </c>
      <c r="H557" s="4">
        <v>0</v>
      </c>
    </row>
    <row r="558" spans="1:8" x14ac:dyDescent="0.2">
      <c r="A558" s="2" t="s">
        <v>56</v>
      </c>
      <c r="B558" s="4">
        <v>64</v>
      </c>
      <c r="C558" s="5">
        <v>12.1</v>
      </c>
      <c r="D558" s="4">
        <v>54</v>
      </c>
      <c r="E558" s="5">
        <v>17.48</v>
      </c>
      <c r="F558" s="4">
        <v>10</v>
      </c>
      <c r="G558" s="5">
        <v>4.57</v>
      </c>
      <c r="H558" s="4">
        <v>0</v>
      </c>
    </row>
    <row r="559" spans="1:8" x14ac:dyDescent="0.2">
      <c r="A559" s="2" t="s">
        <v>57</v>
      </c>
      <c r="B559" s="4">
        <v>10</v>
      </c>
      <c r="C559" s="5">
        <v>1.89</v>
      </c>
      <c r="D559" s="4">
        <v>8</v>
      </c>
      <c r="E559" s="5">
        <v>2.59</v>
      </c>
      <c r="F559" s="4">
        <v>2</v>
      </c>
      <c r="G559" s="5">
        <v>0.91</v>
      </c>
      <c r="H559" s="4">
        <v>0</v>
      </c>
    </row>
    <row r="560" spans="1:8" x14ac:dyDescent="0.2">
      <c r="A560" s="2" t="s">
        <v>58</v>
      </c>
      <c r="B560" s="4">
        <v>13</v>
      </c>
      <c r="C560" s="5">
        <v>2.46</v>
      </c>
      <c r="D560" s="4">
        <v>10</v>
      </c>
      <c r="E560" s="5">
        <v>3.24</v>
      </c>
      <c r="F560" s="4">
        <v>3</v>
      </c>
      <c r="G560" s="5">
        <v>1.37</v>
      </c>
      <c r="H560" s="4">
        <v>0</v>
      </c>
    </row>
    <row r="561" spans="1:8" x14ac:dyDescent="0.2">
      <c r="A561" s="2" t="s">
        <v>59</v>
      </c>
      <c r="B561" s="4">
        <v>18</v>
      </c>
      <c r="C561" s="5">
        <v>3.4</v>
      </c>
      <c r="D561" s="4">
        <v>6</v>
      </c>
      <c r="E561" s="5">
        <v>1.94</v>
      </c>
      <c r="F561" s="4">
        <v>12</v>
      </c>
      <c r="G561" s="5">
        <v>5.48</v>
      </c>
      <c r="H561" s="4">
        <v>0</v>
      </c>
    </row>
    <row r="562" spans="1:8" x14ac:dyDescent="0.2">
      <c r="A562" s="1" t="s">
        <v>35</v>
      </c>
      <c r="B562" s="4">
        <v>421</v>
      </c>
      <c r="C562" s="5">
        <v>100</v>
      </c>
      <c r="D562" s="4">
        <v>302</v>
      </c>
      <c r="E562" s="5">
        <v>99.98</v>
      </c>
      <c r="F562" s="4">
        <v>114</v>
      </c>
      <c r="G562" s="5">
        <v>100.02</v>
      </c>
      <c r="H562" s="4">
        <v>0</v>
      </c>
    </row>
    <row r="563" spans="1:8" x14ac:dyDescent="0.2">
      <c r="A563" s="2" t="s">
        <v>45</v>
      </c>
      <c r="B563" s="4">
        <v>1</v>
      </c>
      <c r="C563" s="5">
        <v>0.24</v>
      </c>
      <c r="D563" s="4">
        <v>0</v>
      </c>
      <c r="E563" s="5">
        <v>0</v>
      </c>
      <c r="F563" s="4">
        <v>1</v>
      </c>
      <c r="G563" s="5">
        <v>0.88</v>
      </c>
      <c r="H563" s="4">
        <v>0</v>
      </c>
    </row>
    <row r="564" spans="1:8" x14ac:dyDescent="0.2">
      <c r="A564" s="2" t="s">
        <v>46</v>
      </c>
      <c r="B564" s="4">
        <v>107</v>
      </c>
      <c r="C564" s="5">
        <v>25.42</v>
      </c>
      <c r="D564" s="4">
        <v>71</v>
      </c>
      <c r="E564" s="5">
        <v>23.51</v>
      </c>
      <c r="F564" s="4">
        <v>36</v>
      </c>
      <c r="G564" s="5">
        <v>31.58</v>
      </c>
      <c r="H564" s="4">
        <v>0</v>
      </c>
    </row>
    <row r="565" spans="1:8" x14ac:dyDescent="0.2">
      <c r="A565" s="2" t="s">
        <v>47</v>
      </c>
      <c r="B565" s="4">
        <v>48</v>
      </c>
      <c r="C565" s="5">
        <v>11.4</v>
      </c>
      <c r="D565" s="4">
        <v>32</v>
      </c>
      <c r="E565" s="5">
        <v>10.6</v>
      </c>
      <c r="F565" s="4">
        <v>16</v>
      </c>
      <c r="G565" s="5">
        <v>14.04</v>
      </c>
      <c r="H565" s="4">
        <v>0</v>
      </c>
    </row>
    <row r="566" spans="1:8" x14ac:dyDescent="0.2">
      <c r="A566" s="2" t="s">
        <v>48</v>
      </c>
      <c r="B566" s="4">
        <v>3</v>
      </c>
      <c r="C566" s="5">
        <v>0.71</v>
      </c>
      <c r="D566" s="4">
        <v>0</v>
      </c>
      <c r="E566" s="5">
        <v>0</v>
      </c>
      <c r="F566" s="4">
        <v>2</v>
      </c>
      <c r="G566" s="5">
        <v>1.75</v>
      </c>
      <c r="H566" s="4">
        <v>0</v>
      </c>
    </row>
    <row r="567" spans="1:8" x14ac:dyDescent="0.2">
      <c r="A567" s="2" t="s">
        <v>49</v>
      </c>
      <c r="B567" s="4">
        <v>1</v>
      </c>
      <c r="C567" s="5">
        <v>0.24</v>
      </c>
      <c r="D567" s="4">
        <v>0</v>
      </c>
      <c r="E567" s="5">
        <v>0</v>
      </c>
      <c r="F567" s="4">
        <v>1</v>
      </c>
      <c r="G567" s="5">
        <v>0.88</v>
      </c>
      <c r="H567" s="4">
        <v>0</v>
      </c>
    </row>
    <row r="568" spans="1:8" x14ac:dyDescent="0.2">
      <c r="A568" s="2" t="s">
        <v>50</v>
      </c>
      <c r="B568" s="4">
        <v>4</v>
      </c>
      <c r="C568" s="5">
        <v>0.95</v>
      </c>
      <c r="D568" s="4">
        <v>2</v>
      </c>
      <c r="E568" s="5">
        <v>0.66</v>
      </c>
      <c r="F568" s="4">
        <v>2</v>
      </c>
      <c r="G568" s="5">
        <v>1.75</v>
      </c>
      <c r="H568" s="4">
        <v>0</v>
      </c>
    </row>
    <row r="569" spans="1:8" x14ac:dyDescent="0.2">
      <c r="A569" s="2" t="s">
        <v>51</v>
      </c>
      <c r="B569" s="4">
        <v>98</v>
      </c>
      <c r="C569" s="5">
        <v>23.28</v>
      </c>
      <c r="D569" s="4">
        <v>75</v>
      </c>
      <c r="E569" s="5">
        <v>24.83</v>
      </c>
      <c r="F569" s="4">
        <v>23</v>
      </c>
      <c r="G569" s="5">
        <v>20.18</v>
      </c>
      <c r="H569" s="4">
        <v>0</v>
      </c>
    </row>
    <row r="570" spans="1:8" x14ac:dyDescent="0.2">
      <c r="A570" s="2" t="s">
        <v>52</v>
      </c>
      <c r="B570" s="4">
        <v>3</v>
      </c>
      <c r="C570" s="5">
        <v>0.71</v>
      </c>
      <c r="D570" s="4">
        <v>2</v>
      </c>
      <c r="E570" s="5">
        <v>0.66</v>
      </c>
      <c r="F570" s="4">
        <v>1</v>
      </c>
      <c r="G570" s="5">
        <v>0.88</v>
      </c>
      <c r="H570" s="4">
        <v>0</v>
      </c>
    </row>
    <row r="571" spans="1:8" x14ac:dyDescent="0.2">
      <c r="A571" s="2" t="s">
        <v>53</v>
      </c>
      <c r="B571" s="4">
        <v>7</v>
      </c>
      <c r="C571" s="5">
        <v>1.66</v>
      </c>
      <c r="D571" s="4">
        <v>2</v>
      </c>
      <c r="E571" s="5">
        <v>0.66</v>
      </c>
      <c r="F571" s="4">
        <v>5</v>
      </c>
      <c r="G571" s="5">
        <v>4.3899999999999997</v>
      </c>
      <c r="H571" s="4">
        <v>0</v>
      </c>
    </row>
    <row r="572" spans="1:8" x14ac:dyDescent="0.2">
      <c r="A572" s="2" t="s">
        <v>54</v>
      </c>
      <c r="B572" s="4">
        <v>20</v>
      </c>
      <c r="C572" s="5">
        <v>4.75</v>
      </c>
      <c r="D572" s="4">
        <v>12</v>
      </c>
      <c r="E572" s="5">
        <v>3.97</v>
      </c>
      <c r="F572" s="4">
        <v>7</v>
      </c>
      <c r="G572" s="5">
        <v>6.14</v>
      </c>
      <c r="H572" s="4">
        <v>0</v>
      </c>
    </row>
    <row r="573" spans="1:8" x14ac:dyDescent="0.2">
      <c r="A573" s="2" t="s">
        <v>55</v>
      </c>
      <c r="B573" s="4">
        <v>23</v>
      </c>
      <c r="C573" s="5">
        <v>5.46</v>
      </c>
      <c r="D573" s="4">
        <v>21</v>
      </c>
      <c r="E573" s="5">
        <v>6.95</v>
      </c>
      <c r="F573" s="4">
        <v>2</v>
      </c>
      <c r="G573" s="5">
        <v>1.75</v>
      </c>
      <c r="H573" s="4">
        <v>0</v>
      </c>
    </row>
    <row r="574" spans="1:8" x14ac:dyDescent="0.2">
      <c r="A574" s="2" t="s">
        <v>56</v>
      </c>
      <c r="B574" s="4">
        <v>55</v>
      </c>
      <c r="C574" s="5">
        <v>13.06</v>
      </c>
      <c r="D574" s="4">
        <v>44</v>
      </c>
      <c r="E574" s="5">
        <v>14.57</v>
      </c>
      <c r="F574" s="4">
        <v>11</v>
      </c>
      <c r="G574" s="5">
        <v>9.65</v>
      </c>
      <c r="H574" s="4">
        <v>0</v>
      </c>
    </row>
    <row r="575" spans="1:8" x14ac:dyDescent="0.2">
      <c r="A575" s="2" t="s">
        <v>57</v>
      </c>
      <c r="B575" s="4">
        <v>12</v>
      </c>
      <c r="C575" s="5">
        <v>2.85</v>
      </c>
      <c r="D575" s="4">
        <v>10</v>
      </c>
      <c r="E575" s="5">
        <v>3.31</v>
      </c>
      <c r="F575" s="4">
        <v>1</v>
      </c>
      <c r="G575" s="5">
        <v>0.88</v>
      </c>
      <c r="H575" s="4">
        <v>0</v>
      </c>
    </row>
    <row r="576" spans="1:8" x14ac:dyDescent="0.2">
      <c r="A576" s="2" t="s">
        <v>58</v>
      </c>
      <c r="B576" s="4">
        <v>13</v>
      </c>
      <c r="C576" s="5">
        <v>3.09</v>
      </c>
      <c r="D576" s="4">
        <v>10</v>
      </c>
      <c r="E576" s="5">
        <v>3.31</v>
      </c>
      <c r="F576" s="4">
        <v>1</v>
      </c>
      <c r="G576" s="5">
        <v>0.88</v>
      </c>
      <c r="H576" s="4">
        <v>0</v>
      </c>
    </row>
    <row r="577" spans="1:8" x14ac:dyDescent="0.2">
      <c r="A577" s="2" t="s">
        <v>59</v>
      </c>
      <c r="B577" s="4">
        <v>26</v>
      </c>
      <c r="C577" s="5">
        <v>6.18</v>
      </c>
      <c r="D577" s="4">
        <v>21</v>
      </c>
      <c r="E577" s="5">
        <v>6.95</v>
      </c>
      <c r="F577" s="4">
        <v>5</v>
      </c>
      <c r="G577" s="5">
        <v>4.3899999999999997</v>
      </c>
      <c r="H577" s="4">
        <v>0</v>
      </c>
    </row>
    <row r="578" spans="1:8" x14ac:dyDescent="0.2">
      <c r="A578" s="1" t="s">
        <v>36</v>
      </c>
      <c r="B578" s="4">
        <v>608</v>
      </c>
      <c r="C578" s="5">
        <v>100</v>
      </c>
      <c r="D578" s="4">
        <v>319</v>
      </c>
      <c r="E578" s="5">
        <v>100</v>
      </c>
      <c r="F578" s="4">
        <v>285</v>
      </c>
      <c r="G578" s="5">
        <v>100</v>
      </c>
      <c r="H578" s="4">
        <v>0</v>
      </c>
    </row>
    <row r="579" spans="1:8" x14ac:dyDescent="0.2">
      <c r="A579" s="2" t="s">
        <v>45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46</v>
      </c>
      <c r="B580" s="4">
        <v>106</v>
      </c>
      <c r="C580" s="5">
        <v>17.43</v>
      </c>
      <c r="D580" s="4">
        <v>20</v>
      </c>
      <c r="E580" s="5">
        <v>6.27</v>
      </c>
      <c r="F580" s="4">
        <v>86</v>
      </c>
      <c r="G580" s="5">
        <v>30.18</v>
      </c>
      <c r="H580" s="4">
        <v>0</v>
      </c>
    </row>
    <row r="581" spans="1:8" x14ac:dyDescent="0.2">
      <c r="A581" s="2" t="s">
        <v>47</v>
      </c>
      <c r="B581" s="4">
        <v>45</v>
      </c>
      <c r="C581" s="5">
        <v>7.4</v>
      </c>
      <c r="D581" s="4">
        <v>18</v>
      </c>
      <c r="E581" s="5">
        <v>5.64</v>
      </c>
      <c r="F581" s="4">
        <v>27</v>
      </c>
      <c r="G581" s="5">
        <v>9.4700000000000006</v>
      </c>
      <c r="H581" s="4">
        <v>0</v>
      </c>
    </row>
    <row r="582" spans="1:8" x14ac:dyDescent="0.2">
      <c r="A582" s="2" t="s">
        <v>48</v>
      </c>
      <c r="B582" s="4">
        <v>3</v>
      </c>
      <c r="C582" s="5">
        <v>0.49</v>
      </c>
      <c r="D582" s="4">
        <v>0</v>
      </c>
      <c r="E582" s="5">
        <v>0</v>
      </c>
      <c r="F582" s="4">
        <v>3</v>
      </c>
      <c r="G582" s="5">
        <v>1.05</v>
      </c>
      <c r="H582" s="4">
        <v>0</v>
      </c>
    </row>
    <row r="583" spans="1:8" x14ac:dyDescent="0.2">
      <c r="A583" s="2" t="s">
        <v>49</v>
      </c>
      <c r="B583" s="4">
        <v>8</v>
      </c>
      <c r="C583" s="5">
        <v>1.32</v>
      </c>
      <c r="D583" s="4">
        <v>0</v>
      </c>
      <c r="E583" s="5">
        <v>0</v>
      </c>
      <c r="F583" s="4">
        <v>8</v>
      </c>
      <c r="G583" s="5">
        <v>2.81</v>
      </c>
      <c r="H583" s="4">
        <v>0</v>
      </c>
    </row>
    <row r="584" spans="1:8" x14ac:dyDescent="0.2">
      <c r="A584" s="2" t="s">
        <v>50</v>
      </c>
      <c r="B584" s="4">
        <v>11</v>
      </c>
      <c r="C584" s="5">
        <v>1.81</v>
      </c>
      <c r="D584" s="4">
        <v>2</v>
      </c>
      <c r="E584" s="5">
        <v>0.63</v>
      </c>
      <c r="F584" s="4">
        <v>9</v>
      </c>
      <c r="G584" s="5">
        <v>3.16</v>
      </c>
      <c r="H584" s="4">
        <v>0</v>
      </c>
    </row>
    <row r="585" spans="1:8" x14ac:dyDescent="0.2">
      <c r="A585" s="2" t="s">
        <v>51</v>
      </c>
      <c r="B585" s="4">
        <v>114</v>
      </c>
      <c r="C585" s="5">
        <v>18.75</v>
      </c>
      <c r="D585" s="4">
        <v>52</v>
      </c>
      <c r="E585" s="5">
        <v>16.3</v>
      </c>
      <c r="F585" s="4">
        <v>62</v>
      </c>
      <c r="G585" s="5">
        <v>21.75</v>
      </c>
      <c r="H585" s="4">
        <v>0</v>
      </c>
    </row>
    <row r="586" spans="1:8" x14ac:dyDescent="0.2">
      <c r="A586" s="2" t="s">
        <v>52</v>
      </c>
      <c r="B586" s="4">
        <v>1</v>
      </c>
      <c r="C586" s="5">
        <v>0.16</v>
      </c>
      <c r="D586" s="4">
        <v>0</v>
      </c>
      <c r="E586" s="5">
        <v>0</v>
      </c>
      <c r="F586" s="4">
        <v>1</v>
      </c>
      <c r="G586" s="5">
        <v>0.35</v>
      </c>
      <c r="H586" s="4">
        <v>0</v>
      </c>
    </row>
    <row r="587" spans="1:8" x14ac:dyDescent="0.2">
      <c r="A587" s="2" t="s">
        <v>53</v>
      </c>
      <c r="B587" s="4">
        <v>50</v>
      </c>
      <c r="C587" s="5">
        <v>8.2200000000000006</v>
      </c>
      <c r="D587" s="4">
        <v>29</v>
      </c>
      <c r="E587" s="5">
        <v>9.09</v>
      </c>
      <c r="F587" s="4">
        <v>21</v>
      </c>
      <c r="G587" s="5">
        <v>7.37</v>
      </c>
      <c r="H587" s="4">
        <v>0</v>
      </c>
    </row>
    <row r="588" spans="1:8" x14ac:dyDescent="0.2">
      <c r="A588" s="2" t="s">
        <v>54</v>
      </c>
      <c r="B588" s="4">
        <v>22</v>
      </c>
      <c r="C588" s="5">
        <v>3.62</v>
      </c>
      <c r="D588" s="4">
        <v>7</v>
      </c>
      <c r="E588" s="5">
        <v>2.19</v>
      </c>
      <c r="F588" s="4">
        <v>14</v>
      </c>
      <c r="G588" s="5">
        <v>4.91</v>
      </c>
      <c r="H588" s="4">
        <v>0</v>
      </c>
    </row>
    <row r="589" spans="1:8" x14ac:dyDescent="0.2">
      <c r="A589" s="2" t="s">
        <v>55</v>
      </c>
      <c r="B589" s="4">
        <v>75</v>
      </c>
      <c r="C589" s="5">
        <v>12.34</v>
      </c>
      <c r="D589" s="4">
        <v>60</v>
      </c>
      <c r="E589" s="5">
        <v>18.809999999999999</v>
      </c>
      <c r="F589" s="4">
        <v>15</v>
      </c>
      <c r="G589" s="5">
        <v>5.26</v>
      </c>
      <c r="H589" s="4">
        <v>0</v>
      </c>
    </row>
    <row r="590" spans="1:8" x14ac:dyDescent="0.2">
      <c r="A590" s="2" t="s">
        <v>56</v>
      </c>
      <c r="B590" s="4">
        <v>88</v>
      </c>
      <c r="C590" s="5">
        <v>14.47</v>
      </c>
      <c r="D590" s="4">
        <v>80</v>
      </c>
      <c r="E590" s="5">
        <v>25.08</v>
      </c>
      <c r="F590" s="4">
        <v>8</v>
      </c>
      <c r="G590" s="5">
        <v>2.81</v>
      </c>
      <c r="H590" s="4">
        <v>0</v>
      </c>
    </row>
    <row r="591" spans="1:8" x14ac:dyDescent="0.2">
      <c r="A591" s="2" t="s">
        <v>57</v>
      </c>
      <c r="B591" s="4">
        <v>24</v>
      </c>
      <c r="C591" s="5">
        <v>3.95</v>
      </c>
      <c r="D591" s="4">
        <v>13</v>
      </c>
      <c r="E591" s="5">
        <v>4.08</v>
      </c>
      <c r="F591" s="4">
        <v>9</v>
      </c>
      <c r="G591" s="5">
        <v>3.16</v>
      </c>
      <c r="H591" s="4">
        <v>0</v>
      </c>
    </row>
    <row r="592" spans="1:8" x14ac:dyDescent="0.2">
      <c r="A592" s="2" t="s">
        <v>58</v>
      </c>
      <c r="B592" s="4">
        <v>26</v>
      </c>
      <c r="C592" s="5">
        <v>4.28</v>
      </c>
      <c r="D592" s="4">
        <v>17</v>
      </c>
      <c r="E592" s="5">
        <v>5.33</v>
      </c>
      <c r="F592" s="4">
        <v>8</v>
      </c>
      <c r="G592" s="5">
        <v>2.81</v>
      </c>
      <c r="H592" s="4">
        <v>0</v>
      </c>
    </row>
    <row r="593" spans="1:8" x14ac:dyDescent="0.2">
      <c r="A593" s="2" t="s">
        <v>59</v>
      </c>
      <c r="B593" s="4">
        <v>35</v>
      </c>
      <c r="C593" s="5">
        <v>5.76</v>
      </c>
      <c r="D593" s="4">
        <v>21</v>
      </c>
      <c r="E593" s="5">
        <v>6.58</v>
      </c>
      <c r="F593" s="4">
        <v>14</v>
      </c>
      <c r="G593" s="5">
        <v>4.91</v>
      </c>
      <c r="H593" s="4">
        <v>0</v>
      </c>
    </row>
    <row r="594" spans="1:8" x14ac:dyDescent="0.2">
      <c r="A594" s="1" t="s">
        <v>37</v>
      </c>
      <c r="B594" s="4">
        <v>614</v>
      </c>
      <c r="C594" s="5">
        <v>100.00000000000001</v>
      </c>
      <c r="D594" s="4">
        <v>443</v>
      </c>
      <c r="E594" s="5">
        <v>100.01</v>
      </c>
      <c r="F594" s="4">
        <v>158</v>
      </c>
      <c r="G594" s="5">
        <v>100</v>
      </c>
      <c r="H594" s="4">
        <v>3</v>
      </c>
    </row>
    <row r="595" spans="1:8" x14ac:dyDescent="0.2">
      <c r="A595" s="2" t="s">
        <v>45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46</v>
      </c>
      <c r="B596" s="4">
        <v>136</v>
      </c>
      <c r="C596" s="5">
        <v>22.15</v>
      </c>
      <c r="D596" s="4">
        <v>93</v>
      </c>
      <c r="E596" s="5">
        <v>20.99</v>
      </c>
      <c r="F596" s="4">
        <v>43</v>
      </c>
      <c r="G596" s="5">
        <v>27.22</v>
      </c>
      <c r="H596" s="4">
        <v>0</v>
      </c>
    </row>
    <row r="597" spans="1:8" x14ac:dyDescent="0.2">
      <c r="A597" s="2" t="s">
        <v>47</v>
      </c>
      <c r="B597" s="4">
        <v>56</v>
      </c>
      <c r="C597" s="5">
        <v>9.1199999999999992</v>
      </c>
      <c r="D597" s="4">
        <v>27</v>
      </c>
      <c r="E597" s="5">
        <v>6.09</v>
      </c>
      <c r="F597" s="4">
        <v>29</v>
      </c>
      <c r="G597" s="5">
        <v>18.350000000000001</v>
      </c>
      <c r="H597" s="4">
        <v>0</v>
      </c>
    </row>
    <row r="598" spans="1:8" x14ac:dyDescent="0.2">
      <c r="A598" s="2" t="s">
        <v>48</v>
      </c>
      <c r="B598" s="4">
        <v>1</v>
      </c>
      <c r="C598" s="5">
        <v>0.16</v>
      </c>
      <c r="D598" s="4">
        <v>0</v>
      </c>
      <c r="E598" s="5">
        <v>0</v>
      </c>
      <c r="F598" s="4">
        <v>1</v>
      </c>
      <c r="G598" s="5">
        <v>0.63</v>
      </c>
      <c r="H598" s="4">
        <v>0</v>
      </c>
    </row>
    <row r="599" spans="1:8" x14ac:dyDescent="0.2">
      <c r="A599" s="2" t="s">
        <v>49</v>
      </c>
      <c r="B599" s="4">
        <v>3</v>
      </c>
      <c r="C599" s="5">
        <v>0.49</v>
      </c>
      <c r="D599" s="4">
        <v>0</v>
      </c>
      <c r="E599" s="5">
        <v>0</v>
      </c>
      <c r="F599" s="4">
        <v>3</v>
      </c>
      <c r="G599" s="5">
        <v>1.9</v>
      </c>
      <c r="H599" s="4">
        <v>0</v>
      </c>
    </row>
    <row r="600" spans="1:8" x14ac:dyDescent="0.2">
      <c r="A600" s="2" t="s">
        <v>50</v>
      </c>
      <c r="B600" s="4">
        <v>2</v>
      </c>
      <c r="C600" s="5">
        <v>0.33</v>
      </c>
      <c r="D600" s="4">
        <v>0</v>
      </c>
      <c r="E600" s="5">
        <v>0</v>
      </c>
      <c r="F600" s="4">
        <v>1</v>
      </c>
      <c r="G600" s="5">
        <v>0.63</v>
      </c>
      <c r="H600" s="4">
        <v>1</v>
      </c>
    </row>
    <row r="601" spans="1:8" x14ac:dyDescent="0.2">
      <c r="A601" s="2" t="s">
        <v>51</v>
      </c>
      <c r="B601" s="4">
        <v>193</v>
      </c>
      <c r="C601" s="5">
        <v>31.43</v>
      </c>
      <c r="D601" s="4">
        <v>144</v>
      </c>
      <c r="E601" s="5">
        <v>32.51</v>
      </c>
      <c r="F601" s="4">
        <v>49</v>
      </c>
      <c r="G601" s="5">
        <v>31.01</v>
      </c>
      <c r="H601" s="4">
        <v>0</v>
      </c>
    </row>
    <row r="602" spans="1:8" x14ac:dyDescent="0.2">
      <c r="A602" s="2" t="s">
        <v>52</v>
      </c>
      <c r="B602" s="4">
        <v>1</v>
      </c>
      <c r="C602" s="5">
        <v>0.16</v>
      </c>
      <c r="D602" s="4">
        <v>0</v>
      </c>
      <c r="E602" s="5">
        <v>0</v>
      </c>
      <c r="F602" s="4">
        <v>1</v>
      </c>
      <c r="G602" s="5">
        <v>0.63</v>
      </c>
      <c r="H602" s="4">
        <v>0</v>
      </c>
    </row>
    <row r="603" spans="1:8" x14ac:dyDescent="0.2">
      <c r="A603" s="2" t="s">
        <v>53</v>
      </c>
      <c r="B603" s="4">
        <v>18</v>
      </c>
      <c r="C603" s="5">
        <v>2.93</v>
      </c>
      <c r="D603" s="4">
        <v>16</v>
      </c>
      <c r="E603" s="5">
        <v>3.61</v>
      </c>
      <c r="F603" s="4">
        <v>2</v>
      </c>
      <c r="G603" s="5">
        <v>1.27</v>
      </c>
      <c r="H603" s="4">
        <v>0</v>
      </c>
    </row>
    <row r="604" spans="1:8" x14ac:dyDescent="0.2">
      <c r="A604" s="2" t="s">
        <v>54</v>
      </c>
      <c r="B604" s="4">
        <v>13</v>
      </c>
      <c r="C604" s="5">
        <v>2.12</v>
      </c>
      <c r="D604" s="4">
        <v>10</v>
      </c>
      <c r="E604" s="5">
        <v>2.2599999999999998</v>
      </c>
      <c r="F604" s="4">
        <v>2</v>
      </c>
      <c r="G604" s="5">
        <v>1.27</v>
      </c>
      <c r="H604" s="4">
        <v>0</v>
      </c>
    </row>
    <row r="605" spans="1:8" x14ac:dyDescent="0.2">
      <c r="A605" s="2" t="s">
        <v>55</v>
      </c>
      <c r="B605" s="4">
        <v>70</v>
      </c>
      <c r="C605" s="5">
        <v>11.4</v>
      </c>
      <c r="D605" s="4">
        <v>60</v>
      </c>
      <c r="E605" s="5">
        <v>13.54</v>
      </c>
      <c r="F605" s="4">
        <v>10</v>
      </c>
      <c r="G605" s="5">
        <v>6.33</v>
      </c>
      <c r="H605" s="4">
        <v>0</v>
      </c>
    </row>
    <row r="606" spans="1:8" x14ac:dyDescent="0.2">
      <c r="A606" s="2" t="s">
        <v>56</v>
      </c>
      <c r="B606" s="4">
        <v>72</v>
      </c>
      <c r="C606" s="5">
        <v>11.73</v>
      </c>
      <c r="D606" s="4">
        <v>62</v>
      </c>
      <c r="E606" s="5">
        <v>14</v>
      </c>
      <c r="F606" s="4">
        <v>9</v>
      </c>
      <c r="G606" s="5">
        <v>5.7</v>
      </c>
      <c r="H606" s="4">
        <v>0</v>
      </c>
    </row>
    <row r="607" spans="1:8" x14ac:dyDescent="0.2">
      <c r="A607" s="2" t="s">
        <v>57</v>
      </c>
      <c r="B607" s="4">
        <v>17</v>
      </c>
      <c r="C607" s="5">
        <v>2.77</v>
      </c>
      <c r="D607" s="4">
        <v>8</v>
      </c>
      <c r="E607" s="5">
        <v>1.81</v>
      </c>
      <c r="F607" s="4">
        <v>1</v>
      </c>
      <c r="G607" s="5">
        <v>0.63</v>
      </c>
      <c r="H607" s="4">
        <v>0</v>
      </c>
    </row>
    <row r="608" spans="1:8" x14ac:dyDescent="0.2">
      <c r="A608" s="2" t="s">
        <v>58</v>
      </c>
      <c r="B608" s="4">
        <v>11</v>
      </c>
      <c r="C608" s="5">
        <v>1.79</v>
      </c>
      <c r="D608" s="4">
        <v>8</v>
      </c>
      <c r="E608" s="5">
        <v>1.81</v>
      </c>
      <c r="F608" s="4">
        <v>3</v>
      </c>
      <c r="G608" s="5">
        <v>1.9</v>
      </c>
      <c r="H608" s="4">
        <v>0</v>
      </c>
    </row>
    <row r="609" spans="1:8" x14ac:dyDescent="0.2">
      <c r="A609" s="2" t="s">
        <v>59</v>
      </c>
      <c r="B609" s="4">
        <v>21</v>
      </c>
      <c r="C609" s="5">
        <v>3.42</v>
      </c>
      <c r="D609" s="4">
        <v>15</v>
      </c>
      <c r="E609" s="5">
        <v>3.39</v>
      </c>
      <c r="F609" s="4">
        <v>4</v>
      </c>
      <c r="G609" s="5">
        <v>2.5299999999999998</v>
      </c>
      <c r="H609" s="4">
        <v>2</v>
      </c>
    </row>
    <row r="610" spans="1:8" x14ac:dyDescent="0.2">
      <c r="A610" s="1" t="s">
        <v>38</v>
      </c>
      <c r="B610" s="4">
        <v>306</v>
      </c>
      <c r="C610" s="5">
        <v>99.999999999999986</v>
      </c>
      <c r="D610" s="4">
        <v>152</v>
      </c>
      <c r="E610" s="5">
        <v>99.99</v>
      </c>
      <c r="F610" s="4">
        <v>148</v>
      </c>
      <c r="G610" s="5">
        <v>100.04000000000002</v>
      </c>
      <c r="H610" s="4">
        <v>1</v>
      </c>
    </row>
    <row r="611" spans="1:8" x14ac:dyDescent="0.2">
      <c r="A611" s="2" t="s">
        <v>45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46</v>
      </c>
      <c r="B612" s="4">
        <v>53</v>
      </c>
      <c r="C612" s="5">
        <v>17.32</v>
      </c>
      <c r="D612" s="4">
        <v>19</v>
      </c>
      <c r="E612" s="5">
        <v>12.5</v>
      </c>
      <c r="F612" s="4">
        <v>34</v>
      </c>
      <c r="G612" s="5">
        <v>22.97</v>
      </c>
      <c r="H612" s="4">
        <v>0</v>
      </c>
    </row>
    <row r="613" spans="1:8" x14ac:dyDescent="0.2">
      <c r="A613" s="2" t="s">
        <v>47</v>
      </c>
      <c r="B613" s="4">
        <v>28</v>
      </c>
      <c r="C613" s="5">
        <v>9.15</v>
      </c>
      <c r="D613" s="4">
        <v>13</v>
      </c>
      <c r="E613" s="5">
        <v>8.5500000000000007</v>
      </c>
      <c r="F613" s="4">
        <v>15</v>
      </c>
      <c r="G613" s="5">
        <v>10.14</v>
      </c>
      <c r="H613" s="4">
        <v>0</v>
      </c>
    </row>
    <row r="614" spans="1:8" x14ac:dyDescent="0.2">
      <c r="A614" s="2" t="s">
        <v>48</v>
      </c>
      <c r="B614" s="4">
        <v>1</v>
      </c>
      <c r="C614" s="5">
        <v>0.33</v>
      </c>
      <c r="D614" s="4">
        <v>0</v>
      </c>
      <c r="E614" s="5">
        <v>0</v>
      </c>
      <c r="F614" s="4">
        <v>1</v>
      </c>
      <c r="G614" s="5">
        <v>0.68</v>
      </c>
      <c r="H614" s="4">
        <v>0</v>
      </c>
    </row>
    <row r="615" spans="1:8" x14ac:dyDescent="0.2">
      <c r="A615" s="2" t="s">
        <v>49</v>
      </c>
      <c r="B615" s="4">
        <v>1</v>
      </c>
      <c r="C615" s="5">
        <v>0.33</v>
      </c>
      <c r="D615" s="4">
        <v>0</v>
      </c>
      <c r="E615" s="5">
        <v>0</v>
      </c>
      <c r="F615" s="4">
        <v>1</v>
      </c>
      <c r="G615" s="5">
        <v>0.68</v>
      </c>
      <c r="H615" s="4">
        <v>0</v>
      </c>
    </row>
    <row r="616" spans="1:8" x14ac:dyDescent="0.2">
      <c r="A616" s="2" t="s">
        <v>50</v>
      </c>
      <c r="B616" s="4">
        <v>5</v>
      </c>
      <c r="C616" s="5">
        <v>1.63</v>
      </c>
      <c r="D616" s="4">
        <v>0</v>
      </c>
      <c r="E616" s="5">
        <v>0</v>
      </c>
      <c r="F616" s="4">
        <v>5</v>
      </c>
      <c r="G616" s="5">
        <v>3.38</v>
      </c>
      <c r="H616" s="4">
        <v>0</v>
      </c>
    </row>
    <row r="617" spans="1:8" x14ac:dyDescent="0.2">
      <c r="A617" s="2" t="s">
        <v>51</v>
      </c>
      <c r="B617" s="4">
        <v>67</v>
      </c>
      <c r="C617" s="5">
        <v>21.9</v>
      </c>
      <c r="D617" s="4">
        <v>41</v>
      </c>
      <c r="E617" s="5">
        <v>26.97</v>
      </c>
      <c r="F617" s="4">
        <v>26</v>
      </c>
      <c r="G617" s="5">
        <v>17.57</v>
      </c>
      <c r="H617" s="4">
        <v>0</v>
      </c>
    </row>
    <row r="618" spans="1:8" x14ac:dyDescent="0.2">
      <c r="A618" s="2" t="s">
        <v>52</v>
      </c>
      <c r="B618" s="4">
        <v>2</v>
      </c>
      <c r="C618" s="5">
        <v>0.65</v>
      </c>
      <c r="D618" s="4">
        <v>1</v>
      </c>
      <c r="E618" s="5">
        <v>0.66</v>
      </c>
      <c r="F618" s="4">
        <v>1</v>
      </c>
      <c r="G618" s="5">
        <v>0.68</v>
      </c>
      <c r="H618" s="4">
        <v>0</v>
      </c>
    </row>
    <row r="619" spans="1:8" x14ac:dyDescent="0.2">
      <c r="A619" s="2" t="s">
        <v>53</v>
      </c>
      <c r="B619" s="4">
        <v>16</v>
      </c>
      <c r="C619" s="5">
        <v>5.23</v>
      </c>
      <c r="D619" s="4">
        <v>1</v>
      </c>
      <c r="E619" s="5">
        <v>0.66</v>
      </c>
      <c r="F619" s="4">
        <v>15</v>
      </c>
      <c r="G619" s="5">
        <v>10.14</v>
      </c>
      <c r="H619" s="4">
        <v>0</v>
      </c>
    </row>
    <row r="620" spans="1:8" x14ac:dyDescent="0.2">
      <c r="A620" s="2" t="s">
        <v>54</v>
      </c>
      <c r="B620" s="4">
        <v>13</v>
      </c>
      <c r="C620" s="5">
        <v>4.25</v>
      </c>
      <c r="D620" s="4">
        <v>3</v>
      </c>
      <c r="E620" s="5">
        <v>1.97</v>
      </c>
      <c r="F620" s="4">
        <v>10</v>
      </c>
      <c r="G620" s="5">
        <v>6.76</v>
      </c>
      <c r="H620" s="4">
        <v>0</v>
      </c>
    </row>
    <row r="621" spans="1:8" x14ac:dyDescent="0.2">
      <c r="A621" s="2" t="s">
        <v>55</v>
      </c>
      <c r="B621" s="4">
        <v>40</v>
      </c>
      <c r="C621" s="5">
        <v>13.07</v>
      </c>
      <c r="D621" s="4">
        <v>32</v>
      </c>
      <c r="E621" s="5">
        <v>21.05</v>
      </c>
      <c r="F621" s="4">
        <v>8</v>
      </c>
      <c r="G621" s="5">
        <v>5.41</v>
      </c>
      <c r="H621" s="4">
        <v>0</v>
      </c>
    </row>
    <row r="622" spans="1:8" x14ac:dyDescent="0.2">
      <c r="A622" s="2" t="s">
        <v>56</v>
      </c>
      <c r="B622" s="4">
        <v>26</v>
      </c>
      <c r="C622" s="5">
        <v>8.5</v>
      </c>
      <c r="D622" s="4">
        <v>22</v>
      </c>
      <c r="E622" s="5">
        <v>14.47</v>
      </c>
      <c r="F622" s="4">
        <v>3</v>
      </c>
      <c r="G622" s="5">
        <v>2.0299999999999998</v>
      </c>
      <c r="H622" s="4">
        <v>1</v>
      </c>
    </row>
    <row r="623" spans="1:8" x14ac:dyDescent="0.2">
      <c r="A623" s="2" t="s">
        <v>57</v>
      </c>
      <c r="B623" s="4">
        <v>8</v>
      </c>
      <c r="C623" s="5">
        <v>2.61</v>
      </c>
      <c r="D623" s="4">
        <v>5</v>
      </c>
      <c r="E623" s="5">
        <v>3.29</v>
      </c>
      <c r="F623" s="4">
        <v>1</v>
      </c>
      <c r="G623" s="5">
        <v>0.68</v>
      </c>
      <c r="H623" s="4">
        <v>0</v>
      </c>
    </row>
    <row r="624" spans="1:8" x14ac:dyDescent="0.2">
      <c r="A624" s="2" t="s">
        <v>58</v>
      </c>
      <c r="B624" s="4">
        <v>18</v>
      </c>
      <c r="C624" s="5">
        <v>5.88</v>
      </c>
      <c r="D624" s="4">
        <v>7</v>
      </c>
      <c r="E624" s="5">
        <v>4.6100000000000003</v>
      </c>
      <c r="F624" s="4">
        <v>9</v>
      </c>
      <c r="G624" s="5">
        <v>6.08</v>
      </c>
      <c r="H624" s="4">
        <v>0</v>
      </c>
    </row>
    <row r="625" spans="1:8" x14ac:dyDescent="0.2">
      <c r="A625" s="2" t="s">
        <v>59</v>
      </c>
      <c r="B625" s="4">
        <v>28</v>
      </c>
      <c r="C625" s="5">
        <v>9.15</v>
      </c>
      <c r="D625" s="4">
        <v>8</v>
      </c>
      <c r="E625" s="5">
        <v>5.26</v>
      </c>
      <c r="F625" s="4">
        <v>19</v>
      </c>
      <c r="G625" s="5">
        <v>12.84</v>
      </c>
      <c r="H625" s="4">
        <v>0</v>
      </c>
    </row>
    <row r="626" spans="1:8" x14ac:dyDescent="0.2">
      <c r="A626" s="1" t="s">
        <v>39</v>
      </c>
      <c r="B626" s="4">
        <v>797</v>
      </c>
      <c r="C626" s="5">
        <v>100.01</v>
      </c>
      <c r="D626" s="4">
        <v>388</v>
      </c>
      <c r="E626" s="5">
        <v>100.01</v>
      </c>
      <c r="F626" s="4">
        <v>401</v>
      </c>
      <c r="G626" s="5">
        <v>100.00999999999999</v>
      </c>
      <c r="H626" s="4">
        <v>0</v>
      </c>
    </row>
    <row r="627" spans="1:8" x14ac:dyDescent="0.2">
      <c r="A627" s="2" t="s">
        <v>45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46</v>
      </c>
      <c r="B628" s="4">
        <v>144</v>
      </c>
      <c r="C628" s="5">
        <v>18.07</v>
      </c>
      <c r="D628" s="4">
        <v>54</v>
      </c>
      <c r="E628" s="5">
        <v>13.92</v>
      </c>
      <c r="F628" s="4">
        <v>90</v>
      </c>
      <c r="G628" s="5">
        <v>22.44</v>
      </c>
      <c r="H628" s="4">
        <v>0</v>
      </c>
    </row>
    <row r="629" spans="1:8" x14ac:dyDescent="0.2">
      <c r="A629" s="2" t="s">
        <v>47</v>
      </c>
      <c r="B629" s="4">
        <v>56</v>
      </c>
      <c r="C629" s="5">
        <v>7.03</v>
      </c>
      <c r="D629" s="4">
        <v>10</v>
      </c>
      <c r="E629" s="5">
        <v>2.58</v>
      </c>
      <c r="F629" s="4">
        <v>46</v>
      </c>
      <c r="G629" s="5">
        <v>11.47</v>
      </c>
      <c r="H629" s="4">
        <v>0</v>
      </c>
    </row>
    <row r="630" spans="1:8" x14ac:dyDescent="0.2">
      <c r="A630" s="2" t="s">
        <v>48</v>
      </c>
      <c r="B630" s="4">
        <v>3</v>
      </c>
      <c r="C630" s="5">
        <v>0.38</v>
      </c>
      <c r="D630" s="4">
        <v>0</v>
      </c>
      <c r="E630" s="5">
        <v>0</v>
      </c>
      <c r="F630" s="4">
        <v>3</v>
      </c>
      <c r="G630" s="5">
        <v>0.75</v>
      </c>
      <c r="H630" s="4">
        <v>0</v>
      </c>
    </row>
    <row r="631" spans="1:8" x14ac:dyDescent="0.2">
      <c r="A631" s="2" t="s">
        <v>49</v>
      </c>
      <c r="B631" s="4">
        <v>8</v>
      </c>
      <c r="C631" s="5">
        <v>1</v>
      </c>
      <c r="D631" s="4">
        <v>0</v>
      </c>
      <c r="E631" s="5">
        <v>0</v>
      </c>
      <c r="F631" s="4">
        <v>8</v>
      </c>
      <c r="G631" s="5">
        <v>2</v>
      </c>
      <c r="H631" s="4">
        <v>0</v>
      </c>
    </row>
    <row r="632" spans="1:8" x14ac:dyDescent="0.2">
      <c r="A632" s="2" t="s">
        <v>50</v>
      </c>
      <c r="B632" s="4">
        <v>9</v>
      </c>
      <c r="C632" s="5">
        <v>1.1299999999999999</v>
      </c>
      <c r="D632" s="4">
        <v>1</v>
      </c>
      <c r="E632" s="5">
        <v>0.26</v>
      </c>
      <c r="F632" s="4">
        <v>7</v>
      </c>
      <c r="G632" s="5">
        <v>1.75</v>
      </c>
      <c r="H632" s="4">
        <v>0</v>
      </c>
    </row>
    <row r="633" spans="1:8" x14ac:dyDescent="0.2">
      <c r="A633" s="2" t="s">
        <v>51</v>
      </c>
      <c r="B633" s="4">
        <v>171</v>
      </c>
      <c r="C633" s="5">
        <v>21.46</v>
      </c>
      <c r="D633" s="4">
        <v>60</v>
      </c>
      <c r="E633" s="5">
        <v>15.46</v>
      </c>
      <c r="F633" s="4">
        <v>111</v>
      </c>
      <c r="G633" s="5">
        <v>27.68</v>
      </c>
      <c r="H633" s="4">
        <v>0</v>
      </c>
    </row>
    <row r="634" spans="1:8" x14ac:dyDescent="0.2">
      <c r="A634" s="2" t="s">
        <v>52</v>
      </c>
      <c r="B634" s="4">
        <v>2</v>
      </c>
      <c r="C634" s="5">
        <v>0.25</v>
      </c>
      <c r="D634" s="4">
        <v>0</v>
      </c>
      <c r="E634" s="5">
        <v>0</v>
      </c>
      <c r="F634" s="4">
        <v>2</v>
      </c>
      <c r="G634" s="5">
        <v>0.5</v>
      </c>
      <c r="H634" s="4">
        <v>0</v>
      </c>
    </row>
    <row r="635" spans="1:8" x14ac:dyDescent="0.2">
      <c r="A635" s="2" t="s">
        <v>53</v>
      </c>
      <c r="B635" s="4">
        <v>41</v>
      </c>
      <c r="C635" s="5">
        <v>5.14</v>
      </c>
      <c r="D635" s="4">
        <v>9</v>
      </c>
      <c r="E635" s="5">
        <v>2.3199999999999998</v>
      </c>
      <c r="F635" s="4">
        <v>31</v>
      </c>
      <c r="G635" s="5">
        <v>7.73</v>
      </c>
      <c r="H635" s="4">
        <v>0</v>
      </c>
    </row>
    <row r="636" spans="1:8" x14ac:dyDescent="0.2">
      <c r="A636" s="2" t="s">
        <v>54</v>
      </c>
      <c r="B636" s="4">
        <v>29</v>
      </c>
      <c r="C636" s="5">
        <v>3.64</v>
      </c>
      <c r="D636" s="4">
        <v>8</v>
      </c>
      <c r="E636" s="5">
        <v>2.06</v>
      </c>
      <c r="F636" s="4">
        <v>21</v>
      </c>
      <c r="G636" s="5">
        <v>5.24</v>
      </c>
      <c r="H636" s="4">
        <v>0</v>
      </c>
    </row>
    <row r="637" spans="1:8" x14ac:dyDescent="0.2">
      <c r="A637" s="2" t="s">
        <v>55</v>
      </c>
      <c r="B637" s="4">
        <v>86</v>
      </c>
      <c r="C637" s="5">
        <v>10.79</v>
      </c>
      <c r="D637" s="4">
        <v>71</v>
      </c>
      <c r="E637" s="5">
        <v>18.3</v>
      </c>
      <c r="F637" s="4">
        <v>15</v>
      </c>
      <c r="G637" s="5">
        <v>3.74</v>
      </c>
      <c r="H637" s="4">
        <v>0</v>
      </c>
    </row>
    <row r="638" spans="1:8" x14ac:dyDescent="0.2">
      <c r="A638" s="2" t="s">
        <v>56</v>
      </c>
      <c r="B638" s="4">
        <v>121</v>
      </c>
      <c r="C638" s="5">
        <v>15.18</v>
      </c>
      <c r="D638" s="4">
        <v>99</v>
      </c>
      <c r="E638" s="5">
        <v>25.52</v>
      </c>
      <c r="F638" s="4">
        <v>22</v>
      </c>
      <c r="G638" s="5">
        <v>5.49</v>
      </c>
      <c r="H638" s="4">
        <v>0</v>
      </c>
    </row>
    <row r="639" spans="1:8" x14ac:dyDescent="0.2">
      <c r="A639" s="2" t="s">
        <v>57</v>
      </c>
      <c r="B639" s="4">
        <v>23</v>
      </c>
      <c r="C639" s="5">
        <v>2.89</v>
      </c>
      <c r="D639" s="4">
        <v>18</v>
      </c>
      <c r="E639" s="5">
        <v>4.6399999999999997</v>
      </c>
      <c r="F639" s="4">
        <v>4</v>
      </c>
      <c r="G639" s="5">
        <v>1</v>
      </c>
      <c r="H639" s="4">
        <v>0</v>
      </c>
    </row>
    <row r="640" spans="1:8" x14ac:dyDescent="0.2">
      <c r="A640" s="2" t="s">
        <v>58</v>
      </c>
      <c r="B640" s="4">
        <v>45</v>
      </c>
      <c r="C640" s="5">
        <v>5.65</v>
      </c>
      <c r="D640" s="4">
        <v>32</v>
      </c>
      <c r="E640" s="5">
        <v>8.25</v>
      </c>
      <c r="F640" s="4">
        <v>9</v>
      </c>
      <c r="G640" s="5">
        <v>2.2400000000000002</v>
      </c>
      <c r="H640" s="4">
        <v>0</v>
      </c>
    </row>
    <row r="641" spans="1:8" x14ac:dyDescent="0.2">
      <c r="A641" s="2" t="s">
        <v>59</v>
      </c>
      <c r="B641" s="4">
        <v>59</v>
      </c>
      <c r="C641" s="5">
        <v>7.4</v>
      </c>
      <c r="D641" s="4">
        <v>26</v>
      </c>
      <c r="E641" s="5">
        <v>6.7</v>
      </c>
      <c r="F641" s="4">
        <v>32</v>
      </c>
      <c r="G641" s="5">
        <v>7.98</v>
      </c>
      <c r="H641" s="4">
        <v>0</v>
      </c>
    </row>
    <row r="642" spans="1:8" x14ac:dyDescent="0.2">
      <c r="A642" s="1" t="s">
        <v>40</v>
      </c>
      <c r="B642" s="4">
        <v>210</v>
      </c>
      <c r="C642" s="5">
        <v>100.00000000000001</v>
      </c>
      <c r="D642" s="4">
        <v>125</v>
      </c>
      <c r="E642" s="5">
        <v>99.999999999999986</v>
      </c>
      <c r="F642" s="4">
        <v>80</v>
      </c>
      <c r="G642" s="5">
        <v>100</v>
      </c>
      <c r="H642" s="4">
        <v>1</v>
      </c>
    </row>
    <row r="643" spans="1:8" x14ac:dyDescent="0.2">
      <c r="A643" s="2" t="s">
        <v>45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46</v>
      </c>
      <c r="B644" s="4">
        <v>55</v>
      </c>
      <c r="C644" s="5">
        <v>26.19</v>
      </c>
      <c r="D644" s="4">
        <v>28</v>
      </c>
      <c r="E644" s="5">
        <v>22.4</v>
      </c>
      <c r="F644" s="4">
        <v>27</v>
      </c>
      <c r="G644" s="5">
        <v>33.75</v>
      </c>
      <c r="H644" s="4">
        <v>0</v>
      </c>
    </row>
    <row r="645" spans="1:8" x14ac:dyDescent="0.2">
      <c r="A645" s="2" t="s">
        <v>47</v>
      </c>
      <c r="B645" s="4">
        <v>32</v>
      </c>
      <c r="C645" s="5">
        <v>15.24</v>
      </c>
      <c r="D645" s="4">
        <v>9</v>
      </c>
      <c r="E645" s="5">
        <v>7.2</v>
      </c>
      <c r="F645" s="4">
        <v>23</v>
      </c>
      <c r="G645" s="5">
        <v>28.75</v>
      </c>
      <c r="H645" s="4">
        <v>0</v>
      </c>
    </row>
    <row r="646" spans="1:8" x14ac:dyDescent="0.2">
      <c r="A646" s="2" t="s">
        <v>48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2">
      <c r="A647" s="2" t="s">
        <v>49</v>
      </c>
      <c r="B647" s="4">
        <v>1</v>
      </c>
      <c r="C647" s="5">
        <v>0.48</v>
      </c>
      <c r="D647" s="4">
        <v>0</v>
      </c>
      <c r="E647" s="5">
        <v>0</v>
      </c>
      <c r="F647" s="4">
        <v>1</v>
      </c>
      <c r="G647" s="5">
        <v>1.25</v>
      </c>
      <c r="H647" s="4">
        <v>0</v>
      </c>
    </row>
    <row r="648" spans="1:8" x14ac:dyDescent="0.2">
      <c r="A648" s="2" t="s">
        <v>50</v>
      </c>
      <c r="B648" s="4">
        <v>3</v>
      </c>
      <c r="C648" s="5">
        <v>1.43</v>
      </c>
      <c r="D648" s="4">
        <v>2</v>
      </c>
      <c r="E648" s="5">
        <v>1.6</v>
      </c>
      <c r="F648" s="4">
        <v>1</v>
      </c>
      <c r="G648" s="5">
        <v>1.25</v>
      </c>
      <c r="H648" s="4">
        <v>0</v>
      </c>
    </row>
    <row r="649" spans="1:8" x14ac:dyDescent="0.2">
      <c r="A649" s="2" t="s">
        <v>51</v>
      </c>
      <c r="B649" s="4">
        <v>52</v>
      </c>
      <c r="C649" s="5">
        <v>24.76</v>
      </c>
      <c r="D649" s="4">
        <v>34</v>
      </c>
      <c r="E649" s="5">
        <v>27.2</v>
      </c>
      <c r="F649" s="4">
        <v>18</v>
      </c>
      <c r="G649" s="5">
        <v>22.5</v>
      </c>
      <c r="H649" s="4">
        <v>0</v>
      </c>
    </row>
    <row r="650" spans="1:8" x14ac:dyDescent="0.2">
      <c r="A650" s="2" t="s">
        <v>52</v>
      </c>
      <c r="B650" s="4">
        <v>1</v>
      </c>
      <c r="C650" s="5">
        <v>0.48</v>
      </c>
      <c r="D650" s="4">
        <v>0</v>
      </c>
      <c r="E650" s="5">
        <v>0</v>
      </c>
      <c r="F650" s="4">
        <v>1</v>
      </c>
      <c r="G650" s="5">
        <v>1.25</v>
      </c>
      <c r="H650" s="4">
        <v>0</v>
      </c>
    </row>
    <row r="651" spans="1:8" x14ac:dyDescent="0.2">
      <c r="A651" s="2" t="s">
        <v>53</v>
      </c>
      <c r="B651" s="4">
        <v>4</v>
      </c>
      <c r="C651" s="5">
        <v>1.9</v>
      </c>
      <c r="D651" s="4">
        <v>1</v>
      </c>
      <c r="E651" s="5">
        <v>0.8</v>
      </c>
      <c r="F651" s="4">
        <v>3</v>
      </c>
      <c r="G651" s="5">
        <v>3.75</v>
      </c>
      <c r="H651" s="4">
        <v>0</v>
      </c>
    </row>
    <row r="652" spans="1:8" x14ac:dyDescent="0.2">
      <c r="A652" s="2" t="s">
        <v>54</v>
      </c>
      <c r="B652" s="4">
        <v>4</v>
      </c>
      <c r="C652" s="5">
        <v>1.9</v>
      </c>
      <c r="D652" s="4">
        <v>3</v>
      </c>
      <c r="E652" s="5">
        <v>2.4</v>
      </c>
      <c r="F652" s="4">
        <v>0</v>
      </c>
      <c r="G652" s="5">
        <v>0</v>
      </c>
      <c r="H652" s="4">
        <v>0</v>
      </c>
    </row>
    <row r="653" spans="1:8" x14ac:dyDescent="0.2">
      <c r="A653" s="2" t="s">
        <v>55</v>
      </c>
      <c r="B653" s="4">
        <v>11</v>
      </c>
      <c r="C653" s="5">
        <v>5.24</v>
      </c>
      <c r="D653" s="4">
        <v>9</v>
      </c>
      <c r="E653" s="5">
        <v>7.2</v>
      </c>
      <c r="F653" s="4">
        <v>2</v>
      </c>
      <c r="G653" s="5">
        <v>2.5</v>
      </c>
      <c r="H653" s="4">
        <v>0</v>
      </c>
    </row>
    <row r="654" spans="1:8" x14ac:dyDescent="0.2">
      <c r="A654" s="2" t="s">
        <v>56</v>
      </c>
      <c r="B654" s="4">
        <v>24</v>
      </c>
      <c r="C654" s="5">
        <v>11.43</v>
      </c>
      <c r="D654" s="4">
        <v>23</v>
      </c>
      <c r="E654" s="5">
        <v>18.399999999999999</v>
      </c>
      <c r="F654" s="4">
        <v>0</v>
      </c>
      <c r="G654" s="5">
        <v>0</v>
      </c>
      <c r="H654" s="4">
        <v>1</v>
      </c>
    </row>
    <row r="655" spans="1:8" x14ac:dyDescent="0.2">
      <c r="A655" s="2" t="s">
        <v>57</v>
      </c>
      <c r="B655" s="4">
        <v>2</v>
      </c>
      <c r="C655" s="5">
        <v>0.95</v>
      </c>
      <c r="D655" s="4">
        <v>2</v>
      </c>
      <c r="E655" s="5">
        <v>1.6</v>
      </c>
      <c r="F655" s="4">
        <v>0</v>
      </c>
      <c r="G655" s="5">
        <v>0</v>
      </c>
      <c r="H655" s="4">
        <v>0</v>
      </c>
    </row>
    <row r="656" spans="1:8" x14ac:dyDescent="0.2">
      <c r="A656" s="2" t="s">
        <v>58</v>
      </c>
      <c r="B656" s="4">
        <v>7</v>
      </c>
      <c r="C656" s="5">
        <v>3.33</v>
      </c>
      <c r="D656" s="4">
        <v>3</v>
      </c>
      <c r="E656" s="5">
        <v>2.4</v>
      </c>
      <c r="F656" s="4">
        <v>2</v>
      </c>
      <c r="G656" s="5">
        <v>2.5</v>
      </c>
      <c r="H656" s="4">
        <v>0</v>
      </c>
    </row>
    <row r="657" spans="1:8" x14ac:dyDescent="0.2">
      <c r="A657" s="2" t="s">
        <v>59</v>
      </c>
      <c r="B657" s="4">
        <v>14</v>
      </c>
      <c r="C657" s="5">
        <v>6.67</v>
      </c>
      <c r="D657" s="4">
        <v>11</v>
      </c>
      <c r="E657" s="5">
        <v>8.8000000000000007</v>
      </c>
      <c r="F657" s="4">
        <v>2</v>
      </c>
      <c r="G657" s="5">
        <v>2.5</v>
      </c>
      <c r="H657" s="4">
        <v>0</v>
      </c>
    </row>
    <row r="658" spans="1:8" x14ac:dyDescent="0.2">
      <c r="A658" s="1" t="s">
        <v>41</v>
      </c>
      <c r="B658" s="4">
        <v>586</v>
      </c>
      <c r="C658" s="5">
        <v>100.01</v>
      </c>
      <c r="D658" s="4">
        <v>351</v>
      </c>
      <c r="E658" s="5">
        <v>99.990000000000009</v>
      </c>
      <c r="F658" s="4">
        <v>232</v>
      </c>
      <c r="G658" s="5">
        <v>100.01</v>
      </c>
      <c r="H658" s="4">
        <v>0</v>
      </c>
    </row>
    <row r="659" spans="1:8" x14ac:dyDescent="0.2">
      <c r="A659" s="2" t="s">
        <v>45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46</v>
      </c>
      <c r="B660" s="4">
        <v>189</v>
      </c>
      <c r="C660" s="5">
        <v>32.25</v>
      </c>
      <c r="D660" s="4">
        <v>103</v>
      </c>
      <c r="E660" s="5">
        <v>29.34</v>
      </c>
      <c r="F660" s="4">
        <v>86</v>
      </c>
      <c r="G660" s="5">
        <v>37.07</v>
      </c>
      <c r="H660" s="4">
        <v>0</v>
      </c>
    </row>
    <row r="661" spans="1:8" x14ac:dyDescent="0.2">
      <c r="A661" s="2" t="s">
        <v>47</v>
      </c>
      <c r="B661" s="4">
        <v>85</v>
      </c>
      <c r="C661" s="5">
        <v>14.51</v>
      </c>
      <c r="D661" s="4">
        <v>42</v>
      </c>
      <c r="E661" s="5">
        <v>11.97</v>
      </c>
      <c r="F661" s="4">
        <v>43</v>
      </c>
      <c r="G661" s="5">
        <v>18.53</v>
      </c>
      <c r="H661" s="4">
        <v>0</v>
      </c>
    </row>
    <row r="662" spans="1:8" x14ac:dyDescent="0.2">
      <c r="A662" s="2" t="s">
        <v>48</v>
      </c>
      <c r="B662" s="4">
        <v>1</v>
      </c>
      <c r="C662" s="5">
        <v>0.17</v>
      </c>
      <c r="D662" s="4">
        <v>0</v>
      </c>
      <c r="E662" s="5">
        <v>0</v>
      </c>
      <c r="F662" s="4">
        <v>1</v>
      </c>
      <c r="G662" s="5">
        <v>0.43</v>
      </c>
      <c r="H662" s="4">
        <v>0</v>
      </c>
    </row>
    <row r="663" spans="1:8" x14ac:dyDescent="0.2">
      <c r="A663" s="2" t="s">
        <v>49</v>
      </c>
      <c r="B663" s="4">
        <v>1</v>
      </c>
      <c r="C663" s="5">
        <v>0.17</v>
      </c>
      <c r="D663" s="4">
        <v>0</v>
      </c>
      <c r="E663" s="5">
        <v>0</v>
      </c>
      <c r="F663" s="4">
        <v>1</v>
      </c>
      <c r="G663" s="5">
        <v>0.43</v>
      </c>
      <c r="H663" s="4">
        <v>0</v>
      </c>
    </row>
    <row r="664" spans="1:8" x14ac:dyDescent="0.2">
      <c r="A664" s="2" t="s">
        <v>50</v>
      </c>
      <c r="B664" s="4">
        <v>9</v>
      </c>
      <c r="C664" s="5">
        <v>1.54</v>
      </c>
      <c r="D664" s="4">
        <v>3</v>
      </c>
      <c r="E664" s="5">
        <v>0.85</v>
      </c>
      <c r="F664" s="4">
        <v>6</v>
      </c>
      <c r="G664" s="5">
        <v>2.59</v>
      </c>
      <c r="H664" s="4">
        <v>0</v>
      </c>
    </row>
    <row r="665" spans="1:8" x14ac:dyDescent="0.2">
      <c r="A665" s="2" t="s">
        <v>51</v>
      </c>
      <c r="B665" s="4">
        <v>123</v>
      </c>
      <c r="C665" s="5">
        <v>20.99</v>
      </c>
      <c r="D665" s="4">
        <v>69</v>
      </c>
      <c r="E665" s="5">
        <v>19.66</v>
      </c>
      <c r="F665" s="4">
        <v>54</v>
      </c>
      <c r="G665" s="5">
        <v>23.28</v>
      </c>
      <c r="H665" s="4">
        <v>0</v>
      </c>
    </row>
    <row r="666" spans="1:8" x14ac:dyDescent="0.2">
      <c r="A666" s="2" t="s">
        <v>52</v>
      </c>
      <c r="B666" s="4">
        <v>1</v>
      </c>
      <c r="C666" s="5">
        <v>0.17</v>
      </c>
      <c r="D666" s="4">
        <v>0</v>
      </c>
      <c r="E666" s="5">
        <v>0</v>
      </c>
      <c r="F666" s="4">
        <v>1</v>
      </c>
      <c r="G666" s="5">
        <v>0.43</v>
      </c>
      <c r="H666" s="4">
        <v>0</v>
      </c>
    </row>
    <row r="667" spans="1:8" x14ac:dyDescent="0.2">
      <c r="A667" s="2" t="s">
        <v>53</v>
      </c>
      <c r="B667" s="4">
        <v>11</v>
      </c>
      <c r="C667" s="5">
        <v>1.88</v>
      </c>
      <c r="D667" s="4">
        <v>2</v>
      </c>
      <c r="E667" s="5">
        <v>0.56999999999999995</v>
      </c>
      <c r="F667" s="4">
        <v>9</v>
      </c>
      <c r="G667" s="5">
        <v>3.88</v>
      </c>
      <c r="H667" s="4">
        <v>0</v>
      </c>
    </row>
    <row r="668" spans="1:8" x14ac:dyDescent="0.2">
      <c r="A668" s="2" t="s">
        <v>54</v>
      </c>
      <c r="B668" s="4">
        <v>17</v>
      </c>
      <c r="C668" s="5">
        <v>2.9</v>
      </c>
      <c r="D668" s="4">
        <v>11</v>
      </c>
      <c r="E668" s="5">
        <v>3.13</v>
      </c>
      <c r="F668" s="4">
        <v>6</v>
      </c>
      <c r="G668" s="5">
        <v>2.59</v>
      </c>
      <c r="H668" s="4">
        <v>0</v>
      </c>
    </row>
    <row r="669" spans="1:8" x14ac:dyDescent="0.2">
      <c r="A669" s="2" t="s">
        <v>55</v>
      </c>
      <c r="B669" s="4">
        <v>34</v>
      </c>
      <c r="C669" s="5">
        <v>5.8</v>
      </c>
      <c r="D669" s="4">
        <v>29</v>
      </c>
      <c r="E669" s="5">
        <v>8.26</v>
      </c>
      <c r="F669" s="4">
        <v>5</v>
      </c>
      <c r="G669" s="5">
        <v>2.16</v>
      </c>
      <c r="H669" s="4">
        <v>0</v>
      </c>
    </row>
    <row r="670" spans="1:8" x14ac:dyDescent="0.2">
      <c r="A670" s="2" t="s">
        <v>56</v>
      </c>
      <c r="B670" s="4">
        <v>57</v>
      </c>
      <c r="C670" s="5">
        <v>9.73</v>
      </c>
      <c r="D670" s="4">
        <v>49</v>
      </c>
      <c r="E670" s="5">
        <v>13.96</v>
      </c>
      <c r="F670" s="4">
        <v>7</v>
      </c>
      <c r="G670" s="5">
        <v>3.02</v>
      </c>
      <c r="H670" s="4">
        <v>0</v>
      </c>
    </row>
    <row r="671" spans="1:8" x14ac:dyDescent="0.2">
      <c r="A671" s="2" t="s">
        <v>57</v>
      </c>
      <c r="B671" s="4">
        <v>9</v>
      </c>
      <c r="C671" s="5">
        <v>1.54</v>
      </c>
      <c r="D671" s="4">
        <v>7</v>
      </c>
      <c r="E671" s="5">
        <v>1.99</v>
      </c>
      <c r="F671" s="4">
        <v>1</v>
      </c>
      <c r="G671" s="5">
        <v>0.43</v>
      </c>
      <c r="H671" s="4">
        <v>0</v>
      </c>
    </row>
    <row r="672" spans="1:8" x14ac:dyDescent="0.2">
      <c r="A672" s="2" t="s">
        <v>58</v>
      </c>
      <c r="B672" s="4">
        <v>14</v>
      </c>
      <c r="C672" s="5">
        <v>2.39</v>
      </c>
      <c r="D672" s="4">
        <v>12</v>
      </c>
      <c r="E672" s="5">
        <v>3.42</v>
      </c>
      <c r="F672" s="4">
        <v>2</v>
      </c>
      <c r="G672" s="5">
        <v>0.86</v>
      </c>
      <c r="H672" s="4">
        <v>0</v>
      </c>
    </row>
    <row r="673" spans="1:8" x14ac:dyDescent="0.2">
      <c r="A673" s="2" t="s">
        <v>59</v>
      </c>
      <c r="B673" s="4">
        <v>35</v>
      </c>
      <c r="C673" s="5">
        <v>5.97</v>
      </c>
      <c r="D673" s="4">
        <v>24</v>
      </c>
      <c r="E673" s="5">
        <v>6.84</v>
      </c>
      <c r="F673" s="4">
        <v>10</v>
      </c>
      <c r="G673" s="5">
        <v>4.3099999999999996</v>
      </c>
      <c r="H673" s="4">
        <v>0</v>
      </c>
    </row>
    <row r="674" spans="1:8" x14ac:dyDescent="0.2">
      <c r="A674" s="1" t="s">
        <v>42</v>
      </c>
      <c r="B674" s="4">
        <v>231</v>
      </c>
      <c r="C674" s="5">
        <v>99.989999999999981</v>
      </c>
      <c r="D674" s="4">
        <v>103</v>
      </c>
      <c r="E674" s="5">
        <v>99.97999999999999</v>
      </c>
      <c r="F674" s="4">
        <v>123</v>
      </c>
      <c r="G674" s="5">
        <v>99.990000000000009</v>
      </c>
      <c r="H674" s="4">
        <v>0</v>
      </c>
    </row>
    <row r="675" spans="1:8" x14ac:dyDescent="0.2">
      <c r="A675" s="2" t="s">
        <v>45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46</v>
      </c>
      <c r="B676" s="4">
        <v>87</v>
      </c>
      <c r="C676" s="5">
        <v>37.659999999999997</v>
      </c>
      <c r="D676" s="4">
        <v>36</v>
      </c>
      <c r="E676" s="5">
        <v>34.950000000000003</v>
      </c>
      <c r="F676" s="4">
        <v>51</v>
      </c>
      <c r="G676" s="5">
        <v>41.46</v>
      </c>
      <c r="H676" s="4">
        <v>0</v>
      </c>
    </row>
    <row r="677" spans="1:8" x14ac:dyDescent="0.2">
      <c r="A677" s="2" t="s">
        <v>47</v>
      </c>
      <c r="B677" s="4">
        <v>24</v>
      </c>
      <c r="C677" s="5">
        <v>10.39</v>
      </c>
      <c r="D677" s="4">
        <v>9</v>
      </c>
      <c r="E677" s="5">
        <v>8.74</v>
      </c>
      <c r="F677" s="4">
        <v>15</v>
      </c>
      <c r="G677" s="5">
        <v>12.2</v>
      </c>
      <c r="H677" s="4">
        <v>0</v>
      </c>
    </row>
    <row r="678" spans="1:8" x14ac:dyDescent="0.2">
      <c r="A678" s="2" t="s">
        <v>48</v>
      </c>
      <c r="B678" s="4">
        <v>2</v>
      </c>
      <c r="C678" s="5">
        <v>0.87</v>
      </c>
      <c r="D678" s="4">
        <v>0</v>
      </c>
      <c r="E678" s="5">
        <v>0</v>
      </c>
      <c r="F678" s="4">
        <v>1</v>
      </c>
      <c r="G678" s="5">
        <v>0.81</v>
      </c>
      <c r="H678" s="4">
        <v>0</v>
      </c>
    </row>
    <row r="679" spans="1:8" x14ac:dyDescent="0.2">
      <c r="A679" s="2" t="s">
        <v>49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2">
      <c r="A680" s="2" t="s">
        <v>50</v>
      </c>
      <c r="B680" s="4">
        <v>8</v>
      </c>
      <c r="C680" s="5">
        <v>3.46</v>
      </c>
      <c r="D680" s="4">
        <v>1</v>
      </c>
      <c r="E680" s="5">
        <v>0.97</v>
      </c>
      <c r="F680" s="4">
        <v>7</v>
      </c>
      <c r="G680" s="5">
        <v>5.69</v>
      </c>
      <c r="H680" s="4">
        <v>0</v>
      </c>
    </row>
    <row r="681" spans="1:8" x14ac:dyDescent="0.2">
      <c r="A681" s="2" t="s">
        <v>51</v>
      </c>
      <c r="B681" s="4">
        <v>32</v>
      </c>
      <c r="C681" s="5">
        <v>13.85</v>
      </c>
      <c r="D681" s="4">
        <v>12</v>
      </c>
      <c r="E681" s="5">
        <v>11.65</v>
      </c>
      <c r="F681" s="4">
        <v>20</v>
      </c>
      <c r="G681" s="5">
        <v>16.260000000000002</v>
      </c>
      <c r="H681" s="4">
        <v>0</v>
      </c>
    </row>
    <row r="682" spans="1:8" x14ac:dyDescent="0.2">
      <c r="A682" s="2" t="s">
        <v>52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2">
      <c r="A683" s="2" t="s">
        <v>53</v>
      </c>
      <c r="B683" s="4">
        <v>8</v>
      </c>
      <c r="C683" s="5">
        <v>3.46</v>
      </c>
      <c r="D683" s="4">
        <v>1</v>
      </c>
      <c r="E683" s="5">
        <v>0.97</v>
      </c>
      <c r="F683" s="4">
        <v>7</v>
      </c>
      <c r="G683" s="5">
        <v>5.69</v>
      </c>
      <c r="H683" s="4">
        <v>0</v>
      </c>
    </row>
    <row r="684" spans="1:8" x14ac:dyDescent="0.2">
      <c r="A684" s="2" t="s">
        <v>54</v>
      </c>
      <c r="B684" s="4">
        <v>11</v>
      </c>
      <c r="C684" s="5">
        <v>4.76</v>
      </c>
      <c r="D684" s="4">
        <v>4</v>
      </c>
      <c r="E684" s="5">
        <v>3.88</v>
      </c>
      <c r="F684" s="4">
        <v>7</v>
      </c>
      <c r="G684" s="5">
        <v>5.69</v>
      </c>
      <c r="H684" s="4">
        <v>0</v>
      </c>
    </row>
    <row r="685" spans="1:8" x14ac:dyDescent="0.2">
      <c r="A685" s="2" t="s">
        <v>55</v>
      </c>
      <c r="B685" s="4">
        <v>17</v>
      </c>
      <c r="C685" s="5">
        <v>7.36</v>
      </c>
      <c r="D685" s="4">
        <v>12</v>
      </c>
      <c r="E685" s="5">
        <v>11.65</v>
      </c>
      <c r="F685" s="4">
        <v>5</v>
      </c>
      <c r="G685" s="5">
        <v>4.07</v>
      </c>
      <c r="H685" s="4">
        <v>0</v>
      </c>
    </row>
    <row r="686" spans="1:8" x14ac:dyDescent="0.2">
      <c r="A686" s="2" t="s">
        <v>56</v>
      </c>
      <c r="B686" s="4">
        <v>18</v>
      </c>
      <c r="C686" s="5">
        <v>7.79</v>
      </c>
      <c r="D686" s="4">
        <v>16</v>
      </c>
      <c r="E686" s="5">
        <v>15.53</v>
      </c>
      <c r="F686" s="4">
        <v>1</v>
      </c>
      <c r="G686" s="5">
        <v>0.81</v>
      </c>
      <c r="H686" s="4">
        <v>0</v>
      </c>
    </row>
    <row r="687" spans="1:8" x14ac:dyDescent="0.2">
      <c r="A687" s="2" t="s">
        <v>57</v>
      </c>
      <c r="B687" s="4">
        <v>6</v>
      </c>
      <c r="C687" s="5">
        <v>2.6</v>
      </c>
      <c r="D687" s="4">
        <v>5</v>
      </c>
      <c r="E687" s="5">
        <v>4.8499999999999996</v>
      </c>
      <c r="F687" s="4">
        <v>1</v>
      </c>
      <c r="G687" s="5">
        <v>0.81</v>
      </c>
      <c r="H687" s="4">
        <v>0</v>
      </c>
    </row>
    <row r="688" spans="1:8" x14ac:dyDescent="0.2">
      <c r="A688" s="2" t="s">
        <v>58</v>
      </c>
      <c r="B688" s="4">
        <v>10</v>
      </c>
      <c r="C688" s="5">
        <v>4.33</v>
      </c>
      <c r="D688" s="4">
        <v>3</v>
      </c>
      <c r="E688" s="5">
        <v>2.91</v>
      </c>
      <c r="F688" s="4">
        <v>4</v>
      </c>
      <c r="G688" s="5">
        <v>3.25</v>
      </c>
      <c r="H688" s="4">
        <v>0</v>
      </c>
    </row>
    <row r="689" spans="1:8" x14ac:dyDescent="0.2">
      <c r="A689" s="2" t="s">
        <v>59</v>
      </c>
      <c r="B689" s="4">
        <v>8</v>
      </c>
      <c r="C689" s="5">
        <v>3.46</v>
      </c>
      <c r="D689" s="4">
        <v>4</v>
      </c>
      <c r="E689" s="5">
        <v>3.88</v>
      </c>
      <c r="F689" s="4">
        <v>4</v>
      </c>
      <c r="G689" s="5">
        <v>3.25</v>
      </c>
      <c r="H689" s="4">
        <v>0</v>
      </c>
    </row>
    <row r="690" spans="1:8" x14ac:dyDescent="0.2">
      <c r="A690" s="1" t="s">
        <v>43</v>
      </c>
      <c r="B690" s="4">
        <v>835</v>
      </c>
      <c r="C690" s="5">
        <v>100.01</v>
      </c>
      <c r="D690" s="4">
        <v>506</v>
      </c>
      <c r="E690" s="5">
        <v>100.00000000000001</v>
      </c>
      <c r="F690" s="4">
        <v>324</v>
      </c>
      <c r="G690" s="5">
        <v>100.02000000000001</v>
      </c>
      <c r="H690" s="4">
        <v>2</v>
      </c>
    </row>
    <row r="691" spans="1:8" x14ac:dyDescent="0.2">
      <c r="A691" s="2" t="s">
        <v>45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46</v>
      </c>
      <c r="B692" s="4">
        <v>170</v>
      </c>
      <c r="C692" s="5">
        <v>20.36</v>
      </c>
      <c r="D692" s="4">
        <v>93</v>
      </c>
      <c r="E692" s="5">
        <v>18.38</v>
      </c>
      <c r="F692" s="4">
        <v>77</v>
      </c>
      <c r="G692" s="5">
        <v>23.77</v>
      </c>
      <c r="H692" s="4">
        <v>0</v>
      </c>
    </row>
    <row r="693" spans="1:8" x14ac:dyDescent="0.2">
      <c r="A693" s="2" t="s">
        <v>47</v>
      </c>
      <c r="B693" s="4">
        <v>125</v>
      </c>
      <c r="C693" s="5">
        <v>14.97</v>
      </c>
      <c r="D693" s="4">
        <v>56</v>
      </c>
      <c r="E693" s="5">
        <v>11.07</v>
      </c>
      <c r="F693" s="4">
        <v>68</v>
      </c>
      <c r="G693" s="5">
        <v>20.99</v>
      </c>
      <c r="H693" s="4">
        <v>1</v>
      </c>
    </row>
    <row r="694" spans="1:8" x14ac:dyDescent="0.2">
      <c r="A694" s="2" t="s">
        <v>48</v>
      </c>
      <c r="B694" s="4">
        <v>1</v>
      </c>
      <c r="C694" s="5">
        <v>0.12</v>
      </c>
      <c r="D694" s="4">
        <v>0</v>
      </c>
      <c r="E694" s="5">
        <v>0</v>
      </c>
      <c r="F694" s="4">
        <v>1</v>
      </c>
      <c r="G694" s="5">
        <v>0.31</v>
      </c>
      <c r="H694" s="4">
        <v>0</v>
      </c>
    </row>
    <row r="695" spans="1:8" x14ac:dyDescent="0.2">
      <c r="A695" s="2" t="s">
        <v>49</v>
      </c>
      <c r="B695" s="4">
        <v>2</v>
      </c>
      <c r="C695" s="5">
        <v>0.24</v>
      </c>
      <c r="D695" s="4">
        <v>0</v>
      </c>
      <c r="E695" s="5">
        <v>0</v>
      </c>
      <c r="F695" s="4">
        <v>2</v>
      </c>
      <c r="G695" s="5">
        <v>0.62</v>
      </c>
      <c r="H695" s="4">
        <v>0</v>
      </c>
    </row>
    <row r="696" spans="1:8" x14ac:dyDescent="0.2">
      <c r="A696" s="2" t="s">
        <v>50</v>
      </c>
      <c r="B696" s="4">
        <v>10</v>
      </c>
      <c r="C696" s="5">
        <v>1.2</v>
      </c>
      <c r="D696" s="4">
        <v>3</v>
      </c>
      <c r="E696" s="5">
        <v>0.59</v>
      </c>
      <c r="F696" s="4">
        <v>7</v>
      </c>
      <c r="G696" s="5">
        <v>2.16</v>
      </c>
      <c r="H696" s="4">
        <v>0</v>
      </c>
    </row>
    <row r="697" spans="1:8" x14ac:dyDescent="0.2">
      <c r="A697" s="2" t="s">
        <v>51</v>
      </c>
      <c r="B697" s="4">
        <v>209</v>
      </c>
      <c r="C697" s="5">
        <v>25.03</v>
      </c>
      <c r="D697" s="4">
        <v>136</v>
      </c>
      <c r="E697" s="5">
        <v>26.88</v>
      </c>
      <c r="F697" s="4">
        <v>73</v>
      </c>
      <c r="G697" s="5">
        <v>22.53</v>
      </c>
      <c r="H697" s="4">
        <v>0</v>
      </c>
    </row>
    <row r="698" spans="1:8" x14ac:dyDescent="0.2">
      <c r="A698" s="2" t="s">
        <v>52</v>
      </c>
      <c r="B698" s="4">
        <v>2</v>
      </c>
      <c r="C698" s="5">
        <v>0.24</v>
      </c>
      <c r="D698" s="4">
        <v>0</v>
      </c>
      <c r="E698" s="5">
        <v>0</v>
      </c>
      <c r="F698" s="4">
        <v>2</v>
      </c>
      <c r="G698" s="5">
        <v>0.62</v>
      </c>
      <c r="H698" s="4">
        <v>0</v>
      </c>
    </row>
    <row r="699" spans="1:8" x14ac:dyDescent="0.2">
      <c r="A699" s="2" t="s">
        <v>53</v>
      </c>
      <c r="B699" s="4">
        <v>45</v>
      </c>
      <c r="C699" s="5">
        <v>5.39</v>
      </c>
      <c r="D699" s="4">
        <v>29</v>
      </c>
      <c r="E699" s="5">
        <v>5.73</v>
      </c>
      <c r="F699" s="4">
        <v>16</v>
      </c>
      <c r="G699" s="5">
        <v>4.9400000000000004</v>
      </c>
      <c r="H699" s="4">
        <v>0</v>
      </c>
    </row>
    <row r="700" spans="1:8" x14ac:dyDescent="0.2">
      <c r="A700" s="2" t="s">
        <v>54</v>
      </c>
      <c r="B700" s="4">
        <v>16</v>
      </c>
      <c r="C700" s="5">
        <v>1.92</v>
      </c>
      <c r="D700" s="4">
        <v>11</v>
      </c>
      <c r="E700" s="5">
        <v>2.17</v>
      </c>
      <c r="F700" s="4">
        <v>5</v>
      </c>
      <c r="G700" s="5">
        <v>1.54</v>
      </c>
      <c r="H700" s="4">
        <v>0</v>
      </c>
    </row>
    <row r="701" spans="1:8" x14ac:dyDescent="0.2">
      <c r="A701" s="2" t="s">
        <v>55</v>
      </c>
      <c r="B701" s="4">
        <v>84</v>
      </c>
      <c r="C701" s="5">
        <v>10.06</v>
      </c>
      <c r="D701" s="4">
        <v>64</v>
      </c>
      <c r="E701" s="5">
        <v>12.65</v>
      </c>
      <c r="F701" s="4">
        <v>20</v>
      </c>
      <c r="G701" s="5">
        <v>6.17</v>
      </c>
      <c r="H701" s="4">
        <v>0</v>
      </c>
    </row>
    <row r="702" spans="1:8" x14ac:dyDescent="0.2">
      <c r="A702" s="2" t="s">
        <v>56</v>
      </c>
      <c r="B702" s="4">
        <v>94</v>
      </c>
      <c r="C702" s="5">
        <v>11.26</v>
      </c>
      <c r="D702" s="4">
        <v>69</v>
      </c>
      <c r="E702" s="5">
        <v>13.64</v>
      </c>
      <c r="F702" s="4">
        <v>24</v>
      </c>
      <c r="G702" s="5">
        <v>7.41</v>
      </c>
      <c r="H702" s="4">
        <v>0</v>
      </c>
    </row>
    <row r="703" spans="1:8" x14ac:dyDescent="0.2">
      <c r="A703" s="2" t="s">
        <v>57</v>
      </c>
      <c r="B703" s="4">
        <v>9</v>
      </c>
      <c r="C703" s="5">
        <v>1.08</v>
      </c>
      <c r="D703" s="4">
        <v>5</v>
      </c>
      <c r="E703" s="5">
        <v>0.99</v>
      </c>
      <c r="F703" s="4">
        <v>3</v>
      </c>
      <c r="G703" s="5">
        <v>0.93</v>
      </c>
      <c r="H703" s="4">
        <v>0</v>
      </c>
    </row>
    <row r="704" spans="1:8" x14ac:dyDescent="0.2">
      <c r="A704" s="2" t="s">
        <v>58</v>
      </c>
      <c r="B704" s="4">
        <v>24</v>
      </c>
      <c r="C704" s="5">
        <v>2.87</v>
      </c>
      <c r="D704" s="4">
        <v>21</v>
      </c>
      <c r="E704" s="5">
        <v>4.1500000000000004</v>
      </c>
      <c r="F704" s="4">
        <v>3</v>
      </c>
      <c r="G704" s="5">
        <v>0.93</v>
      </c>
      <c r="H704" s="4">
        <v>0</v>
      </c>
    </row>
    <row r="705" spans="1:8" x14ac:dyDescent="0.2">
      <c r="A705" s="2" t="s">
        <v>59</v>
      </c>
      <c r="B705" s="4">
        <v>44</v>
      </c>
      <c r="C705" s="5">
        <v>5.27</v>
      </c>
      <c r="D705" s="4">
        <v>19</v>
      </c>
      <c r="E705" s="5">
        <v>3.75</v>
      </c>
      <c r="F705" s="4">
        <v>23</v>
      </c>
      <c r="G705" s="5">
        <v>7.1</v>
      </c>
      <c r="H705" s="4">
        <v>1</v>
      </c>
    </row>
    <row r="706" spans="1:8" x14ac:dyDescent="0.2">
      <c r="A706" s="1" t="s">
        <v>44</v>
      </c>
      <c r="B706" s="4">
        <v>257</v>
      </c>
      <c r="C706" s="5">
        <v>100.00000000000001</v>
      </c>
      <c r="D706" s="4">
        <v>137</v>
      </c>
      <c r="E706" s="5">
        <v>100.00999999999999</v>
      </c>
      <c r="F706" s="4">
        <v>115</v>
      </c>
      <c r="G706" s="5">
        <v>100.02</v>
      </c>
      <c r="H706" s="4">
        <v>0</v>
      </c>
    </row>
    <row r="707" spans="1:8" x14ac:dyDescent="0.2">
      <c r="A707" s="2" t="s">
        <v>45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46</v>
      </c>
      <c r="B708" s="4">
        <v>56</v>
      </c>
      <c r="C708" s="5">
        <v>21.79</v>
      </c>
      <c r="D708" s="4">
        <v>16</v>
      </c>
      <c r="E708" s="5">
        <v>11.68</v>
      </c>
      <c r="F708" s="4">
        <v>40</v>
      </c>
      <c r="G708" s="5">
        <v>34.78</v>
      </c>
      <c r="H708" s="4">
        <v>0</v>
      </c>
    </row>
    <row r="709" spans="1:8" x14ac:dyDescent="0.2">
      <c r="A709" s="2" t="s">
        <v>47</v>
      </c>
      <c r="B709" s="4">
        <v>10</v>
      </c>
      <c r="C709" s="5">
        <v>3.89</v>
      </c>
      <c r="D709" s="4">
        <v>3</v>
      </c>
      <c r="E709" s="5">
        <v>2.19</v>
      </c>
      <c r="F709" s="4">
        <v>7</v>
      </c>
      <c r="G709" s="5">
        <v>6.09</v>
      </c>
      <c r="H709" s="4">
        <v>0</v>
      </c>
    </row>
    <row r="710" spans="1:8" x14ac:dyDescent="0.2">
      <c r="A710" s="2" t="s">
        <v>48</v>
      </c>
      <c r="B710" s="4">
        <v>1</v>
      </c>
      <c r="C710" s="5">
        <v>0.39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49</v>
      </c>
      <c r="B711" s="4">
        <v>7</v>
      </c>
      <c r="C711" s="5">
        <v>2.72</v>
      </c>
      <c r="D711" s="4">
        <v>0</v>
      </c>
      <c r="E711" s="5">
        <v>0</v>
      </c>
      <c r="F711" s="4">
        <v>7</v>
      </c>
      <c r="G711" s="5">
        <v>6.09</v>
      </c>
      <c r="H711" s="4">
        <v>0</v>
      </c>
    </row>
    <row r="712" spans="1:8" x14ac:dyDescent="0.2">
      <c r="A712" s="2" t="s">
        <v>50</v>
      </c>
      <c r="B712" s="4">
        <v>4</v>
      </c>
      <c r="C712" s="5">
        <v>1.56</v>
      </c>
      <c r="D712" s="4">
        <v>2</v>
      </c>
      <c r="E712" s="5">
        <v>1.46</v>
      </c>
      <c r="F712" s="4">
        <v>2</v>
      </c>
      <c r="G712" s="5">
        <v>1.74</v>
      </c>
      <c r="H712" s="4">
        <v>0</v>
      </c>
    </row>
    <row r="713" spans="1:8" x14ac:dyDescent="0.2">
      <c r="A713" s="2" t="s">
        <v>51</v>
      </c>
      <c r="B713" s="4">
        <v>67</v>
      </c>
      <c r="C713" s="5">
        <v>26.07</v>
      </c>
      <c r="D713" s="4">
        <v>34</v>
      </c>
      <c r="E713" s="5">
        <v>24.82</v>
      </c>
      <c r="F713" s="4">
        <v>33</v>
      </c>
      <c r="G713" s="5">
        <v>28.7</v>
      </c>
      <c r="H713" s="4">
        <v>0</v>
      </c>
    </row>
    <row r="714" spans="1:8" x14ac:dyDescent="0.2">
      <c r="A714" s="2" t="s">
        <v>52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2">
      <c r="A715" s="2" t="s">
        <v>53</v>
      </c>
      <c r="B715" s="4">
        <v>9</v>
      </c>
      <c r="C715" s="5">
        <v>3.5</v>
      </c>
      <c r="D715" s="4">
        <v>3</v>
      </c>
      <c r="E715" s="5">
        <v>2.19</v>
      </c>
      <c r="F715" s="4">
        <v>6</v>
      </c>
      <c r="G715" s="5">
        <v>5.22</v>
      </c>
      <c r="H715" s="4">
        <v>0</v>
      </c>
    </row>
    <row r="716" spans="1:8" x14ac:dyDescent="0.2">
      <c r="A716" s="2" t="s">
        <v>54</v>
      </c>
      <c r="B716" s="4">
        <v>15</v>
      </c>
      <c r="C716" s="5">
        <v>5.84</v>
      </c>
      <c r="D716" s="4">
        <v>10</v>
      </c>
      <c r="E716" s="5">
        <v>7.3</v>
      </c>
      <c r="F716" s="4">
        <v>5</v>
      </c>
      <c r="G716" s="5">
        <v>4.3499999999999996</v>
      </c>
      <c r="H716" s="4">
        <v>0</v>
      </c>
    </row>
    <row r="717" spans="1:8" x14ac:dyDescent="0.2">
      <c r="A717" s="2" t="s">
        <v>55</v>
      </c>
      <c r="B717" s="4">
        <v>19</v>
      </c>
      <c r="C717" s="5">
        <v>7.39</v>
      </c>
      <c r="D717" s="4">
        <v>18</v>
      </c>
      <c r="E717" s="5">
        <v>13.14</v>
      </c>
      <c r="F717" s="4">
        <v>1</v>
      </c>
      <c r="G717" s="5">
        <v>0.87</v>
      </c>
      <c r="H717" s="4">
        <v>0</v>
      </c>
    </row>
    <row r="718" spans="1:8" x14ac:dyDescent="0.2">
      <c r="A718" s="2" t="s">
        <v>56</v>
      </c>
      <c r="B718" s="4">
        <v>33</v>
      </c>
      <c r="C718" s="5">
        <v>12.84</v>
      </c>
      <c r="D718" s="4">
        <v>31</v>
      </c>
      <c r="E718" s="5">
        <v>22.63</v>
      </c>
      <c r="F718" s="4">
        <v>2</v>
      </c>
      <c r="G718" s="5">
        <v>1.74</v>
      </c>
      <c r="H718" s="4">
        <v>0</v>
      </c>
    </row>
    <row r="719" spans="1:8" x14ac:dyDescent="0.2">
      <c r="A719" s="2" t="s">
        <v>57</v>
      </c>
      <c r="B719" s="4">
        <v>9</v>
      </c>
      <c r="C719" s="5">
        <v>3.5</v>
      </c>
      <c r="D719" s="4">
        <v>7</v>
      </c>
      <c r="E719" s="5">
        <v>5.1100000000000003</v>
      </c>
      <c r="F719" s="4">
        <v>0</v>
      </c>
      <c r="G719" s="5">
        <v>0</v>
      </c>
      <c r="H719" s="4">
        <v>0</v>
      </c>
    </row>
    <row r="720" spans="1:8" x14ac:dyDescent="0.2">
      <c r="A720" s="2" t="s">
        <v>58</v>
      </c>
      <c r="B720" s="4">
        <v>11</v>
      </c>
      <c r="C720" s="5">
        <v>4.28</v>
      </c>
      <c r="D720" s="4">
        <v>7</v>
      </c>
      <c r="E720" s="5">
        <v>5.1100000000000003</v>
      </c>
      <c r="F720" s="4">
        <v>4</v>
      </c>
      <c r="G720" s="5">
        <v>3.48</v>
      </c>
      <c r="H720" s="4">
        <v>0</v>
      </c>
    </row>
    <row r="721" spans="1:8" x14ac:dyDescent="0.2">
      <c r="A721" s="2" t="s">
        <v>59</v>
      </c>
      <c r="B721" s="4">
        <v>16</v>
      </c>
      <c r="C721" s="5">
        <v>6.23</v>
      </c>
      <c r="D721" s="4">
        <v>6</v>
      </c>
      <c r="E721" s="5">
        <v>4.38</v>
      </c>
      <c r="F721" s="4">
        <v>8</v>
      </c>
      <c r="G721" s="5">
        <v>6.96</v>
      </c>
      <c r="H7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9951-CF26-4021-BFA8-1A710C6391A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201</v>
      </c>
      <c r="D6" s="8">
        <v>14.52</v>
      </c>
      <c r="E6" s="12">
        <v>63</v>
      </c>
      <c r="F6" s="8">
        <v>8.75</v>
      </c>
      <c r="G6" s="12">
        <v>138</v>
      </c>
      <c r="H6" s="8">
        <v>20.85</v>
      </c>
      <c r="I6" s="12">
        <v>0</v>
      </c>
    </row>
    <row r="7" spans="2:9" ht="15" customHeight="1" x14ac:dyDescent="0.2">
      <c r="B7" t="s">
        <v>47</v>
      </c>
      <c r="C7" s="12">
        <v>66</v>
      </c>
      <c r="D7" s="8">
        <v>4.7699999999999996</v>
      </c>
      <c r="E7" s="12">
        <v>27</v>
      </c>
      <c r="F7" s="8">
        <v>3.75</v>
      </c>
      <c r="G7" s="12">
        <v>39</v>
      </c>
      <c r="H7" s="8">
        <v>5.89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0.22</v>
      </c>
      <c r="E8" s="12">
        <v>1</v>
      </c>
      <c r="F8" s="8">
        <v>0.14000000000000001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49</v>
      </c>
      <c r="C9" s="12">
        <v>16</v>
      </c>
      <c r="D9" s="8">
        <v>1.1599999999999999</v>
      </c>
      <c r="E9" s="12">
        <v>2</v>
      </c>
      <c r="F9" s="8">
        <v>0.28000000000000003</v>
      </c>
      <c r="G9" s="12">
        <v>14</v>
      </c>
      <c r="H9" s="8">
        <v>2.11</v>
      </c>
      <c r="I9" s="12">
        <v>0</v>
      </c>
    </row>
    <row r="10" spans="2:9" ht="15" customHeight="1" x14ac:dyDescent="0.2">
      <c r="B10" t="s">
        <v>50</v>
      </c>
      <c r="C10" s="12">
        <v>7</v>
      </c>
      <c r="D10" s="8">
        <v>0.51</v>
      </c>
      <c r="E10" s="12">
        <v>4</v>
      </c>
      <c r="F10" s="8">
        <v>0.56000000000000005</v>
      </c>
      <c r="G10" s="12">
        <v>3</v>
      </c>
      <c r="H10" s="8">
        <v>0.45</v>
      </c>
      <c r="I10" s="12">
        <v>0</v>
      </c>
    </row>
    <row r="11" spans="2:9" ht="15" customHeight="1" x14ac:dyDescent="0.2">
      <c r="B11" t="s">
        <v>51</v>
      </c>
      <c r="C11" s="12">
        <v>316</v>
      </c>
      <c r="D11" s="8">
        <v>22.83</v>
      </c>
      <c r="E11" s="12">
        <v>144</v>
      </c>
      <c r="F11" s="8">
        <v>20</v>
      </c>
      <c r="G11" s="12">
        <v>172</v>
      </c>
      <c r="H11" s="8">
        <v>25.98</v>
      </c>
      <c r="I11" s="12">
        <v>0</v>
      </c>
    </row>
    <row r="12" spans="2:9" ht="15" customHeight="1" x14ac:dyDescent="0.2">
      <c r="B12" t="s">
        <v>52</v>
      </c>
      <c r="C12" s="12">
        <v>10</v>
      </c>
      <c r="D12" s="8">
        <v>0.72</v>
      </c>
      <c r="E12" s="12">
        <v>3</v>
      </c>
      <c r="F12" s="8">
        <v>0.42</v>
      </c>
      <c r="G12" s="12">
        <v>7</v>
      </c>
      <c r="H12" s="8">
        <v>1.06</v>
      </c>
      <c r="I12" s="12">
        <v>0</v>
      </c>
    </row>
    <row r="13" spans="2:9" ht="15" customHeight="1" x14ac:dyDescent="0.2">
      <c r="B13" t="s">
        <v>53</v>
      </c>
      <c r="C13" s="12">
        <v>145</v>
      </c>
      <c r="D13" s="8">
        <v>10.48</v>
      </c>
      <c r="E13" s="12">
        <v>44</v>
      </c>
      <c r="F13" s="8">
        <v>6.11</v>
      </c>
      <c r="G13" s="12">
        <v>100</v>
      </c>
      <c r="H13" s="8">
        <v>15.11</v>
      </c>
      <c r="I13" s="12">
        <v>0</v>
      </c>
    </row>
    <row r="14" spans="2:9" ht="15" customHeight="1" x14ac:dyDescent="0.2">
      <c r="B14" t="s">
        <v>54</v>
      </c>
      <c r="C14" s="12">
        <v>87</v>
      </c>
      <c r="D14" s="8">
        <v>6.29</v>
      </c>
      <c r="E14" s="12">
        <v>44</v>
      </c>
      <c r="F14" s="8">
        <v>6.11</v>
      </c>
      <c r="G14" s="12">
        <v>43</v>
      </c>
      <c r="H14" s="8">
        <v>6.5</v>
      </c>
      <c r="I14" s="12">
        <v>0</v>
      </c>
    </row>
    <row r="15" spans="2:9" ht="15" customHeight="1" x14ac:dyDescent="0.2">
      <c r="B15" t="s">
        <v>55</v>
      </c>
      <c r="C15" s="12">
        <v>137</v>
      </c>
      <c r="D15" s="8">
        <v>9.9</v>
      </c>
      <c r="E15" s="12">
        <v>100</v>
      </c>
      <c r="F15" s="8">
        <v>13.89</v>
      </c>
      <c r="G15" s="12">
        <v>37</v>
      </c>
      <c r="H15" s="8">
        <v>5.59</v>
      </c>
      <c r="I15" s="12">
        <v>0</v>
      </c>
    </row>
    <row r="16" spans="2:9" ht="15" customHeight="1" x14ac:dyDescent="0.2">
      <c r="B16" t="s">
        <v>56</v>
      </c>
      <c r="C16" s="12">
        <v>225</v>
      </c>
      <c r="D16" s="8">
        <v>16.260000000000002</v>
      </c>
      <c r="E16" s="12">
        <v>175</v>
      </c>
      <c r="F16" s="8">
        <v>24.31</v>
      </c>
      <c r="G16" s="12">
        <v>49</v>
      </c>
      <c r="H16" s="8">
        <v>7.4</v>
      </c>
      <c r="I16" s="12">
        <v>0</v>
      </c>
    </row>
    <row r="17" spans="2:9" ht="15" customHeight="1" x14ac:dyDescent="0.2">
      <c r="B17" t="s">
        <v>57</v>
      </c>
      <c r="C17" s="12">
        <v>57</v>
      </c>
      <c r="D17" s="8">
        <v>4.12</v>
      </c>
      <c r="E17" s="12">
        <v>45</v>
      </c>
      <c r="F17" s="8">
        <v>6.25</v>
      </c>
      <c r="G17" s="12">
        <v>12</v>
      </c>
      <c r="H17" s="8">
        <v>1.81</v>
      </c>
      <c r="I17" s="12">
        <v>0</v>
      </c>
    </row>
    <row r="18" spans="2:9" ht="15" customHeight="1" x14ac:dyDescent="0.2">
      <c r="B18" t="s">
        <v>58</v>
      </c>
      <c r="C18" s="12">
        <v>78</v>
      </c>
      <c r="D18" s="8">
        <v>5.64</v>
      </c>
      <c r="E18" s="12">
        <v>54</v>
      </c>
      <c r="F18" s="8">
        <v>7.5</v>
      </c>
      <c r="G18" s="12">
        <v>24</v>
      </c>
      <c r="H18" s="8">
        <v>3.63</v>
      </c>
      <c r="I18" s="12">
        <v>0</v>
      </c>
    </row>
    <row r="19" spans="2:9" ht="15" customHeight="1" x14ac:dyDescent="0.2">
      <c r="B19" t="s">
        <v>59</v>
      </c>
      <c r="C19" s="12">
        <v>36</v>
      </c>
      <c r="D19" s="8">
        <v>2.6</v>
      </c>
      <c r="E19" s="12">
        <v>14</v>
      </c>
      <c r="F19" s="8">
        <v>1.94</v>
      </c>
      <c r="G19" s="12">
        <v>22</v>
      </c>
      <c r="H19" s="8">
        <v>3.32</v>
      </c>
      <c r="I19" s="12">
        <v>0</v>
      </c>
    </row>
    <row r="20" spans="2:9" ht="15" customHeight="1" x14ac:dyDescent="0.2">
      <c r="B20" s="9" t="s">
        <v>195</v>
      </c>
      <c r="C20" s="12">
        <f>SUM(LTBL_08219[総数／事業所数])</f>
        <v>1384</v>
      </c>
      <c r="E20" s="12">
        <f>SUBTOTAL(109,LTBL_08219[個人／事業所数])</f>
        <v>720</v>
      </c>
      <c r="G20" s="12">
        <f>SUBTOTAL(109,LTBL_08219[法人／事業所数])</f>
        <v>662</v>
      </c>
      <c r="I20" s="12">
        <f>SUBTOTAL(109,LTBL_08219[法人以外の団体／事業所数])</f>
        <v>0</v>
      </c>
    </row>
    <row r="21" spans="2:9" ht="15" customHeight="1" x14ac:dyDescent="0.2">
      <c r="E21" s="11">
        <f>LTBL_08219[[#Totals],[個人／事業所数]]/LTBL_08219[[#Totals],[総数／事業所数]]</f>
        <v>0.52023121387283233</v>
      </c>
      <c r="G21" s="11">
        <f>LTBL_08219[[#Totals],[法人／事業所数]]/LTBL_08219[[#Totals],[総数／事業所数]]</f>
        <v>0.47832369942196534</v>
      </c>
      <c r="I21" s="11">
        <f>LTBL_08219[[#Totals],[法人以外の団体／事業所数]]/LTBL_08219[[#Totals],[総数／事業所数]]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170</v>
      </c>
      <c r="D24" s="8">
        <v>12.28</v>
      </c>
      <c r="E24" s="12">
        <v>146</v>
      </c>
      <c r="F24" s="8">
        <v>20.28</v>
      </c>
      <c r="G24" s="12">
        <v>24</v>
      </c>
      <c r="H24" s="8">
        <v>3.63</v>
      </c>
      <c r="I24" s="12">
        <v>0</v>
      </c>
    </row>
    <row r="25" spans="2:9" ht="15" customHeight="1" x14ac:dyDescent="0.2">
      <c r="B25" t="s">
        <v>82</v>
      </c>
      <c r="C25" s="12">
        <v>125</v>
      </c>
      <c r="D25" s="8">
        <v>9.0299999999999994</v>
      </c>
      <c r="E25" s="12">
        <v>97</v>
      </c>
      <c r="F25" s="8">
        <v>13.47</v>
      </c>
      <c r="G25" s="12">
        <v>28</v>
      </c>
      <c r="H25" s="8">
        <v>4.2300000000000004</v>
      </c>
      <c r="I25" s="12">
        <v>0</v>
      </c>
    </row>
    <row r="26" spans="2:9" ht="15" customHeight="1" x14ac:dyDescent="0.2">
      <c r="B26" t="s">
        <v>79</v>
      </c>
      <c r="C26" s="12">
        <v>108</v>
      </c>
      <c r="D26" s="8">
        <v>7.8</v>
      </c>
      <c r="E26" s="12">
        <v>40</v>
      </c>
      <c r="F26" s="8">
        <v>5.56</v>
      </c>
      <c r="G26" s="12">
        <v>67</v>
      </c>
      <c r="H26" s="8">
        <v>10.119999999999999</v>
      </c>
      <c r="I26" s="12">
        <v>0</v>
      </c>
    </row>
    <row r="27" spans="2:9" ht="15" customHeight="1" x14ac:dyDescent="0.2">
      <c r="B27" t="s">
        <v>77</v>
      </c>
      <c r="C27" s="12">
        <v>97</v>
      </c>
      <c r="D27" s="8">
        <v>7.01</v>
      </c>
      <c r="E27" s="12">
        <v>46</v>
      </c>
      <c r="F27" s="8">
        <v>6.39</v>
      </c>
      <c r="G27" s="12">
        <v>51</v>
      </c>
      <c r="H27" s="8">
        <v>7.7</v>
      </c>
      <c r="I27" s="12">
        <v>0</v>
      </c>
    </row>
    <row r="28" spans="2:9" ht="15" customHeight="1" x14ac:dyDescent="0.2">
      <c r="B28" t="s">
        <v>68</v>
      </c>
      <c r="C28" s="12">
        <v>84</v>
      </c>
      <c r="D28" s="8">
        <v>6.07</v>
      </c>
      <c r="E28" s="12">
        <v>17</v>
      </c>
      <c r="F28" s="8">
        <v>2.36</v>
      </c>
      <c r="G28" s="12">
        <v>67</v>
      </c>
      <c r="H28" s="8">
        <v>10.119999999999999</v>
      </c>
      <c r="I28" s="12">
        <v>0</v>
      </c>
    </row>
    <row r="29" spans="2:9" ht="15" customHeight="1" x14ac:dyDescent="0.2">
      <c r="B29" t="s">
        <v>75</v>
      </c>
      <c r="C29" s="12">
        <v>69</v>
      </c>
      <c r="D29" s="8">
        <v>4.99</v>
      </c>
      <c r="E29" s="12">
        <v>49</v>
      </c>
      <c r="F29" s="8">
        <v>6.81</v>
      </c>
      <c r="G29" s="12">
        <v>20</v>
      </c>
      <c r="H29" s="8">
        <v>3.02</v>
      </c>
      <c r="I29" s="12">
        <v>0</v>
      </c>
    </row>
    <row r="30" spans="2:9" ht="15" customHeight="1" x14ac:dyDescent="0.2">
      <c r="B30" t="s">
        <v>86</v>
      </c>
      <c r="C30" s="12">
        <v>66</v>
      </c>
      <c r="D30" s="8">
        <v>4.7699999999999996</v>
      </c>
      <c r="E30" s="12">
        <v>53</v>
      </c>
      <c r="F30" s="8">
        <v>7.36</v>
      </c>
      <c r="G30" s="12">
        <v>13</v>
      </c>
      <c r="H30" s="8">
        <v>1.96</v>
      </c>
      <c r="I30" s="12">
        <v>0</v>
      </c>
    </row>
    <row r="31" spans="2:9" ht="15" customHeight="1" x14ac:dyDescent="0.2">
      <c r="B31" t="s">
        <v>69</v>
      </c>
      <c r="C31" s="12">
        <v>62</v>
      </c>
      <c r="D31" s="8">
        <v>4.4800000000000004</v>
      </c>
      <c r="E31" s="12">
        <v>29</v>
      </c>
      <c r="F31" s="8">
        <v>4.03</v>
      </c>
      <c r="G31" s="12">
        <v>33</v>
      </c>
      <c r="H31" s="8">
        <v>4.9800000000000004</v>
      </c>
      <c r="I31" s="12">
        <v>0</v>
      </c>
    </row>
    <row r="32" spans="2:9" ht="15" customHeight="1" x14ac:dyDescent="0.2">
      <c r="B32" t="s">
        <v>85</v>
      </c>
      <c r="C32" s="12">
        <v>57</v>
      </c>
      <c r="D32" s="8">
        <v>4.12</v>
      </c>
      <c r="E32" s="12">
        <v>45</v>
      </c>
      <c r="F32" s="8">
        <v>6.25</v>
      </c>
      <c r="G32" s="12">
        <v>12</v>
      </c>
      <c r="H32" s="8">
        <v>1.81</v>
      </c>
      <c r="I32" s="12">
        <v>0</v>
      </c>
    </row>
    <row r="33" spans="2:9" ht="15" customHeight="1" x14ac:dyDescent="0.2">
      <c r="B33" t="s">
        <v>70</v>
      </c>
      <c r="C33" s="12">
        <v>55</v>
      </c>
      <c r="D33" s="8">
        <v>3.97</v>
      </c>
      <c r="E33" s="12">
        <v>17</v>
      </c>
      <c r="F33" s="8">
        <v>2.36</v>
      </c>
      <c r="G33" s="12">
        <v>38</v>
      </c>
      <c r="H33" s="8">
        <v>5.74</v>
      </c>
      <c r="I33" s="12">
        <v>0</v>
      </c>
    </row>
    <row r="34" spans="2:9" ht="15" customHeight="1" x14ac:dyDescent="0.2">
      <c r="B34" t="s">
        <v>80</v>
      </c>
      <c r="C34" s="12">
        <v>52</v>
      </c>
      <c r="D34" s="8">
        <v>3.76</v>
      </c>
      <c r="E34" s="12">
        <v>32</v>
      </c>
      <c r="F34" s="8">
        <v>4.4400000000000004</v>
      </c>
      <c r="G34" s="12">
        <v>20</v>
      </c>
      <c r="H34" s="8">
        <v>3.02</v>
      </c>
      <c r="I34" s="12">
        <v>0</v>
      </c>
    </row>
    <row r="35" spans="2:9" ht="15" customHeight="1" x14ac:dyDescent="0.2">
      <c r="B35" t="s">
        <v>76</v>
      </c>
      <c r="C35" s="12">
        <v>46</v>
      </c>
      <c r="D35" s="8">
        <v>3.32</v>
      </c>
      <c r="E35" s="12">
        <v>30</v>
      </c>
      <c r="F35" s="8">
        <v>4.17</v>
      </c>
      <c r="G35" s="12">
        <v>16</v>
      </c>
      <c r="H35" s="8">
        <v>2.42</v>
      </c>
      <c r="I35" s="12">
        <v>0</v>
      </c>
    </row>
    <row r="36" spans="2:9" ht="15" customHeight="1" x14ac:dyDescent="0.2">
      <c r="B36" t="s">
        <v>84</v>
      </c>
      <c r="C36" s="12">
        <v>45</v>
      </c>
      <c r="D36" s="8">
        <v>3.25</v>
      </c>
      <c r="E36" s="12">
        <v>23</v>
      </c>
      <c r="F36" s="8">
        <v>3.19</v>
      </c>
      <c r="G36" s="12">
        <v>21</v>
      </c>
      <c r="H36" s="8">
        <v>3.17</v>
      </c>
      <c r="I36" s="12">
        <v>0</v>
      </c>
    </row>
    <row r="37" spans="2:9" ht="15" customHeight="1" x14ac:dyDescent="0.2">
      <c r="B37" t="s">
        <v>78</v>
      </c>
      <c r="C37" s="12">
        <v>34</v>
      </c>
      <c r="D37" s="8">
        <v>2.46</v>
      </c>
      <c r="E37" s="12">
        <v>3</v>
      </c>
      <c r="F37" s="8">
        <v>0.42</v>
      </c>
      <c r="G37" s="12">
        <v>31</v>
      </c>
      <c r="H37" s="8">
        <v>4.68</v>
      </c>
      <c r="I37" s="12">
        <v>0</v>
      </c>
    </row>
    <row r="38" spans="2:9" ht="15" customHeight="1" x14ac:dyDescent="0.2">
      <c r="B38" t="s">
        <v>81</v>
      </c>
      <c r="C38" s="12">
        <v>32</v>
      </c>
      <c r="D38" s="8">
        <v>2.31</v>
      </c>
      <c r="E38" s="12">
        <v>12</v>
      </c>
      <c r="F38" s="8">
        <v>1.67</v>
      </c>
      <c r="G38" s="12">
        <v>20</v>
      </c>
      <c r="H38" s="8">
        <v>3.02</v>
      </c>
      <c r="I38" s="12">
        <v>0</v>
      </c>
    </row>
    <row r="39" spans="2:9" ht="15" customHeight="1" x14ac:dyDescent="0.2">
      <c r="B39" t="s">
        <v>74</v>
      </c>
      <c r="C39" s="12">
        <v>25</v>
      </c>
      <c r="D39" s="8">
        <v>1.81</v>
      </c>
      <c r="E39" s="12">
        <v>12</v>
      </c>
      <c r="F39" s="8">
        <v>1.67</v>
      </c>
      <c r="G39" s="12">
        <v>13</v>
      </c>
      <c r="H39" s="8">
        <v>1.96</v>
      </c>
      <c r="I39" s="12">
        <v>0</v>
      </c>
    </row>
    <row r="40" spans="2:9" ht="15" customHeight="1" x14ac:dyDescent="0.2">
      <c r="B40" t="s">
        <v>72</v>
      </c>
      <c r="C40" s="12">
        <v>19</v>
      </c>
      <c r="D40" s="8">
        <v>1.37</v>
      </c>
      <c r="E40" s="12">
        <v>0</v>
      </c>
      <c r="F40" s="8">
        <v>0</v>
      </c>
      <c r="G40" s="12">
        <v>19</v>
      </c>
      <c r="H40" s="8">
        <v>2.87</v>
      </c>
      <c r="I40" s="12">
        <v>0</v>
      </c>
    </row>
    <row r="41" spans="2:9" ht="15" customHeight="1" x14ac:dyDescent="0.2">
      <c r="B41" t="s">
        <v>73</v>
      </c>
      <c r="C41" s="12">
        <v>19</v>
      </c>
      <c r="D41" s="8">
        <v>1.37</v>
      </c>
      <c r="E41" s="12">
        <v>2</v>
      </c>
      <c r="F41" s="8">
        <v>0.28000000000000003</v>
      </c>
      <c r="G41" s="12">
        <v>17</v>
      </c>
      <c r="H41" s="8">
        <v>2.57</v>
      </c>
      <c r="I41" s="12">
        <v>0</v>
      </c>
    </row>
    <row r="42" spans="2:9" ht="15" customHeight="1" x14ac:dyDescent="0.2">
      <c r="B42" t="s">
        <v>101</v>
      </c>
      <c r="C42" s="12">
        <v>17</v>
      </c>
      <c r="D42" s="8">
        <v>1.23</v>
      </c>
      <c r="E42" s="12">
        <v>2</v>
      </c>
      <c r="F42" s="8">
        <v>0.28000000000000003</v>
      </c>
      <c r="G42" s="12">
        <v>15</v>
      </c>
      <c r="H42" s="8">
        <v>2.27</v>
      </c>
      <c r="I42" s="12">
        <v>0</v>
      </c>
    </row>
    <row r="43" spans="2:9" ht="15" customHeight="1" x14ac:dyDescent="0.2">
      <c r="B43" t="s">
        <v>88</v>
      </c>
      <c r="C43" s="12">
        <v>16</v>
      </c>
      <c r="D43" s="8">
        <v>1.1599999999999999</v>
      </c>
      <c r="E43" s="12">
        <v>3</v>
      </c>
      <c r="F43" s="8">
        <v>0.42</v>
      </c>
      <c r="G43" s="12">
        <v>13</v>
      </c>
      <c r="H43" s="8">
        <v>1.96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85</v>
      </c>
      <c r="D47" s="8">
        <v>6.14</v>
      </c>
      <c r="E47" s="12">
        <v>79</v>
      </c>
      <c r="F47" s="8">
        <v>10.97</v>
      </c>
      <c r="G47" s="12">
        <v>6</v>
      </c>
      <c r="H47" s="8">
        <v>0.91</v>
      </c>
      <c r="I47" s="12">
        <v>0</v>
      </c>
    </row>
    <row r="48" spans="2:9" ht="15" customHeight="1" x14ac:dyDescent="0.2">
      <c r="B48" t="s">
        <v>129</v>
      </c>
      <c r="C48" s="12">
        <v>63</v>
      </c>
      <c r="D48" s="8">
        <v>4.55</v>
      </c>
      <c r="E48" s="12">
        <v>29</v>
      </c>
      <c r="F48" s="8">
        <v>4.03</v>
      </c>
      <c r="G48" s="12">
        <v>33</v>
      </c>
      <c r="H48" s="8">
        <v>4.9800000000000004</v>
      </c>
      <c r="I48" s="12">
        <v>0</v>
      </c>
    </row>
    <row r="49" spans="2:9" ht="15" customHeight="1" x14ac:dyDescent="0.2">
      <c r="B49" t="s">
        <v>133</v>
      </c>
      <c r="C49" s="12">
        <v>53</v>
      </c>
      <c r="D49" s="8">
        <v>3.83</v>
      </c>
      <c r="E49" s="12">
        <v>48</v>
      </c>
      <c r="F49" s="8">
        <v>6.67</v>
      </c>
      <c r="G49" s="12">
        <v>5</v>
      </c>
      <c r="H49" s="8">
        <v>0.76</v>
      </c>
      <c r="I49" s="12">
        <v>0</v>
      </c>
    </row>
    <row r="50" spans="2:9" ht="15" customHeight="1" x14ac:dyDescent="0.2">
      <c r="B50" t="s">
        <v>136</v>
      </c>
      <c r="C50" s="12">
        <v>48</v>
      </c>
      <c r="D50" s="8">
        <v>3.47</v>
      </c>
      <c r="E50" s="12">
        <v>38</v>
      </c>
      <c r="F50" s="8">
        <v>5.28</v>
      </c>
      <c r="G50" s="12">
        <v>10</v>
      </c>
      <c r="H50" s="8">
        <v>1.51</v>
      </c>
      <c r="I50" s="12">
        <v>0</v>
      </c>
    </row>
    <row r="51" spans="2:9" ht="15" customHeight="1" x14ac:dyDescent="0.2">
      <c r="B51" t="s">
        <v>135</v>
      </c>
      <c r="C51" s="12">
        <v>42</v>
      </c>
      <c r="D51" s="8">
        <v>3.03</v>
      </c>
      <c r="E51" s="12">
        <v>34</v>
      </c>
      <c r="F51" s="8">
        <v>4.72</v>
      </c>
      <c r="G51" s="12">
        <v>8</v>
      </c>
      <c r="H51" s="8">
        <v>1.21</v>
      </c>
      <c r="I51" s="12">
        <v>0</v>
      </c>
    </row>
    <row r="52" spans="2:9" ht="15" customHeight="1" x14ac:dyDescent="0.2">
      <c r="B52" t="s">
        <v>132</v>
      </c>
      <c r="C52" s="12">
        <v>41</v>
      </c>
      <c r="D52" s="8">
        <v>2.96</v>
      </c>
      <c r="E52" s="12">
        <v>37</v>
      </c>
      <c r="F52" s="8">
        <v>5.14</v>
      </c>
      <c r="G52" s="12">
        <v>4</v>
      </c>
      <c r="H52" s="8">
        <v>0.6</v>
      </c>
      <c r="I52" s="12">
        <v>0</v>
      </c>
    </row>
    <row r="53" spans="2:9" ht="15" customHeight="1" x14ac:dyDescent="0.2">
      <c r="B53" t="s">
        <v>131</v>
      </c>
      <c r="C53" s="12">
        <v>35</v>
      </c>
      <c r="D53" s="8">
        <v>2.5299999999999998</v>
      </c>
      <c r="E53" s="12">
        <v>25</v>
      </c>
      <c r="F53" s="8">
        <v>3.47</v>
      </c>
      <c r="G53" s="12">
        <v>10</v>
      </c>
      <c r="H53" s="8">
        <v>1.51</v>
      </c>
      <c r="I53" s="12">
        <v>0</v>
      </c>
    </row>
    <row r="54" spans="2:9" ht="15" customHeight="1" x14ac:dyDescent="0.2">
      <c r="B54" t="s">
        <v>124</v>
      </c>
      <c r="C54" s="12">
        <v>32</v>
      </c>
      <c r="D54" s="8">
        <v>2.31</v>
      </c>
      <c r="E54" s="12">
        <v>20</v>
      </c>
      <c r="F54" s="8">
        <v>2.78</v>
      </c>
      <c r="G54" s="12">
        <v>12</v>
      </c>
      <c r="H54" s="8">
        <v>1.81</v>
      </c>
      <c r="I54" s="12">
        <v>0</v>
      </c>
    </row>
    <row r="55" spans="2:9" ht="15" customHeight="1" x14ac:dyDescent="0.2">
      <c r="B55" t="s">
        <v>118</v>
      </c>
      <c r="C55" s="12">
        <v>30</v>
      </c>
      <c r="D55" s="8">
        <v>2.17</v>
      </c>
      <c r="E55" s="12">
        <v>4</v>
      </c>
      <c r="F55" s="8">
        <v>0.56000000000000005</v>
      </c>
      <c r="G55" s="12">
        <v>26</v>
      </c>
      <c r="H55" s="8">
        <v>3.93</v>
      </c>
      <c r="I55" s="12">
        <v>0</v>
      </c>
    </row>
    <row r="56" spans="2:9" ht="15" customHeight="1" x14ac:dyDescent="0.2">
      <c r="B56" t="s">
        <v>123</v>
      </c>
      <c r="C56" s="12">
        <v>28</v>
      </c>
      <c r="D56" s="8">
        <v>2.02</v>
      </c>
      <c r="E56" s="12">
        <v>17</v>
      </c>
      <c r="F56" s="8">
        <v>2.36</v>
      </c>
      <c r="G56" s="12">
        <v>11</v>
      </c>
      <c r="H56" s="8">
        <v>1.66</v>
      </c>
      <c r="I56" s="12">
        <v>0</v>
      </c>
    </row>
    <row r="57" spans="2:9" ht="15" customHeight="1" x14ac:dyDescent="0.2">
      <c r="B57" t="s">
        <v>125</v>
      </c>
      <c r="C57" s="12">
        <v>28</v>
      </c>
      <c r="D57" s="8">
        <v>2.02</v>
      </c>
      <c r="E57" s="12">
        <v>13</v>
      </c>
      <c r="F57" s="8">
        <v>1.81</v>
      </c>
      <c r="G57" s="12">
        <v>15</v>
      </c>
      <c r="H57" s="8">
        <v>2.27</v>
      </c>
      <c r="I57" s="12">
        <v>0</v>
      </c>
    </row>
    <row r="58" spans="2:9" ht="15" customHeight="1" x14ac:dyDescent="0.2">
      <c r="B58" t="s">
        <v>127</v>
      </c>
      <c r="C58" s="12">
        <v>28</v>
      </c>
      <c r="D58" s="8">
        <v>2.02</v>
      </c>
      <c r="E58" s="12">
        <v>18</v>
      </c>
      <c r="F58" s="8">
        <v>2.5</v>
      </c>
      <c r="G58" s="12">
        <v>10</v>
      </c>
      <c r="H58" s="8">
        <v>1.51</v>
      </c>
      <c r="I58" s="12">
        <v>0</v>
      </c>
    </row>
    <row r="59" spans="2:9" ht="15" customHeight="1" x14ac:dyDescent="0.2">
      <c r="B59" t="s">
        <v>164</v>
      </c>
      <c r="C59" s="12">
        <v>25</v>
      </c>
      <c r="D59" s="8">
        <v>1.81</v>
      </c>
      <c r="E59" s="12">
        <v>2</v>
      </c>
      <c r="F59" s="8">
        <v>0.28000000000000003</v>
      </c>
      <c r="G59" s="12">
        <v>23</v>
      </c>
      <c r="H59" s="8">
        <v>3.47</v>
      </c>
      <c r="I59" s="12">
        <v>0</v>
      </c>
    </row>
    <row r="60" spans="2:9" ht="15" customHeight="1" x14ac:dyDescent="0.2">
      <c r="B60" t="s">
        <v>120</v>
      </c>
      <c r="C60" s="12">
        <v>24</v>
      </c>
      <c r="D60" s="8">
        <v>1.73</v>
      </c>
      <c r="E60" s="12">
        <v>10</v>
      </c>
      <c r="F60" s="8">
        <v>1.39</v>
      </c>
      <c r="G60" s="12">
        <v>14</v>
      </c>
      <c r="H60" s="8">
        <v>2.11</v>
      </c>
      <c r="I60" s="12">
        <v>0</v>
      </c>
    </row>
    <row r="61" spans="2:9" ht="15" customHeight="1" x14ac:dyDescent="0.2">
      <c r="B61" t="s">
        <v>121</v>
      </c>
      <c r="C61" s="12">
        <v>23</v>
      </c>
      <c r="D61" s="8">
        <v>1.66</v>
      </c>
      <c r="E61" s="12">
        <v>9</v>
      </c>
      <c r="F61" s="8">
        <v>1.25</v>
      </c>
      <c r="G61" s="12">
        <v>14</v>
      </c>
      <c r="H61" s="8">
        <v>2.11</v>
      </c>
      <c r="I61" s="12">
        <v>0</v>
      </c>
    </row>
    <row r="62" spans="2:9" ht="15" customHeight="1" x14ac:dyDescent="0.2">
      <c r="B62" t="s">
        <v>147</v>
      </c>
      <c r="C62" s="12">
        <v>22</v>
      </c>
      <c r="D62" s="8">
        <v>1.59</v>
      </c>
      <c r="E62" s="12">
        <v>15</v>
      </c>
      <c r="F62" s="8">
        <v>2.08</v>
      </c>
      <c r="G62" s="12">
        <v>7</v>
      </c>
      <c r="H62" s="8">
        <v>1.06</v>
      </c>
      <c r="I62" s="12">
        <v>0</v>
      </c>
    </row>
    <row r="63" spans="2:9" ht="15" customHeight="1" x14ac:dyDescent="0.2">
      <c r="B63" t="s">
        <v>139</v>
      </c>
      <c r="C63" s="12">
        <v>22</v>
      </c>
      <c r="D63" s="8">
        <v>1.59</v>
      </c>
      <c r="E63" s="12">
        <v>13</v>
      </c>
      <c r="F63" s="8">
        <v>1.81</v>
      </c>
      <c r="G63" s="12">
        <v>9</v>
      </c>
      <c r="H63" s="8">
        <v>1.36</v>
      </c>
      <c r="I63" s="12">
        <v>0</v>
      </c>
    </row>
    <row r="64" spans="2:9" ht="15" customHeight="1" x14ac:dyDescent="0.2">
      <c r="B64" t="s">
        <v>128</v>
      </c>
      <c r="C64" s="12">
        <v>20</v>
      </c>
      <c r="D64" s="8">
        <v>1.45</v>
      </c>
      <c r="E64" s="12">
        <v>5</v>
      </c>
      <c r="F64" s="8">
        <v>0.69</v>
      </c>
      <c r="G64" s="12">
        <v>15</v>
      </c>
      <c r="H64" s="8">
        <v>2.27</v>
      </c>
      <c r="I64" s="12">
        <v>0</v>
      </c>
    </row>
    <row r="65" spans="2:9" ht="15" customHeight="1" x14ac:dyDescent="0.2">
      <c r="B65" t="s">
        <v>165</v>
      </c>
      <c r="C65" s="12">
        <v>18</v>
      </c>
      <c r="D65" s="8">
        <v>1.3</v>
      </c>
      <c r="E65" s="12">
        <v>11</v>
      </c>
      <c r="F65" s="8">
        <v>1.53</v>
      </c>
      <c r="G65" s="12">
        <v>7</v>
      </c>
      <c r="H65" s="8">
        <v>1.06</v>
      </c>
      <c r="I65" s="12">
        <v>0</v>
      </c>
    </row>
    <row r="66" spans="2:9" ht="15" customHeight="1" x14ac:dyDescent="0.2">
      <c r="B66" t="s">
        <v>151</v>
      </c>
      <c r="C66" s="12">
        <v>17</v>
      </c>
      <c r="D66" s="8">
        <v>1.23</v>
      </c>
      <c r="E66" s="12">
        <v>3</v>
      </c>
      <c r="F66" s="8">
        <v>0.42</v>
      </c>
      <c r="G66" s="12">
        <v>14</v>
      </c>
      <c r="H66" s="8">
        <v>2.11</v>
      </c>
      <c r="I66" s="12">
        <v>0</v>
      </c>
    </row>
    <row r="67" spans="2:9" ht="15" customHeight="1" x14ac:dyDescent="0.2">
      <c r="B67" t="s">
        <v>130</v>
      </c>
      <c r="C67" s="12">
        <v>17</v>
      </c>
      <c r="D67" s="8">
        <v>1.23</v>
      </c>
      <c r="E67" s="12">
        <v>6</v>
      </c>
      <c r="F67" s="8">
        <v>0.83</v>
      </c>
      <c r="G67" s="12">
        <v>11</v>
      </c>
      <c r="H67" s="8">
        <v>1.66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C7E2-78DD-46CE-9655-63381B634FF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719</v>
      </c>
      <c r="D6" s="8">
        <v>17.309999999999999</v>
      </c>
      <c r="E6" s="12">
        <v>217</v>
      </c>
      <c r="F6" s="8">
        <v>13.02</v>
      </c>
      <c r="G6" s="12">
        <v>502</v>
      </c>
      <c r="H6" s="8">
        <v>20.5</v>
      </c>
      <c r="I6" s="12">
        <v>0</v>
      </c>
    </row>
    <row r="7" spans="2:9" ht="15" customHeight="1" x14ac:dyDescent="0.2">
      <c r="B7" t="s">
        <v>47</v>
      </c>
      <c r="C7" s="12">
        <v>247</v>
      </c>
      <c r="D7" s="8">
        <v>5.95</v>
      </c>
      <c r="E7" s="12">
        <v>64</v>
      </c>
      <c r="F7" s="8">
        <v>3.84</v>
      </c>
      <c r="G7" s="12">
        <v>183</v>
      </c>
      <c r="H7" s="8">
        <v>7.47</v>
      </c>
      <c r="I7" s="12">
        <v>0</v>
      </c>
    </row>
    <row r="8" spans="2:9" ht="15" customHeight="1" x14ac:dyDescent="0.2">
      <c r="B8" t="s">
        <v>48</v>
      </c>
      <c r="C8" s="12">
        <v>12</v>
      </c>
      <c r="D8" s="8">
        <v>0.28999999999999998</v>
      </c>
      <c r="E8" s="12">
        <v>0</v>
      </c>
      <c r="F8" s="8">
        <v>0</v>
      </c>
      <c r="G8" s="12">
        <v>12</v>
      </c>
      <c r="H8" s="8">
        <v>0.49</v>
      </c>
      <c r="I8" s="12">
        <v>0</v>
      </c>
    </row>
    <row r="9" spans="2:9" ht="15" customHeight="1" x14ac:dyDescent="0.2">
      <c r="B9" t="s">
        <v>49</v>
      </c>
      <c r="C9" s="12">
        <v>81</v>
      </c>
      <c r="D9" s="8">
        <v>1.95</v>
      </c>
      <c r="E9" s="12">
        <v>5</v>
      </c>
      <c r="F9" s="8">
        <v>0.3</v>
      </c>
      <c r="G9" s="12">
        <v>76</v>
      </c>
      <c r="H9" s="8">
        <v>3.1</v>
      </c>
      <c r="I9" s="12">
        <v>0</v>
      </c>
    </row>
    <row r="10" spans="2:9" ht="15" customHeight="1" x14ac:dyDescent="0.2">
      <c r="B10" t="s">
        <v>50</v>
      </c>
      <c r="C10" s="12">
        <v>42</v>
      </c>
      <c r="D10" s="8">
        <v>1.01</v>
      </c>
      <c r="E10" s="12">
        <v>7</v>
      </c>
      <c r="F10" s="8">
        <v>0.42</v>
      </c>
      <c r="G10" s="12">
        <v>35</v>
      </c>
      <c r="H10" s="8">
        <v>1.43</v>
      </c>
      <c r="I10" s="12">
        <v>0</v>
      </c>
    </row>
    <row r="11" spans="2:9" ht="15" customHeight="1" x14ac:dyDescent="0.2">
      <c r="B11" t="s">
        <v>51</v>
      </c>
      <c r="C11" s="12">
        <v>950</v>
      </c>
      <c r="D11" s="8">
        <v>22.88</v>
      </c>
      <c r="E11" s="12">
        <v>335</v>
      </c>
      <c r="F11" s="8">
        <v>20.100000000000001</v>
      </c>
      <c r="G11" s="12">
        <v>615</v>
      </c>
      <c r="H11" s="8">
        <v>25.11</v>
      </c>
      <c r="I11" s="12">
        <v>0</v>
      </c>
    </row>
    <row r="12" spans="2:9" ht="15" customHeight="1" x14ac:dyDescent="0.2">
      <c r="B12" t="s">
        <v>52</v>
      </c>
      <c r="C12" s="12">
        <v>39</v>
      </c>
      <c r="D12" s="8">
        <v>0.94</v>
      </c>
      <c r="E12" s="12">
        <v>4</v>
      </c>
      <c r="F12" s="8">
        <v>0.24</v>
      </c>
      <c r="G12" s="12">
        <v>35</v>
      </c>
      <c r="H12" s="8">
        <v>1.43</v>
      </c>
      <c r="I12" s="12">
        <v>0</v>
      </c>
    </row>
    <row r="13" spans="2:9" ht="15" customHeight="1" x14ac:dyDescent="0.2">
      <c r="B13" t="s">
        <v>53</v>
      </c>
      <c r="C13" s="12">
        <v>360</v>
      </c>
      <c r="D13" s="8">
        <v>8.67</v>
      </c>
      <c r="E13" s="12">
        <v>51</v>
      </c>
      <c r="F13" s="8">
        <v>3.06</v>
      </c>
      <c r="G13" s="12">
        <v>309</v>
      </c>
      <c r="H13" s="8">
        <v>12.62</v>
      </c>
      <c r="I13" s="12">
        <v>0</v>
      </c>
    </row>
    <row r="14" spans="2:9" ht="15" customHeight="1" x14ac:dyDescent="0.2">
      <c r="B14" t="s">
        <v>54</v>
      </c>
      <c r="C14" s="12">
        <v>292</v>
      </c>
      <c r="D14" s="8">
        <v>7.03</v>
      </c>
      <c r="E14" s="12">
        <v>97</v>
      </c>
      <c r="F14" s="8">
        <v>5.82</v>
      </c>
      <c r="G14" s="12">
        <v>195</v>
      </c>
      <c r="H14" s="8">
        <v>7.96</v>
      </c>
      <c r="I14" s="12">
        <v>0</v>
      </c>
    </row>
    <row r="15" spans="2:9" ht="15" customHeight="1" x14ac:dyDescent="0.2">
      <c r="B15" t="s">
        <v>55</v>
      </c>
      <c r="C15" s="12">
        <v>336</v>
      </c>
      <c r="D15" s="8">
        <v>8.09</v>
      </c>
      <c r="E15" s="12">
        <v>227</v>
      </c>
      <c r="F15" s="8">
        <v>13.62</v>
      </c>
      <c r="G15" s="12">
        <v>107</v>
      </c>
      <c r="H15" s="8">
        <v>4.37</v>
      </c>
      <c r="I15" s="12">
        <v>0</v>
      </c>
    </row>
    <row r="16" spans="2:9" ht="15" customHeight="1" x14ac:dyDescent="0.2">
      <c r="B16" t="s">
        <v>56</v>
      </c>
      <c r="C16" s="12">
        <v>513</v>
      </c>
      <c r="D16" s="8">
        <v>12.35</v>
      </c>
      <c r="E16" s="12">
        <v>377</v>
      </c>
      <c r="F16" s="8">
        <v>22.62</v>
      </c>
      <c r="G16" s="12">
        <v>136</v>
      </c>
      <c r="H16" s="8">
        <v>5.55</v>
      </c>
      <c r="I16" s="12">
        <v>0</v>
      </c>
    </row>
    <row r="17" spans="2:9" ht="15" customHeight="1" x14ac:dyDescent="0.2">
      <c r="B17" t="s">
        <v>57</v>
      </c>
      <c r="C17" s="12">
        <v>151</v>
      </c>
      <c r="D17" s="8">
        <v>3.64</v>
      </c>
      <c r="E17" s="12">
        <v>72</v>
      </c>
      <c r="F17" s="8">
        <v>4.32</v>
      </c>
      <c r="G17" s="12">
        <v>60</v>
      </c>
      <c r="H17" s="8">
        <v>2.4500000000000002</v>
      </c>
      <c r="I17" s="12">
        <v>0</v>
      </c>
    </row>
    <row r="18" spans="2:9" ht="15" customHeight="1" x14ac:dyDescent="0.2">
      <c r="B18" t="s">
        <v>58</v>
      </c>
      <c r="C18" s="12">
        <v>187</v>
      </c>
      <c r="D18" s="8">
        <v>4.5</v>
      </c>
      <c r="E18" s="12">
        <v>129</v>
      </c>
      <c r="F18" s="8">
        <v>7.74</v>
      </c>
      <c r="G18" s="12">
        <v>47</v>
      </c>
      <c r="H18" s="8">
        <v>1.92</v>
      </c>
      <c r="I18" s="12">
        <v>0</v>
      </c>
    </row>
    <row r="19" spans="2:9" ht="15" customHeight="1" x14ac:dyDescent="0.2">
      <c r="B19" t="s">
        <v>59</v>
      </c>
      <c r="C19" s="12">
        <v>224</v>
      </c>
      <c r="D19" s="8">
        <v>5.39</v>
      </c>
      <c r="E19" s="12">
        <v>82</v>
      </c>
      <c r="F19" s="8">
        <v>4.92</v>
      </c>
      <c r="G19" s="12">
        <v>137</v>
      </c>
      <c r="H19" s="8">
        <v>5.59</v>
      </c>
      <c r="I19" s="12">
        <v>0</v>
      </c>
    </row>
    <row r="20" spans="2:9" ht="15" customHeight="1" x14ac:dyDescent="0.2">
      <c r="B20" s="9" t="s">
        <v>195</v>
      </c>
      <c r="C20" s="12">
        <f>SUM(LTBL_08220[総数／事業所数])</f>
        <v>4153</v>
      </c>
      <c r="E20" s="12">
        <f>SUBTOTAL(109,LTBL_08220[個人／事業所数])</f>
        <v>1667</v>
      </c>
      <c r="G20" s="12">
        <f>SUBTOTAL(109,LTBL_08220[法人／事業所数])</f>
        <v>2449</v>
      </c>
      <c r="I20" s="12">
        <f>SUBTOTAL(109,LTBL_08220[法人以外の団体／事業所数])</f>
        <v>0</v>
      </c>
    </row>
    <row r="21" spans="2:9" ht="15" customHeight="1" x14ac:dyDescent="0.2">
      <c r="E21" s="11">
        <f>LTBL_08220[[#Totals],[個人／事業所数]]/LTBL_08220[[#Totals],[総数／事業所数]]</f>
        <v>0.4013965807849747</v>
      </c>
      <c r="G21" s="11">
        <f>LTBL_08220[[#Totals],[法人／事業所数]]/LTBL_08220[[#Totals],[総数／事業所数]]</f>
        <v>0.58969419696604863</v>
      </c>
      <c r="I21" s="11">
        <f>LTBL_08220[[#Totals],[法人以外の団体／事業所数]]/LTBL_08220[[#Totals],[総数／事業所数]]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438</v>
      </c>
      <c r="D24" s="8">
        <v>10.55</v>
      </c>
      <c r="E24" s="12">
        <v>353</v>
      </c>
      <c r="F24" s="8">
        <v>21.18</v>
      </c>
      <c r="G24" s="12">
        <v>85</v>
      </c>
      <c r="H24" s="8">
        <v>3.47</v>
      </c>
      <c r="I24" s="12">
        <v>0</v>
      </c>
    </row>
    <row r="25" spans="2:9" ht="15" customHeight="1" x14ac:dyDescent="0.2">
      <c r="B25" t="s">
        <v>68</v>
      </c>
      <c r="C25" s="12">
        <v>337</v>
      </c>
      <c r="D25" s="8">
        <v>8.11</v>
      </c>
      <c r="E25" s="12">
        <v>73</v>
      </c>
      <c r="F25" s="8">
        <v>4.38</v>
      </c>
      <c r="G25" s="12">
        <v>264</v>
      </c>
      <c r="H25" s="8">
        <v>10.78</v>
      </c>
      <c r="I25" s="12">
        <v>0</v>
      </c>
    </row>
    <row r="26" spans="2:9" ht="15" customHeight="1" x14ac:dyDescent="0.2">
      <c r="B26" t="s">
        <v>82</v>
      </c>
      <c r="C26" s="12">
        <v>303</v>
      </c>
      <c r="D26" s="8">
        <v>7.3</v>
      </c>
      <c r="E26" s="12">
        <v>224</v>
      </c>
      <c r="F26" s="8">
        <v>13.44</v>
      </c>
      <c r="G26" s="12">
        <v>79</v>
      </c>
      <c r="H26" s="8">
        <v>3.23</v>
      </c>
      <c r="I26" s="12">
        <v>0</v>
      </c>
    </row>
    <row r="27" spans="2:9" ht="15" customHeight="1" x14ac:dyDescent="0.2">
      <c r="B27" t="s">
        <v>79</v>
      </c>
      <c r="C27" s="12">
        <v>265</v>
      </c>
      <c r="D27" s="8">
        <v>6.38</v>
      </c>
      <c r="E27" s="12">
        <v>46</v>
      </c>
      <c r="F27" s="8">
        <v>2.76</v>
      </c>
      <c r="G27" s="12">
        <v>219</v>
      </c>
      <c r="H27" s="8">
        <v>8.94</v>
      </c>
      <c r="I27" s="12">
        <v>0</v>
      </c>
    </row>
    <row r="28" spans="2:9" ht="15" customHeight="1" x14ac:dyDescent="0.2">
      <c r="B28" t="s">
        <v>77</v>
      </c>
      <c r="C28" s="12">
        <v>247</v>
      </c>
      <c r="D28" s="8">
        <v>5.95</v>
      </c>
      <c r="E28" s="12">
        <v>95</v>
      </c>
      <c r="F28" s="8">
        <v>5.7</v>
      </c>
      <c r="G28" s="12">
        <v>152</v>
      </c>
      <c r="H28" s="8">
        <v>6.21</v>
      </c>
      <c r="I28" s="12">
        <v>0</v>
      </c>
    </row>
    <row r="29" spans="2:9" ht="15" customHeight="1" x14ac:dyDescent="0.2">
      <c r="B29" t="s">
        <v>69</v>
      </c>
      <c r="C29" s="12">
        <v>212</v>
      </c>
      <c r="D29" s="8">
        <v>5.0999999999999996</v>
      </c>
      <c r="E29" s="12">
        <v>105</v>
      </c>
      <c r="F29" s="8">
        <v>6.3</v>
      </c>
      <c r="G29" s="12">
        <v>107</v>
      </c>
      <c r="H29" s="8">
        <v>4.37</v>
      </c>
      <c r="I29" s="12">
        <v>0</v>
      </c>
    </row>
    <row r="30" spans="2:9" ht="15" customHeight="1" x14ac:dyDescent="0.2">
      <c r="B30" t="s">
        <v>70</v>
      </c>
      <c r="C30" s="12">
        <v>170</v>
      </c>
      <c r="D30" s="8">
        <v>4.09</v>
      </c>
      <c r="E30" s="12">
        <v>39</v>
      </c>
      <c r="F30" s="8">
        <v>2.34</v>
      </c>
      <c r="G30" s="12">
        <v>131</v>
      </c>
      <c r="H30" s="8">
        <v>5.35</v>
      </c>
      <c r="I30" s="12">
        <v>0</v>
      </c>
    </row>
    <row r="31" spans="2:9" ht="15" customHeight="1" x14ac:dyDescent="0.2">
      <c r="B31" t="s">
        <v>75</v>
      </c>
      <c r="C31" s="12">
        <v>161</v>
      </c>
      <c r="D31" s="8">
        <v>3.88</v>
      </c>
      <c r="E31" s="12">
        <v>107</v>
      </c>
      <c r="F31" s="8">
        <v>6.42</v>
      </c>
      <c r="G31" s="12">
        <v>54</v>
      </c>
      <c r="H31" s="8">
        <v>2.2000000000000002</v>
      </c>
      <c r="I31" s="12">
        <v>0</v>
      </c>
    </row>
    <row r="32" spans="2:9" ht="15" customHeight="1" x14ac:dyDescent="0.2">
      <c r="B32" t="s">
        <v>85</v>
      </c>
      <c r="C32" s="12">
        <v>151</v>
      </c>
      <c r="D32" s="8">
        <v>3.64</v>
      </c>
      <c r="E32" s="12">
        <v>72</v>
      </c>
      <c r="F32" s="8">
        <v>4.32</v>
      </c>
      <c r="G32" s="12">
        <v>60</v>
      </c>
      <c r="H32" s="8">
        <v>2.4500000000000002</v>
      </c>
      <c r="I32" s="12">
        <v>0</v>
      </c>
    </row>
    <row r="33" spans="2:9" ht="15" customHeight="1" x14ac:dyDescent="0.2">
      <c r="B33" t="s">
        <v>86</v>
      </c>
      <c r="C33" s="12">
        <v>145</v>
      </c>
      <c r="D33" s="8">
        <v>3.49</v>
      </c>
      <c r="E33" s="12">
        <v>128</v>
      </c>
      <c r="F33" s="8">
        <v>7.68</v>
      </c>
      <c r="G33" s="12">
        <v>17</v>
      </c>
      <c r="H33" s="8">
        <v>0.69</v>
      </c>
      <c r="I33" s="12">
        <v>0</v>
      </c>
    </row>
    <row r="34" spans="2:9" ht="15" customHeight="1" x14ac:dyDescent="0.2">
      <c r="B34" t="s">
        <v>80</v>
      </c>
      <c r="C34" s="12">
        <v>141</v>
      </c>
      <c r="D34" s="8">
        <v>3.4</v>
      </c>
      <c r="E34" s="12">
        <v>71</v>
      </c>
      <c r="F34" s="8">
        <v>4.26</v>
      </c>
      <c r="G34" s="12">
        <v>70</v>
      </c>
      <c r="H34" s="8">
        <v>2.86</v>
      </c>
      <c r="I34" s="12">
        <v>0</v>
      </c>
    </row>
    <row r="35" spans="2:9" ht="15" customHeight="1" x14ac:dyDescent="0.2">
      <c r="B35" t="s">
        <v>76</v>
      </c>
      <c r="C35" s="12">
        <v>136</v>
      </c>
      <c r="D35" s="8">
        <v>3.27</v>
      </c>
      <c r="E35" s="12">
        <v>65</v>
      </c>
      <c r="F35" s="8">
        <v>3.9</v>
      </c>
      <c r="G35" s="12">
        <v>71</v>
      </c>
      <c r="H35" s="8">
        <v>2.9</v>
      </c>
      <c r="I35" s="12">
        <v>0</v>
      </c>
    </row>
    <row r="36" spans="2:9" ht="15" customHeight="1" x14ac:dyDescent="0.2">
      <c r="B36" t="s">
        <v>74</v>
      </c>
      <c r="C36" s="12">
        <v>113</v>
      </c>
      <c r="D36" s="8">
        <v>2.72</v>
      </c>
      <c r="E36" s="12">
        <v>35</v>
      </c>
      <c r="F36" s="8">
        <v>2.1</v>
      </c>
      <c r="G36" s="12">
        <v>78</v>
      </c>
      <c r="H36" s="8">
        <v>3.18</v>
      </c>
      <c r="I36" s="12">
        <v>0</v>
      </c>
    </row>
    <row r="37" spans="2:9" ht="15" customHeight="1" x14ac:dyDescent="0.2">
      <c r="B37" t="s">
        <v>81</v>
      </c>
      <c r="C37" s="12">
        <v>113</v>
      </c>
      <c r="D37" s="8">
        <v>2.72</v>
      </c>
      <c r="E37" s="12">
        <v>24</v>
      </c>
      <c r="F37" s="8">
        <v>1.44</v>
      </c>
      <c r="G37" s="12">
        <v>89</v>
      </c>
      <c r="H37" s="8">
        <v>3.63</v>
      </c>
      <c r="I37" s="12">
        <v>0</v>
      </c>
    </row>
    <row r="38" spans="2:9" ht="15" customHeight="1" x14ac:dyDescent="0.2">
      <c r="B38" t="s">
        <v>87</v>
      </c>
      <c r="C38" s="12">
        <v>100</v>
      </c>
      <c r="D38" s="8">
        <v>2.41</v>
      </c>
      <c r="E38" s="12">
        <v>73</v>
      </c>
      <c r="F38" s="8">
        <v>4.38</v>
      </c>
      <c r="G38" s="12">
        <v>27</v>
      </c>
      <c r="H38" s="8">
        <v>1.1000000000000001</v>
      </c>
      <c r="I38" s="12">
        <v>0</v>
      </c>
    </row>
    <row r="39" spans="2:9" ht="15" customHeight="1" x14ac:dyDescent="0.2">
      <c r="B39" t="s">
        <v>73</v>
      </c>
      <c r="C39" s="12">
        <v>99</v>
      </c>
      <c r="D39" s="8">
        <v>2.38</v>
      </c>
      <c r="E39" s="12">
        <v>7</v>
      </c>
      <c r="F39" s="8">
        <v>0.42</v>
      </c>
      <c r="G39" s="12">
        <v>92</v>
      </c>
      <c r="H39" s="8">
        <v>3.76</v>
      </c>
      <c r="I39" s="12">
        <v>0</v>
      </c>
    </row>
    <row r="40" spans="2:9" ht="15" customHeight="1" x14ac:dyDescent="0.2">
      <c r="B40" t="s">
        <v>78</v>
      </c>
      <c r="C40" s="12">
        <v>78</v>
      </c>
      <c r="D40" s="8">
        <v>1.88</v>
      </c>
      <c r="E40" s="12">
        <v>5</v>
      </c>
      <c r="F40" s="8">
        <v>0.3</v>
      </c>
      <c r="G40" s="12">
        <v>73</v>
      </c>
      <c r="H40" s="8">
        <v>2.98</v>
      </c>
      <c r="I40" s="12">
        <v>0</v>
      </c>
    </row>
    <row r="41" spans="2:9" ht="15" customHeight="1" x14ac:dyDescent="0.2">
      <c r="B41" t="s">
        <v>89</v>
      </c>
      <c r="C41" s="12">
        <v>70</v>
      </c>
      <c r="D41" s="8">
        <v>1.69</v>
      </c>
      <c r="E41" s="12">
        <v>1</v>
      </c>
      <c r="F41" s="8">
        <v>0.06</v>
      </c>
      <c r="G41" s="12">
        <v>67</v>
      </c>
      <c r="H41" s="8">
        <v>2.74</v>
      </c>
      <c r="I41" s="12">
        <v>0</v>
      </c>
    </row>
    <row r="42" spans="2:9" ht="15" customHeight="1" x14ac:dyDescent="0.2">
      <c r="B42" t="s">
        <v>88</v>
      </c>
      <c r="C42" s="12">
        <v>67</v>
      </c>
      <c r="D42" s="8">
        <v>1.61</v>
      </c>
      <c r="E42" s="12">
        <v>13</v>
      </c>
      <c r="F42" s="8">
        <v>0.78</v>
      </c>
      <c r="G42" s="12">
        <v>54</v>
      </c>
      <c r="H42" s="8">
        <v>2.2000000000000002</v>
      </c>
      <c r="I42" s="12">
        <v>0</v>
      </c>
    </row>
    <row r="43" spans="2:9" ht="15" customHeight="1" x14ac:dyDescent="0.2">
      <c r="B43" t="s">
        <v>102</v>
      </c>
      <c r="C43" s="12">
        <v>54</v>
      </c>
      <c r="D43" s="8">
        <v>1.3</v>
      </c>
      <c r="E43" s="12">
        <v>5</v>
      </c>
      <c r="F43" s="8">
        <v>0.3</v>
      </c>
      <c r="G43" s="12">
        <v>49</v>
      </c>
      <c r="H43" s="8">
        <v>2</v>
      </c>
      <c r="I43" s="12">
        <v>0</v>
      </c>
    </row>
    <row r="44" spans="2:9" ht="15" customHeight="1" x14ac:dyDescent="0.2">
      <c r="B44" t="s">
        <v>84</v>
      </c>
      <c r="C44" s="12">
        <v>54</v>
      </c>
      <c r="D44" s="8">
        <v>1.3</v>
      </c>
      <c r="E44" s="12">
        <v>18</v>
      </c>
      <c r="F44" s="8">
        <v>1.08</v>
      </c>
      <c r="G44" s="12">
        <v>36</v>
      </c>
      <c r="H44" s="8">
        <v>1.47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134</v>
      </c>
      <c r="C48" s="12">
        <v>216</v>
      </c>
      <c r="D48" s="8">
        <v>5.2</v>
      </c>
      <c r="E48" s="12">
        <v>189</v>
      </c>
      <c r="F48" s="8">
        <v>11.34</v>
      </c>
      <c r="G48" s="12">
        <v>27</v>
      </c>
      <c r="H48" s="8">
        <v>1.1000000000000001</v>
      </c>
      <c r="I48" s="12">
        <v>0</v>
      </c>
    </row>
    <row r="49" spans="2:9" ht="15" customHeight="1" x14ac:dyDescent="0.2">
      <c r="B49" t="s">
        <v>129</v>
      </c>
      <c r="C49" s="12">
        <v>147</v>
      </c>
      <c r="D49" s="8">
        <v>3.54</v>
      </c>
      <c r="E49" s="12">
        <v>33</v>
      </c>
      <c r="F49" s="8">
        <v>1.98</v>
      </c>
      <c r="G49" s="12">
        <v>114</v>
      </c>
      <c r="H49" s="8">
        <v>4.6500000000000004</v>
      </c>
      <c r="I49" s="12">
        <v>0</v>
      </c>
    </row>
    <row r="50" spans="2:9" ht="15" customHeight="1" x14ac:dyDescent="0.2">
      <c r="B50" t="s">
        <v>133</v>
      </c>
      <c r="C50" s="12">
        <v>142</v>
      </c>
      <c r="D50" s="8">
        <v>3.42</v>
      </c>
      <c r="E50" s="12">
        <v>135</v>
      </c>
      <c r="F50" s="8">
        <v>8.1</v>
      </c>
      <c r="G50" s="12">
        <v>7</v>
      </c>
      <c r="H50" s="8">
        <v>0.28999999999999998</v>
      </c>
      <c r="I50" s="12">
        <v>0</v>
      </c>
    </row>
    <row r="51" spans="2:9" ht="15" customHeight="1" x14ac:dyDescent="0.2">
      <c r="B51" t="s">
        <v>118</v>
      </c>
      <c r="C51" s="12">
        <v>118</v>
      </c>
      <c r="D51" s="8">
        <v>2.84</v>
      </c>
      <c r="E51" s="12">
        <v>17</v>
      </c>
      <c r="F51" s="8">
        <v>1.02</v>
      </c>
      <c r="G51" s="12">
        <v>101</v>
      </c>
      <c r="H51" s="8">
        <v>4.12</v>
      </c>
      <c r="I51" s="12">
        <v>0</v>
      </c>
    </row>
    <row r="52" spans="2:9" ht="15" customHeight="1" x14ac:dyDescent="0.2">
      <c r="B52" t="s">
        <v>131</v>
      </c>
      <c r="C52" s="12">
        <v>110</v>
      </c>
      <c r="D52" s="8">
        <v>2.65</v>
      </c>
      <c r="E52" s="12">
        <v>79</v>
      </c>
      <c r="F52" s="8">
        <v>4.74</v>
      </c>
      <c r="G52" s="12">
        <v>31</v>
      </c>
      <c r="H52" s="8">
        <v>1.27</v>
      </c>
      <c r="I52" s="12">
        <v>0</v>
      </c>
    </row>
    <row r="53" spans="2:9" ht="15" customHeight="1" x14ac:dyDescent="0.2">
      <c r="B53" t="s">
        <v>137</v>
      </c>
      <c r="C53" s="12">
        <v>99</v>
      </c>
      <c r="D53" s="8">
        <v>2.38</v>
      </c>
      <c r="E53" s="12">
        <v>73</v>
      </c>
      <c r="F53" s="8">
        <v>4.38</v>
      </c>
      <c r="G53" s="12">
        <v>26</v>
      </c>
      <c r="H53" s="8">
        <v>1.06</v>
      </c>
      <c r="I53" s="12">
        <v>0</v>
      </c>
    </row>
    <row r="54" spans="2:9" ht="15" customHeight="1" x14ac:dyDescent="0.2">
      <c r="B54" t="s">
        <v>136</v>
      </c>
      <c r="C54" s="12">
        <v>97</v>
      </c>
      <c r="D54" s="8">
        <v>2.34</v>
      </c>
      <c r="E54" s="12">
        <v>83</v>
      </c>
      <c r="F54" s="8">
        <v>4.9800000000000004</v>
      </c>
      <c r="G54" s="12">
        <v>14</v>
      </c>
      <c r="H54" s="8">
        <v>0.56999999999999995</v>
      </c>
      <c r="I54" s="12">
        <v>0</v>
      </c>
    </row>
    <row r="55" spans="2:9" ht="15" customHeight="1" x14ac:dyDescent="0.2">
      <c r="B55" t="s">
        <v>120</v>
      </c>
      <c r="C55" s="12">
        <v>92</v>
      </c>
      <c r="D55" s="8">
        <v>2.2200000000000002</v>
      </c>
      <c r="E55" s="12">
        <v>36</v>
      </c>
      <c r="F55" s="8">
        <v>2.16</v>
      </c>
      <c r="G55" s="12">
        <v>56</v>
      </c>
      <c r="H55" s="8">
        <v>2.29</v>
      </c>
      <c r="I55" s="12">
        <v>0</v>
      </c>
    </row>
    <row r="56" spans="2:9" ht="15" customHeight="1" x14ac:dyDescent="0.2">
      <c r="B56" t="s">
        <v>124</v>
      </c>
      <c r="C56" s="12">
        <v>91</v>
      </c>
      <c r="D56" s="8">
        <v>2.19</v>
      </c>
      <c r="E56" s="12">
        <v>42</v>
      </c>
      <c r="F56" s="8">
        <v>2.52</v>
      </c>
      <c r="G56" s="12">
        <v>49</v>
      </c>
      <c r="H56" s="8">
        <v>2</v>
      </c>
      <c r="I56" s="12">
        <v>0</v>
      </c>
    </row>
    <row r="57" spans="2:9" ht="15" customHeight="1" x14ac:dyDescent="0.2">
      <c r="B57" t="s">
        <v>132</v>
      </c>
      <c r="C57" s="12">
        <v>79</v>
      </c>
      <c r="D57" s="8">
        <v>1.9</v>
      </c>
      <c r="E57" s="12">
        <v>66</v>
      </c>
      <c r="F57" s="8">
        <v>3.96</v>
      </c>
      <c r="G57" s="12">
        <v>13</v>
      </c>
      <c r="H57" s="8">
        <v>0.53</v>
      </c>
      <c r="I57" s="12">
        <v>0</v>
      </c>
    </row>
    <row r="58" spans="2:9" ht="15" customHeight="1" x14ac:dyDescent="0.2">
      <c r="B58" t="s">
        <v>121</v>
      </c>
      <c r="C58" s="12">
        <v>77</v>
      </c>
      <c r="D58" s="8">
        <v>1.85</v>
      </c>
      <c r="E58" s="12">
        <v>20</v>
      </c>
      <c r="F58" s="8">
        <v>1.2</v>
      </c>
      <c r="G58" s="12">
        <v>57</v>
      </c>
      <c r="H58" s="8">
        <v>2.33</v>
      </c>
      <c r="I58" s="12">
        <v>0</v>
      </c>
    </row>
    <row r="59" spans="2:9" ht="15" customHeight="1" x14ac:dyDescent="0.2">
      <c r="B59" t="s">
        <v>135</v>
      </c>
      <c r="C59" s="12">
        <v>77</v>
      </c>
      <c r="D59" s="8">
        <v>1.85</v>
      </c>
      <c r="E59" s="12">
        <v>46</v>
      </c>
      <c r="F59" s="8">
        <v>2.76</v>
      </c>
      <c r="G59" s="12">
        <v>31</v>
      </c>
      <c r="H59" s="8">
        <v>1.27</v>
      </c>
      <c r="I59" s="12">
        <v>0</v>
      </c>
    </row>
    <row r="60" spans="2:9" ht="15" customHeight="1" x14ac:dyDescent="0.2">
      <c r="B60" t="s">
        <v>122</v>
      </c>
      <c r="C60" s="12">
        <v>67</v>
      </c>
      <c r="D60" s="8">
        <v>1.61</v>
      </c>
      <c r="E60" s="12">
        <v>15</v>
      </c>
      <c r="F60" s="8">
        <v>0.9</v>
      </c>
      <c r="G60" s="12">
        <v>52</v>
      </c>
      <c r="H60" s="8">
        <v>2.12</v>
      </c>
      <c r="I60" s="12">
        <v>0</v>
      </c>
    </row>
    <row r="61" spans="2:9" ht="15" customHeight="1" x14ac:dyDescent="0.2">
      <c r="B61" t="s">
        <v>127</v>
      </c>
      <c r="C61" s="12">
        <v>66</v>
      </c>
      <c r="D61" s="8">
        <v>1.59</v>
      </c>
      <c r="E61" s="12">
        <v>33</v>
      </c>
      <c r="F61" s="8">
        <v>1.98</v>
      </c>
      <c r="G61" s="12">
        <v>33</v>
      </c>
      <c r="H61" s="8">
        <v>1.35</v>
      </c>
      <c r="I61" s="12">
        <v>0</v>
      </c>
    </row>
    <row r="62" spans="2:9" ht="15" customHeight="1" x14ac:dyDescent="0.2">
      <c r="B62" t="s">
        <v>130</v>
      </c>
      <c r="C62" s="12">
        <v>63</v>
      </c>
      <c r="D62" s="8">
        <v>1.52</v>
      </c>
      <c r="E62" s="12">
        <v>11</v>
      </c>
      <c r="F62" s="8">
        <v>0.66</v>
      </c>
      <c r="G62" s="12">
        <v>52</v>
      </c>
      <c r="H62" s="8">
        <v>2.12</v>
      </c>
      <c r="I62" s="12">
        <v>0</v>
      </c>
    </row>
    <row r="63" spans="2:9" ht="15" customHeight="1" x14ac:dyDescent="0.2">
      <c r="B63" t="s">
        <v>123</v>
      </c>
      <c r="C63" s="12">
        <v>60</v>
      </c>
      <c r="D63" s="8">
        <v>1.44</v>
      </c>
      <c r="E63" s="12">
        <v>36</v>
      </c>
      <c r="F63" s="8">
        <v>2.16</v>
      </c>
      <c r="G63" s="12">
        <v>24</v>
      </c>
      <c r="H63" s="8">
        <v>0.98</v>
      </c>
      <c r="I63" s="12">
        <v>0</v>
      </c>
    </row>
    <row r="64" spans="2:9" ht="15" customHeight="1" x14ac:dyDescent="0.2">
      <c r="B64" t="s">
        <v>128</v>
      </c>
      <c r="C64" s="12">
        <v>59</v>
      </c>
      <c r="D64" s="8">
        <v>1.42</v>
      </c>
      <c r="E64" s="12">
        <v>8</v>
      </c>
      <c r="F64" s="8">
        <v>0.48</v>
      </c>
      <c r="G64" s="12">
        <v>51</v>
      </c>
      <c r="H64" s="8">
        <v>2.08</v>
      </c>
      <c r="I64" s="12">
        <v>0</v>
      </c>
    </row>
    <row r="65" spans="2:9" ht="15" customHeight="1" x14ac:dyDescent="0.2">
      <c r="B65" t="s">
        <v>164</v>
      </c>
      <c r="C65" s="12">
        <v>58</v>
      </c>
      <c r="D65" s="8">
        <v>1.4</v>
      </c>
      <c r="E65" s="12">
        <v>4</v>
      </c>
      <c r="F65" s="8">
        <v>0.24</v>
      </c>
      <c r="G65" s="12">
        <v>54</v>
      </c>
      <c r="H65" s="8">
        <v>2.2000000000000002</v>
      </c>
      <c r="I65" s="12">
        <v>0</v>
      </c>
    </row>
    <row r="66" spans="2:9" ht="15" customHeight="1" x14ac:dyDescent="0.2">
      <c r="B66" t="s">
        <v>119</v>
      </c>
      <c r="C66" s="12">
        <v>57</v>
      </c>
      <c r="D66" s="8">
        <v>1.37</v>
      </c>
      <c r="E66" s="12">
        <v>5</v>
      </c>
      <c r="F66" s="8">
        <v>0.3</v>
      </c>
      <c r="G66" s="12">
        <v>52</v>
      </c>
      <c r="H66" s="8">
        <v>2.12</v>
      </c>
      <c r="I66" s="12">
        <v>0</v>
      </c>
    </row>
    <row r="67" spans="2:9" ht="15" customHeight="1" x14ac:dyDescent="0.2">
      <c r="B67" t="s">
        <v>154</v>
      </c>
      <c r="C67" s="12">
        <v>55</v>
      </c>
      <c r="D67" s="8">
        <v>1.32</v>
      </c>
      <c r="E67" s="12">
        <v>20</v>
      </c>
      <c r="F67" s="8">
        <v>1.2</v>
      </c>
      <c r="G67" s="12">
        <v>35</v>
      </c>
      <c r="H67" s="8">
        <v>1.43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BF00-D7A4-4A6C-ACC0-DE9EBBC5826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423</v>
      </c>
      <c r="D6" s="8">
        <v>14.65</v>
      </c>
      <c r="E6" s="12">
        <v>129</v>
      </c>
      <c r="F6" s="8">
        <v>8.02</v>
      </c>
      <c r="G6" s="12">
        <v>294</v>
      </c>
      <c r="H6" s="8">
        <v>23.08</v>
      </c>
      <c r="I6" s="12">
        <v>0</v>
      </c>
    </row>
    <row r="7" spans="2:9" ht="15" customHeight="1" x14ac:dyDescent="0.2">
      <c r="B7" t="s">
        <v>47</v>
      </c>
      <c r="C7" s="12">
        <v>211</v>
      </c>
      <c r="D7" s="8">
        <v>7.31</v>
      </c>
      <c r="E7" s="12">
        <v>77</v>
      </c>
      <c r="F7" s="8">
        <v>4.79</v>
      </c>
      <c r="G7" s="12">
        <v>134</v>
      </c>
      <c r="H7" s="8">
        <v>10.52</v>
      </c>
      <c r="I7" s="12">
        <v>0</v>
      </c>
    </row>
    <row r="8" spans="2:9" ht="15" customHeight="1" x14ac:dyDescent="0.2">
      <c r="B8" t="s">
        <v>48</v>
      </c>
      <c r="C8" s="12">
        <v>6</v>
      </c>
      <c r="D8" s="8">
        <v>0.21</v>
      </c>
      <c r="E8" s="12">
        <v>0</v>
      </c>
      <c r="F8" s="8">
        <v>0</v>
      </c>
      <c r="G8" s="12">
        <v>6</v>
      </c>
      <c r="H8" s="8">
        <v>0.47</v>
      </c>
      <c r="I8" s="12">
        <v>0</v>
      </c>
    </row>
    <row r="9" spans="2:9" ht="15" customHeight="1" x14ac:dyDescent="0.2">
      <c r="B9" t="s">
        <v>49</v>
      </c>
      <c r="C9" s="12">
        <v>33</v>
      </c>
      <c r="D9" s="8">
        <v>1.1399999999999999</v>
      </c>
      <c r="E9" s="12">
        <v>4</v>
      </c>
      <c r="F9" s="8">
        <v>0.25</v>
      </c>
      <c r="G9" s="12">
        <v>29</v>
      </c>
      <c r="H9" s="8">
        <v>2.2799999999999998</v>
      </c>
      <c r="I9" s="12">
        <v>0</v>
      </c>
    </row>
    <row r="10" spans="2:9" ht="15" customHeight="1" x14ac:dyDescent="0.2">
      <c r="B10" t="s">
        <v>50</v>
      </c>
      <c r="C10" s="12">
        <v>32</v>
      </c>
      <c r="D10" s="8">
        <v>1.1100000000000001</v>
      </c>
      <c r="E10" s="12">
        <v>1</v>
      </c>
      <c r="F10" s="8">
        <v>0.06</v>
      </c>
      <c r="G10" s="12">
        <v>30</v>
      </c>
      <c r="H10" s="8">
        <v>2.35</v>
      </c>
      <c r="I10" s="12">
        <v>1</v>
      </c>
    </row>
    <row r="11" spans="2:9" ht="15" customHeight="1" x14ac:dyDescent="0.2">
      <c r="B11" t="s">
        <v>51</v>
      </c>
      <c r="C11" s="12">
        <v>662</v>
      </c>
      <c r="D11" s="8">
        <v>22.92</v>
      </c>
      <c r="E11" s="12">
        <v>331</v>
      </c>
      <c r="F11" s="8">
        <v>20.57</v>
      </c>
      <c r="G11" s="12">
        <v>331</v>
      </c>
      <c r="H11" s="8">
        <v>25.98</v>
      </c>
      <c r="I11" s="12">
        <v>0</v>
      </c>
    </row>
    <row r="12" spans="2:9" ht="15" customHeight="1" x14ac:dyDescent="0.2">
      <c r="B12" t="s">
        <v>52</v>
      </c>
      <c r="C12" s="12">
        <v>15</v>
      </c>
      <c r="D12" s="8">
        <v>0.52</v>
      </c>
      <c r="E12" s="12">
        <v>2</v>
      </c>
      <c r="F12" s="8">
        <v>0.12</v>
      </c>
      <c r="G12" s="12">
        <v>13</v>
      </c>
      <c r="H12" s="8">
        <v>1.02</v>
      </c>
      <c r="I12" s="12">
        <v>0</v>
      </c>
    </row>
    <row r="13" spans="2:9" ht="15" customHeight="1" x14ac:dyDescent="0.2">
      <c r="B13" t="s">
        <v>53</v>
      </c>
      <c r="C13" s="12">
        <v>202</v>
      </c>
      <c r="D13" s="8">
        <v>6.99</v>
      </c>
      <c r="E13" s="12">
        <v>77</v>
      </c>
      <c r="F13" s="8">
        <v>4.79</v>
      </c>
      <c r="G13" s="12">
        <v>124</v>
      </c>
      <c r="H13" s="8">
        <v>9.73</v>
      </c>
      <c r="I13" s="12">
        <v>1</v>
      </c>
    </row>
    <row r="14" spans="2:9" ht="15" customHeight="1" x14ac:dyDescent="0.2">
      <c r="B14" t="s">
        <v>54</v>
      </c>
      <c r="C14" s="12">
        <v>110</v>
      </c>
      <c r="D14" s="8">
        <v>3.81</v>
      </c>
      <c r="E14" s="12">
        <v>59</v>
      </c>
      <c r="F14" s="8">
        <v>3.67</v>
      </c>
      <c r="G14" s="12">
        <v>51</v>
      </c>
      <c r="H14" s="8">
        <v>4</v>
      </c>
      <c r="I14" s="12">
        <v>0</v>
      </c>
    </row>
    <row r="15" spans="2:9" ht="15" customHeight="1" x14ac:dyDescent="0.2">
      <c r="B15" t="s">
        <v>55</v>
      </c>
      <c r="C15" s="12">
        <v>393</v>
      </c>
      <c r="D15" s="8">
        <v>13.61</v>
      </c>
      <c r="E15" s="12">
        <v>323</v>
      </c>
      <c r="F15" s="8">
        <v>20.07</v>
      </c>
      <c r="G15" s="12">
        <v>70</v>
      </c>
      <c r="H15" s="8">
        <v>5.49</v>
      </c>
      <c r="I15" s="12">
        <v>0</v>
      </c>
    </row>
    <row r="16" spans="2:9" ht="15" customHeight="1" x14ac:dyDescent="0.2">
      <c r="B16" t="s">
        <v>56</v>
      </c>
      <c r="C16" s="12">
        <v>445</v>
      </c>
      <c r="D16" s="8">
        <v>15.41</v>
      </c>
      <c r="E16" s="12">
        <v>364</v>
      </c>
      <c r="F16" s="8">
        <v>22.62</v>
      </c>
      <c r="G16" s="12">
        <v>81</v>
      </c>
      <c r="H16" s="8">
        <v>6.36</v>
      </c>
      <c r="I16" s="12">
        <v>0</v>
      </c>
    </row>
    <row r="17" spans="2:9" ht="15" customHeight="1" x14ac:dyDescent="0.2">
      <c r="B17" t="s">
        <v>57</v>
      </c>
      <c r="C17" s="12">
        <v>135</v>
      </c>
      <c r="D17" s="8">
        <v>4.67</v>
      </c>
      <c r="E17" s="12">
        <v>108</v>
      </c>
      <c r="F17" s="8">
        <v>6.71</v>
      </c>
      <c r="G17" s="12">
        <v>27</v>
      </c>
      <c r="H17" s="8">
        <v>2.12</v>
      </c>
      <c r="I17" s="12">
        <v>0</v>
      </c>
    </row>
    <row r="18" spans="2:9" ht="15" customHeight="1" x14ac:dyDescent="0.2">
      <c r="B18" t="s">
        <v>58</v>
      </c>
      <c r="C18" s="12">
        <v>126</v>
      </c>
      <c r="D18" s="8">
        <v>4.3600000000000003</v>
      </c>
      <c r="E18" s="12">
        <v>91</v>
      </c>
      <c r="F18" s="8">
        <v>5.66</v>
      </c>
      <c r="G18" s="12">
        <v>33</v>
      </c>
      <c r="H18" s="8">
        <v>2.59</v>
      </c>
      <c r="I18" s="12">
        <v>1</v>
      </c>
    </row>
    <row r="19" spans="2:9" ht="15" customHeight="1" x14ac:dyDescent="0.2">
      <c r="B19" t="s">
        <v>59</v>
      </c>
      <c r="C19" s="12">
        <v>95</v>
      </c>
      <c r="D19" s="8">
        <v>3.29</v>
      </c>
      <c r="E19" s="12">
        <v>43</v>
      </c>
      <c r="F19" s="8">
        <v>2.67</v>
      </c>
      <c r="G19" s="12">
        <v>51</v>
      </c>
      <c r="H19" s="8">
        <v>4</v>
      </c>
      <c r="I19" s="12">
        <v>1</v>
      </c>
    </row>
    <row r="20" spans="2:9" ht="15" customHeight="1" x14ac:dyDescent="0.2">
      <c r="B20" s="9" t="s">
        <v>195</v>
      </c>
      <c r="C20" s="12">
        <f>SUM(LTBL_08221[総数／事業所数])</f>
        <v>2888</v>
      </c>
      <c r="E20" s="12">
        <f>SUBTOTAL(109,LTBL_08221[個人／事業所数])</f>
        <v>1609</v>
      </c>
      <c r="G20" s="12">
        <f>SUBTOTAL(109,LTBL_08221[法人／事業所数])</f>
        <v>1274</v>
      </c>
      <c r="I20" s="12">
        <f>SUBTOTAL(109,LTBL_08221[法人以外の団体／事業所数])</f>
        <v>4</v>
      </c>
    </row>
    <row r="21" spans="2:9" ht="15" customHeight="1" x14ac:dyDescent="0.2">
      <c r="E21" s="11">
        <f>LTBL_08221[[#Totals],[個人／事業所数]]/LTBL_08221[[#Totals],[総数／事業所数]]</f>
        <v>0.55713296398891965</v>
      </c>
      <c r="G21" s="11">
        <f>LTBL_08221[[#Totals],[法人／事業所数]]/LTBL_08221[[#Totals],[総数／事業所数]]</f>
        <v>0.44113573407202217</v>
      </c>
      <c r="I21" s="11">
        <f>LTBL_08221[[#Totals],[法人以外の団体／事業所数]]/LTBL_08221[[#Totals],[総数／事業所数]]</f>
        <v>1.3850415512465374E-3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388</v>
      </c>
      <c r="D24" s="8">
        <v>13.43</v>
      </c>
      <c r="E24" s="12">
        <v>338</v>
      </c>
      <c r="F24" s="8">
        <v>21.01</v>
      </c>
      <c r="G24" s="12">
        <v>50</v>
      </c>
      <c r="H24" s="8">
        <v>3.92</v>
      </c>
      <c r="I24" s="12">
        <v>0</v>
      </c>
    </row>
    <row r="25" spans="2:9" ht="15" customHeight="1" x14ac:dyDescent="0.2">
      <c r="B25" t="s">
        <v>82</v>
      </c>
      <c r="C25" s="12">
        <v>343</v>
      </c>
      <c r="D25" s="8">
        <v>11.88</v>
      </c>
      <c r="E25" s="12">
        <v>288</v>
      </c>
      <c r="F25" s="8">
        <v>17.899999999999999</v>
      </c>
      <c r="G25" s="12">
        <v>55</v>
      </c>
      <c r="H25" s="8">
        <v>4.32</v>
      </c>
      <c r="I25" s="12">
        <v>0</v>
      </c>
    </row>
    <row r="26" spans="2:9" ht="15" customHeight="1" x14ac:dyDescent="0.2">
      <c r="B26" t="s">
        <v>68</v>
      </c>
      <c r="C26" s="12">
        <v>213</v>
      </c>
      <c r="D26" s="8">
        <v>7.38</v>
      </c>
      <c r="E26" s="12">
        <v>58</v>
      </c>
      <c r="F26" s="8">
        <v>3.6</v>
      </c>
      <c r="G26" s="12">
        <v>155</v>
      </c>
      <c r="H26" s="8">
        <v>12.17</v>
      </c>
      <c r="I26" s="12">
        <v>0</v>
      </c>
    </row>
    <row r="27" spans="2:9" ht="15" customHeight="1" x14ac:dyDescent="0.2">
      <c r="B27" t="s">
        <v>77</v>
      </c>
      <c r="C27" s="12">
        <v>192</v>
      </c>
      <c r="D27" s="8">
        <v>6.65</v>
      </c>
      <c r="E27" s="12">
        <v>101</v>
      </c>
      <c r="F27" s="8">
        <v>6.28</v>
      </c>
      <c r="G27" s="12">
        <v>91</v>
      </c>
      <c r="H27" s="8">
        <v>7.14</v>
      </c>
      <c r="I27" s="12">
        <v>0</v>
      </c>
    </row>
    <row r="28" spans="2:9" ht="15" customHeight="1" x14ac:dyDescent="0.2">
      <c r="B28" t="s">
        <v>79</v>
      </c>
      <c r="C28" s="12">
        <v>155</v>
      </c>
      <c r="D28" s="8">
        <v>5.37</v>
      </c>
      <c r="E28" s="12">
        <v>66</v>
      </c>
      <c r="F28" s="8">
        <v>4.0999999999999996</v>
      </c>
      <c r="G28" s="12">
        <v>88</v>
      </c>
      <c r="H28" s="8">
        <v>6.91</v>
      </c>
      <c r="I28" s="12">
        <v>1</v>
      </c>
    </row>
    <row r="29" spans="2:9" ht="15" customHeight="1" x14ac:dyDescent="0.2">
      <c r="B29" t="s">
        <v>75</v>
      </c>
      <c r="C29" s="12">
        <v>148</v>
      </c>
      <c r="D29" s="8">
        <v>5.12</v>
      </c>
      <c r="E29" s="12">
        <v>117</v>
      </c>
      <c r="F29" s="8">
        <v>7.27</v>
      </c>
      <c r="G29" s="12">
        <v>31</v>
      </c>
      <c r="H29" s="8">
        <v>2.4300000000000002</v>
      </c>
      <c r="I29" s="12">
        <v>0</v>
      </c>
    </row>
    <row r="30" spans="2:9" ht="15" customHeight="1" x14ac:dyDescent="0.2">
      <c r="B30" t="s">
        <v>85</v>
      </c>
      <c r="C30" s="12">
        <v>135</v>
      </c>
      <c r="D30" s="8">
        <v>4.67</v>
      </c>
      <c r="E30" s="12">
        <v>108</v>
      </c>
      <c r="F30" s="8">
        <v>6.71</v>
      </c>
      <c r="G30" s="12">
        <v>27</v>
      </c>
      <c r="H30" s="8">
        <v>2.12</v>
      </c>
      <c r="I30" s="12">
        <v>0</v>
      </c>
    </row>
    <row r="31" spans="2:9" ht="15" customHeight="1" x14ac:dyDescent="0.2">
      <c r="B31" t="s">
        <v>69</v>
      </c>
      <c r="C31" s="12">
        <v>111</v>
      </c>
      <c r="D31" s="8">
        <v>3.84</v>
      </c>
      <c r="E31" s="12">
        <v>49</v>
      </c>
      <c r="F31" s="8">
        <v>3.05</v>
      </c>
      <c r="G31" s="12">
        <v>62</v>
      </c>
      <c r="H31" s="8">
        <v>4.87</v>
      </c>
      <c r="I31" s="12">
        <v>0</v>
      </c>
    </row>
    <row r="32" spans="2:9" ht="15" customHeight="1" x14ac:dyDescent="0.2">
      <c r="B32" t="s">
        <v>76</v>
      </c>
      <c r="C32" s="12">
        <v>105</v>
      </c>
      <c r="D32" s="8">
        <v>3.64</v>
      </c>
      <c r="E32" s="12">
        <v>58</v>
      </c>
      <c r="F32" s="8">
        <v>3.6</v>
      </c>
      <c r="G32" s="12">
        <v>47</v>
      </c>
      <c r="H32" s="8">
        <v>3.69</v>
      </c>
      <c r="I32" s="12">
        <v>0</v>
      </c>
    </row>
    <row r="33" spans="2:9" ht="15" customHeight="1" x14ac:dyDescent="0.2">
      <c r="B33" t="s">
        <v>86</v>
      </c>
      <c r="C33" s="12">
        <v>100</v>
      </c>
      <c r="D33" s="8">
        <v>3.46</v>
      </c>
      <c r="E33" s="12">
        <v>90</v>
      </c>
      <c r="F33" s="8">
        <v>5.59</v>
      </c>
      <c r="G33" s="12">
        <v>10</v>
      </c>
      <c r="H33" s="8">
        <v>0.78</v>
      </c>
      <c r="I33" s="12">
        <v>0</v>
      </c>
    </row>
    <row r="34" spans="2:9" ht="15" customHeight="1" x14ac:dyDescent="0.2">
      <c r="B34" t="s">
        <v>70</v>
      </c>
      <c r="C34" s="12">
        <v>99</v>
      </c>
      <c r="D34" s="8">
        <v>3.43</v>
      </c>
      <c r="E34" s="12">
        <v>22</v>
      </c>
      <c r="F34" s="8">
        <v>1.37</v>
      </c>
      <c r="G34" s="12">
        <v>77</v>
      </c>
      <c r="H34" s="8">
        <v>6.04</v>
      </c>
      <c r="I34" s="12">
        <v>0</v>
      </c>
    </row>
    <row r="35" spans="2:9" ht="15" customHeight="1" x14ac:dyDescent="0.2">
      <c r="B35" t="s">
        <v>74</v>
      </c>
      <c r="C35" s="12">
        <v>62</v>
      </c>
      <c r="D35" s="8">
        <v>2.15</v>
      </c>
      <c r="E35" s="12">
        <v>23</v>
      </c>
      <c r="F35" s="8">
        <v>1.43</v>
      </c>
      <c r="G35" s="12">
        <v>39</v>
      </c>
      <c r="H35" s="8">
        <v>3.06</v>
      </c>
      <c r="I35" s="12">
        <v>0</v>
      </c>
    </row>
    <row r="36" spans="2:9" ht="15" customHeight="1" x14ac:dyDescent="0.2">
      <c r="B36" t="s">
        <v>80</v>
      </c>
      <c r="C36" s="12">
        <v>61</v>
      </c>
      <c r="D36" s="8">
        <v>2.11</v>
      </c>
      <c r="E36" s="12">
        <v>41</v>
      </c>
      <c r="F36" s="8">
        <v>2.5499999999999998</v>
      </c>
      <c r="G36" s="12">
        <v>20</v>
      </c>
      <c r="H36" s="8">
        <v>1.57</v>
      </c>
      <c r="I36" s="12">
        <v>0</v>
      </c>
    </row>
    <row r="37" spans="2:9" ht="15" customHeight="1" x14ac:dyDescent="0.2">
      <c r="B37" t="s">
        <v>73</v>
      </c>
      <c r="C37" s="12">
        <v>50</v>
      </c>
      <c r="D37" s="8">
        <v>1.73</v>
      </c>
      <c r="E37" s="12">
        <v>3</v>
      </c>
      <c r="F37" s="8">
        <v>0.19</v>
      </c>
      <c r="G37" s="12">
        <v>47</v>
      </c>
      <c r="H37" s="8">
        <v>3.69</v>
      </c>
      <c r="I37" s="12">
        <v>0</v>
      </c>
    </row>
    <row r="38" spans="2:9" ht="15" customHeight="1" x14ac:dyDescent="0.2">
      <c r="B38" t="s">
        <v>81</v>
      </c>
      <c r="C38" s="12">
        <v>45</v>
      </c>
      <c r="D38" s="8">
        <v>1.56</v>
      </c>
      <c r="E38" s="12">
        <v>17</v>
      </c>
      <c r="F38" s="8">
        <v>1.06</v>
      </c>
      <c r="G38" s="12">
        <v>28</v>
      </c>
      <c r="H38" s="8">
        <v>2.2000000000000002</v>
      </c>
      <c r="I38" s="12">
        <v>0</v>
      </c>
    </row>
    <row r="39" spans="2:9" ht="15" customHeight="1" x14ac:dyDescent="0.2">
      <c r="B39" t="s">
        <v>87</v>
      </c>
      <c r="C39" s="12">
        <v>41</v>
      </c>
      <c r="D39" s="8">
        <v>1.42</v>
      </c>
      <c r="E39" s="12">
        <v>30</v>
      </c>
      <c r="F39" s="8">
        <v>1.86</v>
      </c>
      <c r="G39" s="12">
        <v>11</v>
      </c>
      <c r="H39" s="8">
        <v>0.86</v>
      </c>
      <c r="I39" s="12">
        <v>0</v>
      </c>
    </row>
    <row r="40" spans="2:9" ht="15" customHeight="1" x14ac:dyDescent="0.2">
      <c r="B40" t="s">
        <v>78</v>
      </c>
      <c r="C40" s="12">
        <v>40</v>
      </c>
      <c r="D40" s="8">
        <v>1.39</v>
      </c>
      <c r="E40" s="12">
        <v>11</v>
      </c>
      <c r="F40" s="8">
        <v>0.68</v>
      </c>
      <c r="G40" s="12">
        <v>29</v>
      </c>
      <c r="H40" s="8">
        <v>2.2799999999999998</v>
      </c>
      <c r="I40" s="12">
        <v>0</v>
      </c>
    </row>
    <row r="41" spans="2:9" ht="15" customHeight="1" x14ac:dyDescent="0.2">
      <c r="B41" t="s">
        <v>99</v>
      </c>
      <c r="C41" s="12">
        <v>35</v>
      </c>
      <c r="D41" s="8">
        <v>1.21</v>
      </c>
      <c r="E41" s="12">
        <v>30</v>
      </c>
      <c r="F41" s="8">
        <v>1.86</v>
      </c>
      <c r="G41" s="12">
        <v>5</v>
      </c>
      <c r="H41" s="8">
        <v>0.39</v>
      </c>
      <c r="I41" s="12">
        <v>0</v>
      </c>
    </row>
    <row r="42" spans="2:9" ht="15" customHeight="1" x14ac:dyDescent="0.2">
      <c r="B42" t="s">
        <v>84</v>
      </c>
      <c r="C42" s="12">
        <v>34</v>
      </c>
      <c r="D42" s="8">
        <v>1.18</v>
      </c>
      <c r="E42" s="12">
        <v>17</v>
      </c>
      <c r="F42" s="8">
        <v>1.06</v>
      </c>
      <c r="G42" s="12">
        <v>17</v>
      </c>
      <c r="H42" s="8">
        <v>1.33</v>
      </c>
      <c r="I42" s="12">
        <v>0</v>
      </c>
    </row>
    <row r="43" spans="2:9" ht="15" customHeight="1" x14ac:dyDescent="0.2">
      <c r="B43" t="s">
        <v>72</v>
      </c>
      <c r="C43" s="12">
        <v>32</v>
      </c>
      <c r="D43" s="8">
        <v>1.1100000000000001</v>
      </c>
      <c r="E43" s="12">
        <v>10</v>
      </c>
      <c r="F43" s="8">
        <v>0.62</v>
      </c>
      <c r="G43" s="12">
        <v>22</v>
      </c>
      <c r="H43" s="8">
        <v>1.73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202</v>
      </c>
      <c r="D47" s="8">
        <v>6.99</v>
      </c>
      <c r="E47" s="12">
        <v>186</v>
      </c>
      <c r="F47" s="8">
        <v>11.56</v>
      </c>
      <c r="G47" s="12">
        <v>16</v>
      </c>
      <c r="H47" s="8">
        <v>1.26</v>
      </c>
      <c r="I47" s="12">
        <v>0</v>
      </c>
    </row>
    <row r="48" spans="2:9" ht="15" customHeight="1" x14ac:dyDescent="0.2">
      <c r="B48" t="s">
        <v>133</v>
      </c>
      <c r="C48" s="12">
        <v>118</v>
      </c>
      <c r="D48" s="8">
        <v>4.09</v>
      </c>
      <c r="E48" s="12">
        <v>112</v>
      </c>
      <c r="F48" s="8">
        <v>6.96</v>
      </c>
      <c r="G48" s="12">
        <v>6</v>
      </c>
      <c r="H48" s="8">
        <v>0.47</v>
      </c>
      <c r="I48" s="12">
        <v>0</v>
      </c>
    </row>
    <row r="49" spans="2:9" ht="15" customHeight="1" x14ac:dyDescent="0.2">
      <c r="B49" t="s">
        <v>129</v>
      </c>
      <c r="C49" s="12">
        <v>94</v>
      </c>
      <c r="D49" s="8">
        <v>3.25</v>
      </c>
      <c r="E49" s="12">
        <v>53</v>
      </c>
      <c r="F49" s="8">
        <v>3.29</v>
      </c>
      <c r="G49" s="12">
        <v>41</v>
      </c>
      <c r="H49" s="8">
        <v>3.22</v>
      </c>
      <c r="I49" s="12">
        <v>0</v>
      </c>
    </row>
    <row r="50" spans="2:9" ht="15" customHeight="1" x14ac:dyDescent="0.2">
      <c r="B50" t="s">
        <v>131</v>
      </c>
      <c r="C50" s="12">
        <v>93</v>
      </c>
      <c r="D50" s="8">
        <v>3.22</v>
      </c>
      <c r="E50" s="12">
        <v>78</v>
      </c>
      <c r="F50" s="8">
        <v>4.8499999999999996</v>
      </c>
      <c r="G50" s="12">
        <v>15</v>
      </c>
      <c r="H50" s="8">
        <v>1.18</v>
      </c>
      <c r="I50" s="12">
        <v>0</v>
      </c>
    </row>
    <row r="51" spans="2:9" ht="15" customHeight="1" x14ac:dyDescent="0.2">
      <c r="B51" t="s">
        <v>132</v>
      </c>
      <c r="C51" s="12">
        <v>90</v>
      </c>
      <c r="D51" s="8">
        <v>3.12</v>
      </c>
      <c r="E51" s="12">
        <v>74</v>
      </c>
      <c r="F51" s="8">
        <v>4.5999999999999996</v>
      </c>
      <c r="G51" s="12">
        <v>16</v>
      </c>
      <c r="H51" s="8">
        <v>1.26</v>
      </c>
      <c r="I51" s="12">
        <v>0</v>
      </c>
    </row>
    <row r="52" spans="2:9" ht="15" customHeight="1" x14ac:dyDescent="0.2">
      <c r="B52" t="s">
        <v>135</v>
      </c>
      <c r="C52" s="12">
        <v>85</v>
      </c>
      <c r="D52" s="8">
        <v>2.94</v>
      </c>
      <c r="E52" s="12">
        <v>72</v>
      </c>
      <c r="F52" s="8">
        <v>4.47</v>
      </c>
      <c r="G52" s="12">
        <v>13</v>
      </c>
      <c r="H52" s="8">
        <v>1.02</v>
      </c>
      <c r="I52" s="12">
        <v>0</v>
      </c>
    </row>
    <row r="53" spans="2:9" ht="15" customHeight="1" x14ac:dyDescent="0.2">
      <c r="B53" t="s">
        <v>136</v>
      </c>
      <c r="C53" s="12">
        <v>70</v>
      </c>
      <c r="D53" s="8">
        <v>2.42</v>
      </c>
      <c r="E53" s="12">
        <v>62</v>
      </c>
      <c r="F53" s="8">
        <v>3.85</v>
      </c>
      <c r="G53" s="12">
        <v>8</v>
      </c>
      <c r="H53" s="8">
        <v>0.63</v>
      </c>
      <c r="I53" s="12">
        <v>0</v>
      </c>
    </row>
    <row r="54" spans="2:9" ht="15" customHeight="1" x14ac:dyDescent="0.2">
      <c r="B54" t="s">
        <v>124</v>
      </c>
      <c r="C54" s="12">
        <v>64</v>
      </c>
      <c r="D54" s="8">
        <v>2.2200000000000002</v>
      </c>
      <c r="E54" s="12">
        <v>34</v>
      </c>
      <c r="F54" s="8">
        <v>2.11</v>
      </c>
      <c r="G54" s="12">
        <v>30</v>
      </c>
      <c r="H54" s="8">
        <v>2.35</v>
      </c>
      <c r="I54" s="12">
        <v>0</v>
      </c>
    </row>
    <row r="55" spans="2:9" ht="15" customHeight="1" x14ac:dyDescent="0.2">
      <c r="B55" t="s">
        <v>119</v>
      </c>
      <c r="C55" s="12">
        <v>60</v>
      </c>
      <c r="D55" s="8">
        <v>2.08</v>
      </c>
      <c r="E55" s="12">
        <v>8</v>
      </c>
      <c r="F55" s="8">
        <v>0.5</v>
      </c>
      <c r="G55" s="12">
        <v>52</v>
      </c>
      <c r="H55" s="8">
        <v>4.08</v>
      </c>
      <c r="I55" s="12">
        <v>0</v>
      </c>
    </row>
    <row r="56" spans="2:9" ht="15" customHeight="1" x14ac:dyDescent="0.2">
      <c r="B56" t="s">
        <v>120</v>
      </c>
      <c r="C56" s="12">
        <v>60</v>
      </c>
      <c r="D56" s="8">
        <v>2.08</v>
      </c>
      <c r="E56" s="12">
        <v>34</v>
      </c>
      <c r="F56" s="8">
        <v>2.11</v>
      </c>
      <c r="G56" s="12">
        <v>26</v>
      </c>
      <c r="H56" s="8">
        <v>2.04</v>
      </c>
      <c r="I56" s="12">
        <v>0</v>
      </c>
    </row>
    <row r="57" spans="2:9" ht="15" customHeight="1" x14ac:dyDescent="0.2">
      <c r="B57" t="s">
        <v>118</v>
      </c>
      <c r="C57" s="12">
        <v>58</v>
      </c>
      <c r="D57" s="8">
        <v>2.0099999999999998</v>
      </c>
      <c r="E57" s="12">
        <v>11</v>
      </c>
      <c r="F57" s="8">
        <v>0.68</v>
      </c>
      <c r="G57" s="12">
        <v>47</v>
      </c>
      <c r="H57" s="8">
        <v>3.69</v>
      </c>
      <c r="I57" s="12">
        <v>0</v>
      </c>
    </row>
    <row r="58" spans="2:9" ht="15" customHeight="1" x14ac:dyDescent="0.2">
      <c r="B58" t="s">
        <v>127</v>
      </c>
      <c r="C58" s="12">
        <v>56</v>
      </c>
      <c r="D58" s="8">
        <v>1.94</v>
      </c>
      <c r="E58" s="12">
        <v>40</v>
      </c>
      <c r="F58" s="8">
        <v>2.4900000000000002</v>
      </c>
      <c r="G58" s="12">
        <v>16</v>
      </c>
      <c r="H58" s="8">
        <v>1.26</v>
      </c>
      <c r="I58" s="12">
        <v>0</v>
      </c>
    </row>
    <row r="59" spans="2:9" ht="15" customHeight="1" x14ac:dyDescent="0.2">
      <c r="B59" t="s">
        <v>138</v>
      </c>
      <c r="C59" s="12">
        <v>55</v>
      </c>
      <c r="D59" s="8">
        <v>1.9</v>
      </c>
      <c r="E59" s="12">
        <v>53</v>
      </c>
      <c r="F59" s="8">
        <v>3.29</v>
      </c>
      <c r="G59" s="12">
        <v>2</v>
      </c>
      <c r="H59" s="8">
        <v>0.16</v>
      </c>
      <c r="I59" s="12">
        <v>0</v>
      </c>
    </row>
    <row r="60" spans="2:9" ht="15" customHeight="1" x14ac:dyDescent="0.2">
      <c r="B60" t="s">
        <v>123</v>
      </c>
      <c r="C60" s="12">
        <v>47</v>
      </c>
      <c r="D60" s="8">
        <v>1.63</v>
      </c>
      <c r="E60" s="12">
        <v>36</v>
      </c>
      <c r="F60" s="8">
        <v>2.2400000000000002</v>
      </c>
      <c r="G60" s="12">
        <v>11</v>
      </c>
      <c r="H60" s="8">
        <v>0.86</v>
      </c>
      <c r="I60" s="12">
        <v>0</v>
      </c>
    </row>
    <row r="61" spans="2:9" ht="15" customHeight="1" x14ac:dyDescent="0.2">
      <c r="B61" t="s">
        <v>139</v>
      </c>
      <c r="C61" s="12">
        <v>46</v>
      </c>
      <c r="D61" s="8">
        <v>1.59</v>
      </c>
      <c r="E61" s="12">
        <v>29</v>
      </c>
      <c r="F61" s="8">
        <v>1.8</v>
      </c>
      <c r="G61" s="12">
        <v>17</v>
      </c>
      <c r="H61" s="8">
        <v>1.33</v>
      </c>
      <c r="I61" s="12">
        <v>0</v>
      </c>
    </row>
    <row r="62" spans="2:9" ht="15" customHeight="1" x14ac:dyDescent="0.2">
      <c r="B62" t="s">
        <v>141</v>
      </c>
      <c r="C62" s="12">
        <v>46</v>
      </c>
      <c r="D62" s="8">
        <v>1.59</v>
      </c>
      <c r="E62" s="12">
        <v>36</v>
      </c>
      <c r="F62" s="8">
        <v>2.2400000000000002</v>
      </c>
      <c r="G62" s="12">
        <v>10</v>
      </c>
      <c r="H62" s="8">
        <v>0.78</v>
      </c>
      <c r="I62" s="12">
        <v>0</v>
      </c>
    </row>
    <row r="63" spans="2:9" ht="15" customHeight="1" x14ac:dyDescent="0.2">
      <c r="B63" t="s">
        <v>147</v>
      </c>
      <c r="C63" s="12">
        <v>43</v>
      </c>
      <c r="D63" s="8">
        <v>1.49</v>
      </c>
      <c r="E63" s="12">
        <v>34</v>
      </c>
      <c r="F63" s="8">
        <v>2.11</v>
      </c>
      <c r="G63" s="12">
        <v>9</v>
      </c>
      <c r="H63" s="8">
        <v>0.71</v>
      </c>
      <c r="I63" s="12">
        <v>0</v>
      </c>
    </row>
    <row r="64" spans="2:9" ht="15" customHeight="1" x14ac:dyDescent="0.2">
      <c r="B64" t="s">
        <v>125</v>
      </c>
      <c r="C64" s="12">
        <v>42</v>
      </c>
      <c r="D64" s="8">
        <v>1.45</v>
      </c>
      <c r="E64" s="12">
        <v>14</v>
      </c>
      <c r="F64" s="8">
        <v>0.87</v>
      </c>
      <c r="G64" s="12">
        <v>28</v>
      </c>
      <c r="H64" s="8">
        <v>2.2000000000000002</v>
      </c>
      <c r="I64" s="12">
        <v>0</v>
      </c>
    </row>
    <row r="65" spans="2:9" ht="15" customHeight="1" x14ac:dyDescent="0.2">
      <c r="B65" t="s">
        <v>122</v>
      </c>
      <c r="C65" s="12">
        <v>41</v>
      </c>
      <c r="D65" s="8">
        <v>1.42</v>
      </c>
      <c r="E65" s="12">
        <v>10</v>
      </c>
      <c r="F65" s="8">
        <v>0.62</v>
      </c>
      <c r="G65" s="12">
        <v>31</v>
      </c>
      <c r="H65" s="8">
        <v>2.4300000000000002</v>
      </c>
      <c r="I65" s="12">
        <v>0</v>
      </c>
    </row>
    <row r="66" spans="2:9" ht="15" customHeight="1" x14ac:dyDescent="0.2">
      <c r="B66" t="s">
        <v>137</v>
      </c>
      <c r="C66" s="12">
        <v>41</v>
      </c>
      <c r="D66" s="8">
        <v>1.42</v>
      </c>
      <c r="E66" s="12">
        <v>30</v>
      </c>
      <c r="F66" s="8">
        <v>1.86</v>
      </c>
      <c r="G66" s="12">
        <v>11</v>
      </c>
      <c r="H66" s="8">
        <v>0.86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3119-8250-4871-97CF-7EC3BCC1ACD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3</v>
      </c>
      <c r="D5" s="8">
        <v>0.24</v>
      </c>
      <c r="E5" s="12">
        <v>0</v>
      </c>
      <c r="F5" s="8">
        <v>0</v>
      </c>
      <c r="G5" s="12">
        <v>3</v>
      </c>
      <c r="H5" s="8">
        <v>0.48</v>
      </c>
      <c r="I5" s="12">
        <v>0</v>
      </c>
    </row>
    <row r="6" spans="2:9" ht="15" customHeight="1" x14ac:dyDescent="0.2">
      <c r="B6" t="s">
        <v>46</v>
      </c>
      <c r="C6" s="12">
        <v>270</v>
      </c>
      <c r="D6" s="8">
        <v>21.29</v>
      </c>
      <c r="E6" s="12">
        <v>84</v>
      </c>
      <c r="F6" s="8">
        <v>13.29</v>
      </c>
      <c r="G6" s="12">
        <v>186</v>
      </c>
      <c r="H6" s="8">
        <v>29.57</v>
      </c>
      <c r="I6" s="12">
        <v>0</v>
      </c>
    </row>
    <row r="7" spans="2:9" ht="15" customHeight="1" x14ac:dyDescent="0.2">
      <c r="B7" t="s">
        <v>47</v>
      </c>
      <c r="C7" s="12">
        <v>66</v>
      </c>
      <c r="D7" s="8">
        <v>5.21</v>
      </c>
      <c r="E7" s="12">
        <v>23</v>
      </c>
      <c r="F7" s="8">
        <v>3.64</v>
      </c>
      <c r="G7" s="12">
        <v>43</v>
      </c>
      <c r="H7" s="8">
        <v>6.84</v>
      </c>
      <c r="I7" s="12">
        <v>0</v>
      </c>
    </row>
    <row r="8" spans="2:9" ht="15" customHeight="1" x14ac:dyDescent="0.2">
      <c r="B8" t="s">
        <v>48</v>
      </c>
      <c r="C8" s="12">
        <v>14</v>
      </c>
      <c r="D8" s="8">
        <v>1.1000000000000001</v>
      </c>
      <c r="E8" s="12">
        <v>0</v>
      </c>
      <c r="F8" s="8">
        <v>0</v>
      </c>
      <c r="G8" s="12">
        <v>13</v>
      </c>
      <c r="H8" s="8">
        <v>2.0699999999999998</v>
      </c>
      <c r="I8" s="12">
        <v>0</v>
      </c>
    </row>
    <row r="9" spans="2:9" ht="15" customHeight="1" x14ac:dyDescent="0.2">
      <c r="B9" t="s">
        <v>49</v>
      </c>
      <c r="C9" s="12">
        <v>10</v>
      </c>
      <c r="D9" s="8">
        <v>0.79</v>
      </c>
      <c r="E9" s="12">
        <v>0</v>
      </c>
      <c r="F9" s="8">
        <v>0</v>
      </c>
      <c r="G9" s="12">
        <v>10</v>
      </c>
      <c r="H9" s="8">
        <v>1.59</v>
      </c>
      <c r="I9" s="12">
        <v>0</v>
      </c>
    </row>
    <row r="10" spans="2:9" ht="15" customHeight="1" x14ac:dyDescent="0.2">
      <c r="B10" t="s">
        <v>50</v>
      </c>
      <c r="C10" s="12">
        <v>12</v>
      </c>
      <c r="D10" s="8">
        <v>0.95</v>
      </c>
      <c r="E10" s="12">
        <v>1</v>
      </c>
      <c r="F10" s="8">
        <v>0.16</v>
      </c>
      <c r="G10" s="12">
        <v>10</v>
      </c>
      <c r="H10" s="8">
        <v>1.59</v>
      </c>
      <c r="I10" s="12">
        <v>1</v>
      </c>
    </row>
    <row r="11" spans="2:9" ht="15" customHeight="1" x14ac:dyDescent="0.2">
      <c r="B11" t="s">
        <v>51</v>
      </c>
      <c r="C11" s="12">
        <v>269</v>
      </c>
      <c r="D11" s="8">
        <v>21.21</v>
      </c>
      <c r="E11" s="12">
        <v>119</v>
      </c>
      <c r="F11" s="8">
        <v>18.829999999999998</v>
      </c>
      <c r="G11" s="12">
        <v>150</v>
      </c>
      <c r="H11" s="8">
        <v>23.85</v>
      </c>
      <c r="I11" s="12">
        <v>0</v>
      </c>
    </row>
    <row r="12" spans="2:9" ht="15" customHeight="1" x14ac:dyDescent="0.2">
      <c r="B12" t="s">
        <v>52</v>
      </c>
      <c r="C12" s="12">
        <v>5</v>
      </c>
      <c r="D12" s="8">
        <v>0.39</v>
      </c>
      <c r="E12" s="12">
        <v>0</v>
      </c>
      <c r="F12" s="8">
        <v>0</v>
      </c>
      <c r="G12" s="12">
        <v>5</v>
      </c>
      <c r="H12" s="8">
        <v>0.79</v>
      </c>
      <c r="I12" s="12">
        <v>0</v>
      </c>
    </row>
    <row r="13" spans="2:9" ht="15" customHeight="1" x14ac:dyDescent="0.2">
      <c r="B13" t="s">
        <v>53</v>
      </c>
      <c r="C13" s="12">
        <v>103</v>
      </c>
      <c r="D13" s="8">
        <v>8.1199999999999992</v>
      </c>
      <c r="E13" s="12">
        <v>42</v>
      </c>
      <c r="F13" s="8">
        <v>6.65</v>
      </c>
      <c r="G13" s="12">
        <v>60</v>
      </c>
      <c r="H13" s="8">
        <v>9.5399999999999991</v>
      </c>
      <c r="I13" s="12">
        <v>0</v>
      </c>
    </row>
    <row r="14" spans="2:9" ht="15" customHeight="1" x14ac:dyDescent="0.2">
      <c r="B14" t="s">
        <v>54</v>
      </c>
      <c r="C14" s="12">
        <v>54</v>
      </c>
      <c r="D14" s="8">
        <v>4.26</v>
      </c>
      <c r="E14" s="12">
        <v>28</v>
      </c>
      <c r="F14" s="8">
        <v>4.43</v>
      </c>
      <c r="G14" s="12">
        <v>24</v>
      </c>
      <c r="H14" s="8">
        <v>3.82</v>
      </c>
      <c r="I14" s="12">
        <v>0</v>
      </c>
    </row>
    <row r="15" spans="2:9" ht="15" customHeight="1" x14ac:dyDescent="0.2">
      <c r="B15" t="s">
        <v>55</v>
      </c>
      <c r="C15" s="12">
        <v>162</v>
      </c>
      <c r="D15" s="8">
        <v>12.78</v>
      </c>
      <c r="E15" s="12">
        <v>126</v>
      </c>
      <c r="F15" s="8">
        <v>19.940000000000001</v>
      </c>
      <c r="G15" s="12">
        <v>36</v>
      </c>
      <c r="H15" s="8">
        <v>5.72</v>
      </c>
      <c r="I15" s="12">
        <v>0</v>
      </c>
    </row>
    <row r="16" spans="2:9" ht="15" customHeight="1" x14ac:dyDescent="0.2">
      <c r="B16" t="s">
        <v>56</v>
      </c>
      <c r="C16" s="12">
        <v>170</v>
      </c>
      <c r="D16" s="8">
        <v>13.41</v>
      </c>
      <c r="E16" s="12">
        <v>136</v>
      </c>
      <c r="F16" s="8">
        <v>21.52</v>
      </c>
      <c r="G16" s="12">
        <v>33</v>
      </c>
      <c r="H16" s="8">
        <v>5.25</v>
      </c>
      <c r="I16" s="12">
        <v>0</v>
      </c>
    </row>
    <row r="17" spans="2:9" ht="15" customHeight="1" x14ac:dyDescent="0.2">
      <c r="B17" t="s">
        <v>57</v>
      </c>
      <c r="C17" s="12">
        <v>23</v>
      </c>
      <c r="D17" s="8">
        <v>1.81</v>
      </c>
      <c r="E17" s="12">
        <v>13</v>
      </c>
      <c r="F17" s="8">
        <v>2.06</v>
      </c>
      <c r="G17" s="12">
        <v>10</v>
      </c>
      <c r="H17" s="8">
        <v>1.59</v>
      </c>
      <c r="I17" s="12">
        <v>0</v>
      </c>
    </row>
    <row r="18" spans="2:9" ht="15" customHeight="1" x14ac:dyDescent="0.2">
      <c r="B18" t="s">
        <v>58</v>
      </c>
      <c r="C18" s="12">
        <v>55</v>
      </c>
      <c r="D18" s="8">
        <v>4.34</v>
      </c>
      <c r="E18" s="12">
        <v>32</v>
      </c>
      <c r="F18" s="8">
        <v>5.0599999999999996</v>
      </c>
      <c r="G18" s="12">
        <v>23</v>
      </c>
      <c r="H18" s="8">
        <v>3.66</v>
      </c>
      <c r="I18" s="12">
        <v>0</v>
      </c>
    </row>
    <row r="19" spans="2:9" ht="15" customHeight="1" x14ac:dyDescent="0.2">
      <c r="B19" t="s">
        <v>59</v>
      </c>
      <c r="C19" s="12">
        <v>52</v>
      </c>
      <c r="D19" s="8">
        <v>4.0999999999999996</v>
      </c>
      <c r="E19" s="12">
        <v>28</v>
      </c>
      <c r="F19" s="8">
        <v>4.43</v>
      </c>
      <c r="G19" s="12">
        <v>23</v>
      </c>
      <c r="H19" s="8">
        <v>3.66</v>
      </c>
      <c r="I19" s="12">
        <v>0</v>
      </c>
    </row>
    <row r="20" spans="2:9" ht="15" customHeight="1" x14ac:dyDescent="0.2">
      <c r="B20" s="9" t="s">
        <v>195</v>
      </c>
      <c r="C20" s="12">
        <f>SUM(LTBL_08222[総数／事業所数])</f>
        <v>1268</v>
      </c>
      <c r="E20" s="12">
        <f>SUBTOTAL(109,LTBL_08222[個人／事業所数])</f>
        <v>632</v>
      </c>
      <c r="G20" s="12">
        <f>SUBTOTAL(109,LTBL_08222[法人／事業所数])</f>
        <v>629</v>
      </c>
      <c r="I20" s="12">
        <f>SUBTOTAL(109,LTBL_08222[法人以外の団体／事業所数])</f>
        <v>1</v>
      </c>
    </row>
    <row r="21" spans="2:9" ht="15" customHeight="1" x14ac:dyDescent="0.2">
      <c r="E21" s="11">
        <f>LTBL_08222[[#Totals],[個人／事業所数]]/LTBL_08222[[#Totals],[総数／事業所数]]</f>
        <v>0.49842271293375395</v>
      </c>
      <c r="G21" s="11">
        <f>LTBL_08222[[#Totals],[法人／事業所数]]/LTBL_08222[[#Totals],[総数／事業所数]]</f>
        <v>0.49605678233438488</v>
      </c>
      <c r="I21" s="11">
        <f>LTBL_08222[[#Totals],[法人以外の団体／事業所数]]/LTBL_08222[[#Totals],[総数／事業所数]]</f>
        <v>7.8864353312302837E-4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139</v>
      </c>
      <c r="D24" s="8">
        <v>10.96</v>
      </c>
      <c r="E24" s="12">
        <v>122</v>
      </c>
      <c r="F24" s="8">
        <v>19.3</v>
      </c>
      <c r="G24" s="12">
        <v>17</v>
      </c>
      <c r="H24" s="8">
        <v>2.7</v>
      </c>
      <c r="I24" s="12">
        <v>0</v>
      </c>
    </row>
    <row r="25" spans="2:9" ht="15" customHeight="1" x14ac:dyDescent="0.2">
      <c r="B25" t="s">
        <v>82</v>
      </c>
      <c r="C25" s="12">
        <v>135</v>
      </c>
      <c r="D25" s="8">
        <v>10.65</v>
      </c>
      <c r="E25" s="12">
        <v>118</v>
      </c>
      <c r="F25" s="8">
        <v>18.670000000000002</v>
      </c>
      <c r="G25" s="12">
        <v>17</v>
      </c>
      <c r="H25" s="8">
        <v>2.7</v>
      </c>
      <c r="I25" s="12">
        <v>0</v>
      </c>
    </row>
    <row r="26" spans="2:9" ht="15" customHeight="1" x14ac:dyDescent="0.2">
      <c r="B26" t="s">
        <v>70</v>
      </c>
      <c r="C26" s="12">
        <v>92</v>
      </c>
      <c r="D26" s="8">
        <v>7.26</v>
      </c>
      <c r="E26" s="12">
        <v>21</v>
      </c>
      <c r="F26" s="8">
        <v>3.32</v>
      </c>
      <c r="G26" s="12">
        <v>71</v>
      </c>
      <c r="H26" s="8">
        <v>11.29</v>
      </c>
      <c r="I26" s="12">
        <v>0</v>
      </c>
    </row>
    <row r="27" spans="2:9" ht="15" customHeight="1" x14ac:dyDescent="0.2">
      <c r="B27" t="s">
        <v>69</v>
      </c>
      <c r="C27" s="12">
        <v>91</v>
      </c>
      <c r="D27" s="8">
        <v>7.18</v>
      </c>
      <c r="E27" s="12">
        <v>39</v>
      </c>
      <c r="F27" s="8">
        <v>6.17</v>
      </c>
      <c r="G27" s="12">
        <v>52</v>
      </c>
      <c r="H27" s="8">
        <v>8.27</v>
      </c>
      <c r="I27" s="12">
        <v>0</v>
      </c>
    </row>
    <row r="28" spans="2:9" ht="15" customHeight="1" x14ac:dyDescent="0.2">
      <c r="B28" t="s">
        <v>68</v>
      </c>
      <c r="C28" s="12">
        <v>87</v>
      </c>
      <c r="D28" s="8">
        <v>6.86</v>
      </c>
      <c r="E28" s="12">
        <v>24</v>
      </c>
      <c r="F28" s="8">
        <v>3.8</v>
      </c>
      <c r="G28" s="12">
        <v>63</v>
      </c>
      <c r="H28" s="8">
        <v>10.02</v>
      </c>
      <c r="I28" s="12">
        <v>0</v>
      </c>
    </row>
    <row r="29" spans="2:9" ht="15" customHeight="1" x14ac:dyDescent="0.2">
      <c r="B29" t="s">
        <v>79</v>
      </c>
      <c r="C29" s="12">
        <v>78</v>
      </c>
      <c r="D29" s="8">
        <v>6.15</v>
      </c>
      <c r="E29" s="12">
        <v>39</v>
      </c>
      <c r="F29" s="8">
        <v>6.17</v>
      </c>
      <c r="G29" s="12">
        <v>38</v>
      </c>
      <c r="H29" s="8">
        <v>6.04</v>
      </c>
      <c r="I29" s="12">
        <v>0</v>
      </c>
    </row>
    <row r="30" spans="2:9" ht="15" customHeight="1" x14ac:dyDescent="0.2">
      <c r="B30" t="s">
        <v>77</v>
      </c>
      <c r="C30" s="12">
        <v>76</v>
      </c>
      <c r="D30" s="8">
        <v>5.99</v>
      </c>
      <c r="E30" s="12">
        <v>37</v>
      </c>
      <c r="F30" s="8">
        <v>5.85</v>
      </c>
      <c r="G30" s="12">
        <v>39</v>
      </c>
      <c r="H30" s="8">
        <v>6.2</v>
      </c>
      <c r="I30" s="12">
        <v>0</v>
      </c>
    </row>
    <row r="31" spans="2:9" ht="15" customHeight="1" x14ac:dyDescent="0.2">
      <c r="B31" t="s">
        <v>75</v>
      </c>
      <c r="C31" s="12">
        <v>65</v>
      </c>
      <c r="D31" s="8">
        <v>5.13</v>
      </c>
      <c r="E31" s="12">
        <v>50</v>
      </c>
      <c r="F31" s="8">
        <v>7.91</v>
      </c>
      <c r="G31" s="12">
        <v>15</v>
      </c>
      <c r="H31" s="8">
        <v>2.38</v>
      </c>
      <c r="I31" s="12">
        <v>0</v>
      </c>
    </row>
    <row r="32" spans="2:9" ht="15" customHeight="1" x14ac:dyDescent="0.2">
      <c r="B32" t="s">
        <v>86</v>
      </c>
      <c r="C32" s="12">
        <v>34</v>
      </c>
      <c r="D32" s="8">
        <v>2.68</v>
      </c>
      <c r="E32" s="12">
        <v>31</v>
      </c>
      <c r="F32" s="8">
        <v>4.91</v>
      </c>
      <c r="G32" s="12">
        <v>3</v>
      </c>
      <c r="H32" s="8">
        <v>0.48</v>
      </c>
      <c r="I32" s="12">
        <v>0</v>
      </c>
    </row>
    <row r="33" spans="2:9" ht="15" customHeight="1" x14ac:dyDescent="0.2">
      <c r="B33" t="s">
        <v>76</v>
      </c>
      <c r="C33" s="12">
        <v>31</v>
      </c>
      <c r="D33" s="8">
        <v>2.44</v>
      </c>
      <c r="E33" s="12">
        <v>14</v>
      </c>
      <c r="F33" s="8">
        <v>2.2200000000000002</v>
      </c>
      <c r="G33" s="12">
        <v>17</v>
      </c>
      <c r="H33" s="8">
        <v>2.7</v>
      </c>
      <c r="I33" s="12">
        <v>0</v>
      </c>
    </row>
    <row r="34" spans="2:9" ht="15" customHeight="1" x14ac:dyDescent="0.2">
      <c r="B34" t="s">
        <v>80</v>
      </c>
      <c r="C34" s="12">
        <v>30</v>
      </c>
      <c r="D34" s="8">
        <v>2.37</v>
      </c>
      <c r="E34" s="12">
        <v>17</v>
      </c>
      <c r="F34" s="8">
        <v>2.69</v>
      </c>
      <c r="G34" s="12">
        <v>13</v>
      </c>
      <c r="H34" s="8">
        <v>2.0699999999999998</v>
      </c>
      <c r="I34" s="12">
        <v>0</v>
      </c>
    </row>
    <row r="35" spans="2:9" ht="15" customHeight="1" x14ac:dyDescent="0.2">
      <c r="B35" t="s">
        <v>87</v>
      </c>
      <c r="C35" s="12">
        <v>27</v>
      </c>
      <c r="D35" s="8">
        <v>2.13</v>
      </c>
      <c r="E35" s="12">
        <v>24</v>
      </c>
      <c r="F35" s="8">
        <v>3.8</v>
      </c>
      <c r="G35" s="12">
        <v>3</v>
      </c>
      <c r="H35" s="8">
        <v>0.48</v>
      </c>
      <c r="I35" s="12">
        <v>0</v>
      </c>
    </row>
    <row r="36" spans="2:9" ht="15" customHeight="1" x14ac:dyDescent="0.2">
      <c r="B36" t="s">
        <v>72</v>
      </c>
      <c r="C36" s="12">
        <v>25</v>
      </c>
      <c r="D36" s="8">
        <v>1.97</v>
      </c>
      <c r="E36" s="12">
        <v>2</v>
      </c>
      <c r="F36" s="8">
        <v>0.32</v>
      </c>
      <c r="G36" s="12">
        <v>23</v>
      </c>
      <c r="H36" s="8">
        <v>3.66</v>
      </c>
      <c r="I36" s="12">
        <v>0</v>
      </c>
    </row>
    <row r="37" spans="2:9" ht="15" customHeight="1" x14ac:dyDescent="0.2">
      <c r="B37" t="s">
        <v>81</v>
      </c>
      <c r="C37" s="12">
        <v>24</v>
      </c>
      <c r="D37" s="8">
        <v>1.89</v>
      </c>
      <c r="E37" s="12">
        <v>11</v>
      </c>
      <c r="F37" s="8">
        <v>1.74</v>
      </c>
      <c r="G37" s="12">
        <v>11</v>
      </c>
      <c r="H37" s="8">
        <v>1.75</v>
      </c>
      <c r="I37" s="12">
        <v>0</v>
      </c>
    </row>
    <row r="38" spans="2:9" ht="15" customHeight="1" x14ac:dyDescent="0.2">
      <c r="B38" t="s">
        <v>84</v>
      </c>
      <c r="C38" s="12">
        <v>24</v>
      </c>
      <c r="D38" s="8">
        <v>1.89</v>
      </c>
      <c r="E38" s="12">
        <v>10</v>
      </c>
      <c r="F38" s="8">
        <v>1.58</v>
      </c>
      <c r="G38" s="12">
        <v>13</v>
      </c>
      <c r="H38" s="8">
        <v>2.0699999999999998</v>
      </c>
      <c r="I38" s="12">
        <v>0</v>
      </c>
    </row>
    <row r="39" spans="2:9" ht="15" customHeight="1" x14ac:dyDescent="0.2">
      <c r="B39" t="s">
        <v>85</v>
      </c>
      <c r="C39" s="12">
        <v>23</v>
      </c>
      <c r="D39" s="8">
        <v>1.81</v>
      </c>
      <c r="E39" s="12">
        <v>13</v>
      </c>
      <c r="F39" s="8">
        <v>2.06</v>
      </c>
      <c r="G39" s="12">
        <v>10</v>
      </c>
      <c r="H39" s="8">
        <v>1.59</v>
      </c>
      <c r="I39" s="12">
        <v>0</v>
      </c>
    </row>
    <row r="40" spans="2:9" ht="15" customHeight="1" x14ac:dyDescent="0.2">
      <c r="B40" t="s">
        <v>74</v>
      </c>
      <c r="C40" s="12">
        <v>21</v>
      </c>
      <c r="D40" s="8">
        <v>1.66</v>
      </c>
      <c r="E40" s="12">
        <v>9</v>
      </c>
      <c r="F40" s="8">
        <v>1.42</v>
      </c>
      <c r="G40" s="12">
        <v>12</v>
      </c>
      <c r="H40" s="8">
        <v>1.91</v>
      </c>
      <c r="I40" s="12">
        <v>0</v>
      </c>
    </row>
    <row r="41" spans="2:9" ht="15" customHeight="1" x14ac:dyDescent="0.2">
      <c r="B41" t="s">
        <v>96</v>
      </c>
      <c r="C41" s="12">
        <v>21</v>
      </c>
      <c r="D41" s="8">
        <v>1.66</v>
      </c>
      <c r="E41" s="12">
        <v>1</v>
      </c>
      <c r="F41" s="8">
        <v>0.16</v>
      </c>
      <c r="G41" s="12">
        <v>20</v>
      </c>
      <c r="H41" s="8">
        <v>3.18</v>
      </c>
      <c r="I41" s="12">
        <v>0</v>
      </c>
    </row>
    <row r="42" spans="2:9" ht="15" customHeight="1" x14ac:dyDescent="0.2">
      <c r="B42" t="s">
        <v>101</v>
      </c>
      <c r="C42" s="12">
        <v>16</v>
      </c>
      <c r="D42" s="8">
        <v>1.26</v>
      </c>
      <c r="E42" s="12">
        <v>1</v>
      </c>
      <c r="F42" s="8">
        <v>0.16</v>
      </c>
      <c r="G42" s="12">
        <v>15</v>
      </c>
      <c r="H42" s="8">
        <v>2.38</v>
      </c>
      <c r="I42" s="12">
        <v>0</v>
      </c>
    </row>
    <row r="43" spans="2:9" ht="15" customHeight="1" x14ac:dyDescent="0.2">
      <c r="B43" t="s">
        <v>78</v>
      </c>
      <c r="C43" s="12">
        <v>16</v>
      </c>
      <c r="D43" s="8">
        <v>1.26</v>
      </c>
      <c r="E43" s="12">
        <v>1</v>
      </c>
      <c r="F43" s="8">
        <v>0.16</v>
      </c>
      <c r="G43" s="12">
        <v>15</v>
      </c>
      <c r="H43" s="8">
        <v>2.38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63</v>
      </c>
      <c r="D47" s="8">
        <v>4.97</v>
      </c>
      <c r="E47" s="12">
        <v>60</v>
      </c>
      <c r="F47" s="8">
        <v>9.49</v>
      </c>
      <c r="G47" s="12">
        <v>3</v>
      </c>
      <c r="H47" s="8">
        <v>0.48</v>
      </c>
      <c r="I47" s="12">
        <v>0</v>
      </c>
    </row>
    <row r="48" spans="2:9" ht="15" customHeight="1" x14ac:dyDescent="0.2">
      <c r="B48" t="s">
        <v>129</v>
      </c>
      <c r="C48" s="12">
        <v>59</v>
      </c>
      <c r="D48" s="8">
        <v>4.6500000000000004</v>
      </c>
      <c r="E48" s="12">
        <v>38</v>
      </c>
      <c r="F48" s="8">
        <v>6.01</v>
      </c>
      <c r="G48" s="12">
        <v>20</v>
      </c>
      <c r="H48" s="8">
        <v>3.18</v>
      </c>
      <c r="I48" s="12">
        <v>0</v>
      </c>
    </row>
    <row r="49" spans="2:9" ht="15" customHeight="1" x14ac:dyDescent="0.2">
      <c r="B49" t="s">
        <v>133</v>
      </c>
      <c r="C49" s="12">
        <v>58</v>
      </c>
      <c r="D49" s="8">
        <v>4.57</v>
      </c>
      <c r="E49" s="12">
        <v>53</v>
      </c>
      <c r="F49" s="8">
        <v>8.39</v>
      </c>
      <c r="G49" s="12">
        <v>5</v>
      </c>
      <c r="H49" s="8">
        <v>0.79</v>
      </c>
      <c r="I49" s="12">
        <v>0</v>
      </c>
    </row>
    <row r="50" spans="2:9" ht="15" customHeight="1" x14ac:dyDescent="0.2">
      <c r="B50" t="s">
        <v>131</v>
      </c>
      <c r="C50" s="12">
        <v>42</v>
      </c>
      <c r="D50" s="8">
        <v>3.31</v>
      </c>
      <c r="E50" s="12">
        <v>36</v>
      </c>
      <c r="F50" s="8">
        <v>5.7</v>
      </c>
      <c r="G50" s="12">
        <v>6</v>
      </c>
      <c r="H50" s="8">
        <v>0.95</v>
      </c>
      <c r="I50" s="12">
        <v>0</v>
      </c>
    </row>
    <row r="51" spans="2:9" ht="15" customHeight="1" x14ac:dyDescent="0.2">
      <c r="B51" t="s">
        <v>121</v>
      </c>
      <c r="C51" s="12">
        <v>37</v>
      </c>
      <c r="D51" s="8">
        <v>2.92</v>
      </c>
      <c r="E51" s="12">
        <v>12</v>
      </c>
      <c r="F51" s="8">
        <v>1.9</v>
      </c>
      <c r="G51" s="12">
        <v>25</v>
      </c>
      <c r="H51" s="8">
        <v>3.97</v>
      </c>
      <c r="I51" s="12">
        <v>0</v>
      </c>
    </row>
    <row r="52" spans="2:9" ht="15" customHeight="1" x14ac:dyDescent="0.2">
      <c r="B52" t="s">
        <v>118</v>
      </c>
      <c r="C52" s="12">
        <v>33</v>
      </c>
      <c r="D52" s="8">
        <v>2.6</v>
      </c>
      <c r="E52" s="12">
        <v>4</v>
      </c>
      <c r="F52" s="8">
        <v>0.63</v>
      </c>
      <c r="G52" s="12">
        <v>29</v>
      </c>
      <c r="H52" s="8">
        <v>4.6100000000000003</v>
      </c>
      <c r="I52" s="12">
        <v>0</v>
      </c>
    </row>
    <row r="53" spans="2:9" ht="15" customHeight="1" x14ac:dyDescent="0.2">
      <c r="B53" t="s">
        <v>122</v>
      </c>
      <c r="C53" s="12">
        <v>33</v>
      </c>
      <c r="D53" s="8">
        <v>2.6</v>
      </c>
      <c r="E53" s="12">
        <v>6</v>
      </c>
      <c r="F53" s="8">
        <v>0.95</v>
      </c>
      <c r="G53" s="12">
        <v>27</v>
      </c>
      <c r="H53" s="8">
        <v>4.29</v>
      </c>
      <c r="I53" s="12">
        <v>0</v>
      </c>
    </row>
    <row r="54" spans="2:9" ht="15" customHeight="1" x14ac:dyDescent="0.2">
      <c r="B54" t="s">
        <v>132</v>
      </c>
      <c r="C54" s="12">
        <v>32</v>
      </c>
      <c r="D54" s="8">
        <v>2.52</v>
      </c>
      <c r="E54" s="12">
        <v>31</v>
      </c>
      <c r="F54" s="8">
        <v>4.91</v>
      </c>
      <c r="G54" s="12">
        <v>1</v>
      </c>
      <c r="H54" s="8">
        <v>0.16</v>
      </c>
      <c r="I54" s="12">
        <v>0</v>
      </c>
    </row>
    <row r="55" spans="2:9" ht="15" customHeight="1" x14ac:dyDescent="0.2">
      <c r="B55" t="s">
        <v>123</v>
      </c>
      <c r="C55" s="12">
        <v>30</v>
      </c>
      <c r="D55" s="8">
        <v>2.37</v>
      </c>
      <c r="E55" s="12">
        <v>22</v>
      </c>
      <c r="F55" s="8">
        <v>3.48</v>
      </c>
      <c r="G55" s="12">
        <v>8</v>
      </c>
      <c r="H55" s="8">
        <v>1.27</v>
      </c>
      <c r="I55" s="12">
        <v>0</v>
      </c>
    </row>
    <row r="56" spans="2:9" ht="15" customHeight="1" x14ac:dyDescent="0.2">
      <c r="B56" t="s">
        <v>127</v>
      </c>
      <c r="C56" s="12">
        <v>27</v>
      </c>
      <c r="D56" s="8">
        <v>2.13</v>
      </c>
      <c r="E56" s="12">
        <v>11</v>
      </c>
      <c r="F56" s="8">
        <v>1.74</v>
      </c>
      <c r="G56" s="12">
        <v>16</v>
      </c>
      <c r="H56" s="8">
        <v>2.54</v>
      </c>
      <c r="I56" s="12">
        <v>0</v>
      </c>
    </row>
    <row r="57" spans="2:9" ht="15" customHeight="1" x14ac:dyDescent="0.2">
      <c r="B57" t="s">
        <v>137</v>
      </c>
      <c r="C57" s="12">
        <v>27</v>
      </c>
      <c r="D57" s="8">
        <v>2.13</v>
      </c>
      <c r="E57" s="12">
        <v>24</v>
      </c>
      <c r="F57" s="8">
        <v>3.8</v>
      </c>
      <c r="G57" s="12">
        <v>3</v>
      </c>
      <c r="H57" s="8">
        <v>0.48</v>
      </c>
      <c r="I57" s="12">
        <v>0</v>
      </c>
    </row>
    <row r="58" spans="2:9" ht="15" customHeight="1" x14ac:dyDescent="0.2">
      <c r="B58" t="s">
        <v>120</v>
      </c>
      <c r="C58" s="12">
        <v>25</v>
      </c>
      <c r="D58" s="8">
        <v>1.97</v>
      </c>
      <c r="E58" s="12">
        <v>16</v>
      </c>
      <c r="F58" s="8">
        <v>2.5299999999999998</v>
      </c>
      <c r="G58" s="12">
        <v>9</v>
      </c>
      <c r="H58" s="8">
        <v>1.43</v>
      </c>
      <c r="I58" s="12">
        <v>0</v>
      </c>
    </row>
    <row r="59" spans="2:9" ht="15" customHeight="1" x14ac:dyDescent="0.2">
      <c r="B59" t="s">
        <v>119</v>
      </c>
      <c r="C59" s="12">
        <v>22</v>
      </c>
      <c r="D59" s="8">
        <v>1.74</v>
      </c>
      <c r="E59" s="12">
        <v>4</v>
      </c>
      <c r="F59" s="8">
        <v>0.63</v>
      </c>
      <c r="G59" s="12">
        <v>18</v>
      </c>
      <c r="H59" s="8">
        <v>2.86</v>
      </c>
      <c r="I59" s="12">
        <v>0</v>
      </c>
    </row>
    <row r="60" spans="2:9" ht="15" customHeight="1" x14ac:dyDescent="0.2">
      <c r="B60" t="s">
        <v>136</v>
      </c>
      <c r="C60" s="12">
        <v>22</v>
      </c>
      <c r="D60" s="8">
        <v>1.74</v>
      </c>
      <c r="E60" s="12">
        <v>20</v>
      </c>
      <c r="F60" s="8">
        <v>3.16</v>
      </c>
      <c r="G60" s="12">
        <v>2</v>
      </c>
      <c r="H60" s="8">
        <v>0.32</v>
      </c>
      <c r="I60" s="12">
        <v>0</v>
      </c>
    </row>
    <row r="61" spans="2:9" ht="15" customHeight="1" x14ac:dyDescent="0.2">
      <c r="B61" t="s">
        <v>153</v>
      </c>
      <c r="C61" s="12">
        <v>21</v>
      </c>
      <c r="D61" s="8">
        <v>1.66</v>
      </c>
      <c r="E61" s="12">
        <v>6</v>
      </c>
      <c r="F61" s="8">
        <v>0.95</v>
      </c>
      <c r="G61" s="12">
        <v>15</v>
      </c>
      <c r="H61" s="8">
        <v>2.38</v>
      </c>
      <c r="I61" s="12">
        <v>0</v>
      </c>
    </row>
    <row r="62" spans="2:9" ht="15" customHeight="1" x14ac:dyDescent="0.2">
      <c r="B62" t="s">
        <v>124</v>
      </c>
      <c r="C62" s="12">
        <v>20</v>
      </c>
      <c r="D62" s="8">
        <v>1.58</v>
      </c>
      <c r="E62" s="12">
        <v>8</v>
      </c>
      <c r="F62" s="8">
        <v>1.27</v>
      </c>
      <c r="G62" s="12">
        <v>12</v>
      </c>
      <c r="H62" s="8">
        <v>1.91</v>
      </c>
      <c r="I62" s="12">
        <v>0</v>
      </c>
    </row>
    <row r="63" spans="2:9" ht="15" customHeight="1" x14ac:dyDescent="0.2">
      <c r="B63" t="s">
        <v>152</v>
      </c>
      <c r="C63" s="12">
        <v>19</v>
      </c>
      <c r="D63" s="8">
        <v>1.5</v>
      </c>
      <c r="E63" s="12">
        <v>13</v>
      </c>
      <c r="F63" s="8">
        <v>2.06</v>
      </c>
      <c r="G63" s="12">
        <v>6</v>
      </c>
      <c r="H63" s="8">
        <v>0.95</v>
      </c>
      <c r="I63" s="12">
        <v>0</v>
      </c>
    </row>
    <row r="64" spans="2:9" ht="15" customHeight="1" x14ac:dyDescent="0.2">
      <c r="B64" t="s">
        <v>166</v>
      </c>
      <c r="C64" s="12">
        <v>16</v>
      </c>
      <c r="D64" s="8">
        <v>1.26</v>
      </c>
      <c r="E64" s="12">
        <v>2</v>
      </c>
      <c r="F64" s="8">
        <v>0.32</v>
      </c>
      <c r="G64" s="12">
        <v>14</v>
      </c>
      <c r="H64" s="8">
        <v>2.23</v>
      </c>
      <c r="I64" s="12">
        <v>0</v>
      </c>
    </row>
    <row r="65" spans="2:9" ht="15" customHeight="1" x14ac:dyDescent="0.2">
      <c r="B65" t="s">
        <v>144</v>
      </c>
      <c r="C65" s="12">
        <v>16</v>
      </c>
      <c r="D65" s="8">
        <v>1.26</v>
      </c>
      <c r="E65" s="12">
        <v>7</v>
      </c>
      <c r="F65" s="8">
        <v>1.1100000000000001</v>
      </c>
      <c r="G65" s="12">
        <v>9</v>
      </c>
      <c r="H65" s="8">
        <v>1.43</v>
      </c>
      <c r="I65" s="12">
        <v>0</v>
      </c>
    </row>
    <row r="66" spans="2:9" ht="15" customHeight="1" x14ac:dyDescent="0.2">
      <c r="B66" t="s">
        <v>125</v>
      </c>
      <c r="C66" s="12">
        <v>16</v>
      </c>
      <c r="D66" s="8">
        <v>1.26</v>
      </c>
      <c r="E66" s="12">
        <v>6</v>
      </c>
      <c r="F66" s="8">
        <v>0.95</v>
      </c>
      <c r="G66" s="12">
        <v>10</v>
      </c>
      <c r="H66" s="8">
        <v>1.59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8486-F23E-4916-A6D0-B53A2544A3D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2</v>
      </c>
      <c r="D5" s="8">
        <v>0.27</v>
      </c>
      <c r="E5" s="12">
        <v>2</v>
      </c>
      <c r="F5" s="8">
        <v>0.4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136</v>
      </c>
      <c r="D6" s="8">
        <v>18.48</v>
      </c>
      <c r="E6" s="12">
        <v>69</v>
      </c>
      <c r="F6" s="8">
        <v>13.64</v>
      </c>
      <c r="G6" s="12">
        <v>67</v>
      </c>
      <c r="H6" s="8">
        <v>29.52</v>
      </c>
      <c r="I6" s="12">
        <v>0</v>
      </c>
    </row>
    <row r="7" spans="2:9" ht="15" customHeight="1" x14ac:dyDescent="0.2">
      <c r="B7" t="s">
        <v>47</v>
      </c>
      <c r="C7" s="12">
        <v>50</v>
      </c>
      <c r="D7" s="8">
        <v>6.79</v>
      </c>
      <c r="E7" s="12">
        <v>22</v>
      </c>
      <c r="F7" s="8">
        <v>4.3499999999999996</v>
      </c>
      <c r="G7" s="12">
        <v>28</v>
      </c>
      <c r="H7" s="8">
        <v>12.33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0.41</v>
      </c>
      <c r="E8" s="12">
        <v>0</v>
      </c>
      <c r="F8" s="8">
        <v>0</v>
      </c>
      <c r="G8" s="12">
        <v>3</v>
      </c>
      <c r="H8" s="8">
        <v>1.32</v>
      </c>
      <c r="I8" s="12">
        <v>0</v>
      </c>
    </row>
    <row r="9" spans="2:9" ht="15" customHeight="1" x14ac:dyDescent="0.2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50</v>
      </c>
      <c r="C10" s="12">
        <v>6</v>
      </c>
      <c r="D10" s="8">
        <v>0.82</v>
      </c>
      <c r="E10" s="12">
        <v>0</v>
      </c>
      <c r="F10" s="8">
        <v>0</v>
      </c>
      <c r="G10" s="12">
        <v>5</v>
      </c>
      <c r="H10" s="8">
        <v>2.2000000000000002</v>
      </c>
      <c r="I10" s="12">
        <v>1</v>
      </c>
    </row>
    <row r="11" spans="2:9" ht="15" customHeight="1" x14ac:dyDescent="0.2">
      <c r="B11" t="s">
        <v>51</v>
      </c>
      <c r="C11" s="12">
        <v>178</v>
      </c>
      <c r="D11" s="8">
        <v>24.18</v>
      </c>
      <c r="E11" s="12">
        <v>123</v>
      </c>
      <c r="F11" s="8">
        <v>24.31</v>
      </c>
      <c r="G11" s="12">
        <v>55</v>
      </c>
      <c r="H11" s="8">
        <v>24.23</v>
      </c>
      <c r="I11" s="12">
        <v>0</v>
      </c>
    </row>
    <row r="12" spans="2:9" ht="15" customHeight="1" x14ac:dyDescent="0.2">
      <c r="B12" t="s">
        <v>52</v>
      </c>
      <c r="C12" s="12">
        <v>8</v>
      </c>
      <c r="D12" s="8">
        <v>1.0900000000000001</v>
      </c>
      <c r="E12" s="12">
        <v>1</v>
      </c>
      <c r="F12" s="8">
        <v>0.2</v>
      </c>
      <c r="G12" s="12">
        <v>7</v>
      </c>
      <c r="H12" s="8">
        <v>3.08</v>
      </c>
      <c r="I12" s="12">
        <v>0</v>
      </c>
    </row>
    <row r="13" spans="2:9" ht="15" customHeight="1" x14ac:dyDescent="0.2">
      <c r="B13" t="s">
        <v>53</v>
      </c>
      <c r="C13" s="12">
        <v>45</v>
      </c>
      <c r="D13" s="8">
        <v>6.11</v>
      </c>
      <c r="E13" s="12">
        <v>28</v>
      </c>
      <c r="F13" s="8">
        <v>5.53</v>
      </c>
      <c r="G13" s="12">
        <v>17</v>
      </c>
      <c r="H13" s="8">
        <v>7.49</v>
      </c>
      <c r="I13" s="12">
        <v>0</v>
      </c>
    </row>
    <row r="14" spans="2:9" ht="15" customHeight="1" x14ac:dyDescent="0.2">
      <c r="B14" t="s">
        <v>54</v>
      </c>
      <c r="C14" s="12">
        <v>28</v>
      </c>
      <c r="D14" s="8">
        <v>3.8</v>
      </c>
      <c r="E14" s="12">
        <v>13</v>
      </c>
      <c r="F14" s="8">
        <v>2.57</v>
      </c>
      <c r="G14" s="12">
        <v>15</v>
      </c>
      <c r="H14" s="8">
        <v>6.61</v>
      </c>
      <c r="I14" s="12">
        <v>0</v>
      </c>
    </row>
    <row r="15" spans="2:9" ht="15" customHeight="1" x14ac:dyDescent="0.2">
      <c r="B15" t="s">
        <v>55</v>
      </c>
      <c r="C15" s="12">
        <v>109</v>
      </c>
      <c r="D15" s="8">
        <v>14.81</v>
      </c>
      <c r="E15" s="12">
        <v>103</v>
      </c>
      <c r="F15" s="8">
        <v>20.36</v>
      </c>
      <c r="G15" s="12">
        <v>5</v>
      </c>
      <c r="H15" s="8">
        <v>2.2000000000000002</v>
      </c>
      <c r="I15" s="12">
        <v>0</v>
      </c>
    </row>
    <row r="16" spans="2:9" ht="15" customHeight="1" x14ac:dyDescent="0.2">
      <c r="B16" t="s">
        <v>56</v>
      </c>
      <c r="C16" s="12">
        <v>94</v>
      </c>
      <c r="D16" s="8">
        <v>12.77</v>
      </c>
      <c r="E16" s="12">
        <v>84</v>
      </c>
      <c r="F16" s="8">
        <v>16.600000000000001</v>
      </c>
      <c r="G16" s="12">
        <v>10</v>
      </c>
      <c r="H16" s="8">
        <v>4.41</v>
      </c>
      <c r="I16" s="12">
        <v>0</v>
      </c>
    </row>
    <row r="17" spans="2:9" ht="15" customHeight="1" x14ac:dyDescent="0.2">
      <c r="B17" t="s">
        <v>57</v>
      </c>
      <c r="C17" s="12">
        <v>16</v>
      </c>
      <c r="D17" s="8">
        <v>2.17</v>
      </c>
      <c r="E17" s="12">
        <v>12</v>
      </c>
      <c r="F17" s="8">
        <v>2.37</v>
      </c>
      <c r="G17" s="12">
        <v>4</v>
      </c>
      <c r="H17" s="8">
        <v>1.76</v>
      </c>
      <c r="I17" s="12">
        <v>0</v>
      </c>
    </row>
    <row r="18" spans="2:9" ht="15" customHeight="1" x14ac:dyDescent="0.2">
      <c r="B18" t="s">
        <v>58</v>
      </c>
      <c r="C18" s="12">
        <v>25</v>
      </c>
      <c r="D18" s="8">
        <v>3.4</v>
      </c>
      <c r="E18" s="12">
        <v>22</v>
      </c>
      <c r="F18" s="8">
        <v>4.3499999999999996</v>
      </c>
      <c r="G18" s="12">
        <v>3</v>
      </c>
      <c r="H18" s="8">
        <v>1.32</v>
      </c>
      <c r="I18" s="12">
        <v>0</v>
      </c>
    </row>
    <row r="19" spans="2:9" ht="15" customHeight="1" x14ac:dyDescent="0.2">
      <c r="B19" t="s">
        <v>59</v>
      </c>
      <c r="C19" s="12">
        <v>36</v>
      </c>
      <c r="D19" s="8">
        <v>4.8899999999999997</v>
      </c>
      <c r="E19" s="12">
        <v>27</v>
      </c>
      <c r="F19" s="8">
        <v>5.34</v>
      </c>
      <c r="G19" s="12">
        <v>8</v>
      </c>
      <c r="H19" s="8">
        <v>3.52</v>
      </c>
      <c r="I19" s="12">
        <v>0</v>
      </c>
    </row>
    <row r="20" spans="2:9" ht="15" customHeight="1" x14ac:dyDescent="0.2">
      <c r="B20" s="9" t="s">
        <v>195</v>
      </c>
      <c r="C20" s="12">
        <f>SUM(LTBL_08223[総数／事業所数])</f>
        <v>736</v>
      </c>
      <c r="E20" s="12">
        <f>SUBTOTAL(109,LTBL_08223[個人／事業所数])</f>
        <v>506</v>
      </c>
      <c r="G20" s="12">
        <f>SUBTOTAL(109,LTBL_08223[法人／事業所数])</f>
        <v>227</v>
      </c>
      <c r="I20" s="12">
        <f>SUBTOTAL(109,LTBL_08223[法人以外の団体／事業所数])</f>
        <v>1</v>
      </c>
    </row>
    <row r="21" spans="2:9" ht="15" customHeight="1" x14ac:dyDescent="0.2">
      <c r="E21" s="11">
        <f>LTBL_08223[[#Totals],[個人／事業所数]]/LTBL_08223[[#Totals],[総数／事業所数]]</f>
        <v>0.6875</v>
      </c>
      <c r="G21" s="11">
        <f>LTBL_08223[[#Totals],[法人／事業所数]]/LTBL_08223[[#Totals],[総数／事業所数]]</f>
        <v>0.30842391304347827</v>
      </c>
      <c r="I21" s="11">
        <f>LTBL_08223[[#Totals],[法人以外の団体／事業所数]]/LTBL_08223[[#Totals],[総数／事業所数]]</f>
        <v>1.358695652173913E-3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82</v>
      </c>
      <c r="C24" s="12">
        <v>102</v>
      </c>
      <c r="D24" s="8">
        <v>13.86</v>
      </c>
      <c r="E24" s="12">
        <v>100</v>
      </c>
      <c r="F24" s="8">
        <v>19.760000000000002</v>
      </c>
      <c r="G24" s="12">
        <v>2</v>
      </c>
      <c r="H24" s="8">
        <v>0.88</v>
      </c>
      <c r="I24" s="12">
        <v>0</v>
      </c>
    </row>
    <row r="25" spans="2:9" ht="15" customHeight="1" x14ac:dyDescent="0.2">
      <c r="B25" t="s">
        <v>83</v>
      </c>
      <c r="C25" s="12">
        <v>88</v>
      </c>
      <c r="D25" s="8">
        <v>11.96</v>
      </c>
      <c r="E25" s="12">
        <v>79</v>
      </c>
      <c r="F25" s="8">
        <v>15.61</v>
      </c>
      <c r="G25" s="12">
        <v>9</v>
      </c>
      <c r="H25" s="8">
        <v>3.96</v>
      </c>
      <c r="I25" s="12">
        <v>0</v>
      </c>
    </row>
    <row r="26" spans="2:9" ht="15" customHeight="1" x14ac:dyDescent="0.2">
      <c r="B26" t="s">
        <v>68</v>
      </c>
      <c r="C26" s="12">
        <v>62</v>
      </c>
      <c r="D26" s="8">
        <v>8.42</v>
      </c>
      <c r="E26" s="12">
        <v>30</v>
      </c>
      <c r="F26" s="8">
        <v>5.93</v>
      </c>
      <c r="G26" s="12">
        <v>32</v>
      </c>
      <c r="H26" s="8">
        <v>14.1</v>
      </c>
      <c r="I26" s="12">
        <v>0</v>
      </c>
    </row>
    <row r="27" spans="2:9" ht="15" customHeight="1" x14ac:dyDescent="0.2">
      <c r="B27" t="s">
        <v>77</v>
      </c>
      <c r="C27" s="12">
        <v>61</v>
      </c>
      <c r="D27" s="8">
        <v>8.2899999999999991</v>
      </c>
      <c r="E27" s="12">
        <v>44</v>
      </c>
      <c r="F27" s="8">
        <v>8.6999999999999993</v>
      </c>
      <c r="G27" s="12">
        <v>17</v>
      </c>
      <c r="H27" s="8">
        <v>7.49</v>
      </c>
      <c r="I27" s="12">
        <v>0</v>
      </c>
    </row>
    <row r="28" spans="2:9" ht="15" customHeight="1" x14ac:dyDescent="0.2">
      <c r="B28" t="s">
        <v>75</v>
      </c>
      <c r="C28" s="12">
        <v>44</v>
      </c>
      <c r="D28" s="8">
        <v>5.98</v>
      </c>
      <c r="E28" s="12">
        <v>38</v>
      </c>
      <c r="F28" s="8">
        <v>7.51</v>
      </c>
      <c r="G28" s="12">
        <v>6</v>
      </c>
      <c r="H28" s="8">
        <v>2.64</v>
      </c>
      <c r="I28" s="12">
        <v>0</v>
      </c>
    </row>
    <row r="29" spans="2:9" ht="15" customHeight="1" x14ac:dyDescent="0.2">
      <c r="B29" t="s">
        <v>69</v>
      </c>
      <c r="C29" s="12">
        <v>43</v>
      </c>
      <c r="D29" s="8">
        <v>5.84</v>
      </c>
      <c r="E29" s="12">
        <v>27</v>
      </c>
      <c r="F29" s="8">
        <v>5.34</v>
      </c>
      <c r="G29" s="12">
        <v>16</v>
      </c>
      <c r="H29" s="8">
        <v>7.05</v>
      </c>
      <c r="I29" s="12">
        <v>0</v>
      </c>
    </row>
    <row r="30" spans="2:9" ht="15" customHeight="1" x14ac:dyDescent="0.2">
      <c r="B30" t="s">
        <v>79</v>
      </c>
      <c r="C30" s="12">
        <v>35</v>
      </c>
      <c r="D30" s="8">
        <v>4.76</v>
      </c>
      <c r="E30" s="12">
        <v>27</v>
      </c>
      <c r="F30" s="8">
        <v>5.34</v>
      </c>
      <c r="G30" s="12">
        <v>8</v>
      </c>
      <c r="H30" s="8">
        <v>3.52</v>
      </c>
      <c r="I30" s="12">
        <v>0</v>
      </c>
    </row>
    <row r="31" spans="2:9" ht="15" customHeight="1" x14ac:dyDescent="0.2">
      <c r="B31" t="s">
        <v>70</v>
      </c>
      <c r="C31" s="12">
        <v>31</v>
      </c>
      <c r="D31" s="8">
        <v>4.21</v>
      </c>
      <c r="E31" s="12">
        <v>12</v>
      </c>
      <c r="F31" s="8">
        <v>2.37</v>
      </c>
      <c r="G31" s="12">
        <v>19</v>
      </c>
      <c r="H31" s="8">
        <v>8.3699999999999992</v>
      </c>
      <c r="I31" s="12">
        <v>0</v>
      </c>
    </row>
    <row r="32" spans="2:9" ht="15" customHeight="1" x14ac:dyDescent="0.2">
      <c r="B32" t="s">
        <v>76</v>
      </c>
      <c r="C32" s="12">
        <v>25</v>
      </c>
      <c r="D32" s="8">
        <v>3.4</v>
      </c>
      <c r="E32" s="12">
        <v>18</v>
      </c>
      <c r="F32" s="8">
        <v>3.56</v>
      </c>
      <c r="G32" s="12">
        <v>7</v>
      </c>
      <c r="H32" s="8">
        <v>3.08</v>
      </c>
      <c r="I32" s="12">
        <v>0</v>
      </c>
    </row>
    <row r="33" spans="2:9" ht="15" customHeight="1" x14ac:dyDescent="0.2">
      <c r="B33" t="s">
        <v>86</v>
      </c>
      <c r="C33" s="12">
        <v>23</v>
      </c>
      <c r="D33" s="8">
        <v>3.13</v>
      </c>
      <c r="E33" s="12">
        <v>22</v>
      </c>
      <c r="F33" s="8">
        <v>4.3499999999999996</v>
      </c>
      <c r="G33" s="12">
        <v>1</v>
      </c>
      <c r="H33" s="8">
        <v>0.44</v>
      </c>
      <c r="I33" s="12">
        <v>0</v>
      </c>
    </row>
    <row r="34" spans="2:9" ht="15" customHeight="1" x14ac:dyDescent="0.2">
      <c r="B34" t="s">
        <v>87</v>
      </c>
      <c r="C34" s="12">
        <v>23</v>
      </c>
      <c r="D34" s="8">
        <v>3.13</v>
      </c>
      <c r="E34" s="12">
        <v>22</v>
      </c>
      <c r="F34" s="8">
        <v>4.3499999999999996</v>
      </c>
      <c r="G34" s="12">
        <v>1</v>
      </c>
      <c r="H34" s="8">
        <v>0.44</v>
      </c>
      <c r="I34" s="12">
        <v>0</v>
      </c>
    </row>
    <row r="35" spans="2:9" ht="15" customHeight="1" x14ac:dyDescent="0.2">
      <c r="B35" t="s">
        <v>74</v>
      </c>
      <c r="C35" s="12">
        <v>17</v>
      </c>
      <c r="D35" s="8">
        <v>2.31</v>
      </c>
      <c r="E35" s="12">
        <v>13</v>
      </c>
      <c r="F35" s="8">
        <v>2.57</v>
      </c>
      <c r="G35" s="12">
        <v>4</v>
      </c>
      <c r="H35" s="8">
        <v>1.76</v>
      </c>
      <c r="I35" s="12">
        <v>0</v>
      </c>
    </row>
    <row r="36" spans="2:9" ht="15" customHeight="1" x14ac:dyDescent="0.2">
      <c r="B36" t="s">
        <v>85</v>
      </c>
      <c r="C36" s="12">
        <v>16</v>
      </c>
      <c r="D36" s="8">
        <v>2.17</v>
      </c>
      <c r="E36" s="12">
        <v>12</v>
      </c>
      <c r="F36" s="8">
        <v>2.37</v>
      </c>
      <c r="G36" s="12">
        <v>4</v>
      </c>
      <c r="H36" s="8">
        <v>1.76</v>
      </c>
      <c r="I36" s="12">
        <v>0</v>
      </c>
    </row>
    <row r="37" spans="2:9" ht="15" customHeight="1" x14ac:dyDescent="0.2">
      <c r="B37" t="s">
        <v>81</v>
      </c>
      <c r="C37" s="12">
        <v>14</v>
      </c>
      <c r="D37" s="8">
        <v>1.9</v>
      </c>
      <c r="E37" s="12">
        <v>2</v>
      </c>
      <c r="F37" s="8">
        <v>0.4</v>
      </c>
      <c r="G37" s="12">
        <v>12</v>
      </c>
      <c r="H37" s="8">
        <v>5.29</v>
      </c>
      <c r="I37" s="12">
        <v>0</v>
      </c>
    </row>
    <row r="38" spans="2:9" ht="15" customHeight="1" x14ac:dyDescent="0.2">
      <c r="B38" t="s">
        <v>80</v>
      </c>
      <c r="C38" s="12">
        <v>13</v>
      </c>
      <c r="D38" s="8">
        <v>1.77</v>
      </c>
      <c r="E38" s="12">
        <v>11</v>
      </c>
      <c r="F38" s="8">
        <v>2.17</v>
      </c>
      <c r="G38" s="12">
        <v>2</v>
      </c>
      <c r="H38" s="8">
        <v>0.88</v>
      </c>
      <c r="I38" s="12">
        <v>0</v>
      </c>
    </row>
    <row r="39" spans="2:9" ht="15" customHeight="1" x14ac:dyDescent="0.2">
      <c r="B39" t="s">
        <v>97</v>
      </c>
      <c r="C39" s="12">
        <v>12</v>
      </c>
      <c r="D39" s="8">
        <v>1.63</v>
      </c>
      <c r="E39" s="12">
        <v>5</v>
      </c>
      <c r="F39" s="8">
        <v>0.99</v>
      </c>
      <c r="G39" s="12">
        <v>7</v>
      </c>
      <c r="H39" s="8">
        <v>3.08</v>
      </c>
      <c r="I39" s="12">
        <v>0</v>
      </c>
    </row>
    <row r="40" spans="2:9" ht="15" customHeight="1" x14ac:dyDescent="0.2">
      <c r="B40" t="s">
        <v>71</v>
      </c>
      <c r="C40" s="12">
        <v>10</v>
      </c>
      <c r="D40" s="8">
        <v>1.36</v>
      </c>
      <c r="E40" s="12">
        <v>4</v>
      </c>
      <c r="F40" s="8">
        <v>0.79</v>
      </c>
      <c r="G40" s="12">
        <v>6</v>
      </c>
      <c r="H40" s="8">
        <v>2.64</v>
      </c>
      <c r="I40" s="12">
        <v>0</v>
      </c>
    </row>
    <row r="41" spans="2:9" ht="15" customHeight="1" x14ac:dyDescent="0.2">
      <c r="B41" t="s">
        <v>72</v>
      </c>
      <c r="C41" s="12">
        <v>8</v>
      </c>
      <c r="D41" s="8">
        <v>1.0900000000000001</v>
      </c>
      <c r="E41" s="12">
        <v>1</v>
      </c>
      <c r="F41" s="8">
        <v>0.2</v>
      </c>
      <c r="G41" s="12">
        <v>7</v>
      </c>
      <c r="H41" s="8">
        <v>3.08</v>
      </c>
      <c r="I41" s="12">
        <v>0</v>
      </c>
    </row>
    <row r="42" spans="2:9" ht="15" customHeight="1" x14ac:dyDescent="0.2">
      <c r="B42" t="s">
        <v>73</v>
      </c>
      <c r="C42" s="12">
        <v>8</v>
      </c>
      <c r="D42" s="8">
        <v>1.0900000000000001</v>
      </c>
      <c r="E42" s="12">
        <v>1</v>
      </c>
      <c r="F42" s="8">
        <v>0.2</v>
      </c>
      <c r="G42" s="12">
        <v>7</v>
      </c>
      <c r="H42" s="8">
        <v>3.08</v>
      </c>
      <c r="I42" s="12">
        <v>0</v>
      </c>
    </row>
    <row r="43" spans="2:9" ht="15" customHeight="1" x14ac:dyDescent="0.2">
      <c r="B43" t="s">
        <v>103</v>
      </c>
      <c r="C43" s="12">
        <v>8</v>
      </c>
      <c r="D43" s="8">
        <v>1.0900000000000001</v>
      </c>
      <c r="E43" s="12">
        <v>1</v>
      </c>
      <c r="F43" s="8">
        <v>0.2</v>
      </c>
      <c r="G43" s="12">
        <v>7</v>
      </c>
      <c r="H43" s="8">
        <v>3.08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43</v>
      </c>
      <c r="D47" s="8">
        <v>5.84</v>
      </c>
      <c r="E47" s="12">
        <v>41</v>
      </c>
      <c r="F47" s="8">
        <v>8.1</v>
      </c>
      <c r="G47" s="12">
        <v>2</v>
      </c>
      <c r="H47" s="8">
        <v>0.88</v>
      </c>
      <c r="I47" s="12">
        <v>0</v>
      </c>
    </row>
    <row r="48" spans="2:9" ht="15" customHeight="1" x14ac:dyDescent="0.2">
      <c r="B48" t="s">
        <v>132</v>
      </c>
      <c r="C48" s="12">
        <v>41</v>
      </c>
      <c r="D48" s="8">
        <v>5.57</v>
      </c>
      <c r="E48" s="12">
        <v>40</v>
      </c>
      <c r="F48" s="8">
        <v>7.91</v>
      </c>
      <c r="G48" s="12">
        <v>1</v>
      </c>
      <c r="H48" s="8">
        <v>0.44</v>
      </c>
      <c r="I48" s="12">
        <v>0</v>
      </c>
    </row>
    <row r="49" spans="2:9" ht="15" customHeight="1" x14ac:dyDescent="0.2">
      <c r="B49" t="s">
        <v>133</v>
      </c>
      <c r="C49" s="12">
        <v>35</v>
      </c>
      <c r="D49" s="8">
        <v>4.76</v>
      </c>
      <c r="E49" s="12">
        <v>33</v>
      </c>
      <c r="F49" s="8">
        <v>6.52</v>
      </c>
      <c r="G49" s="12">
        <v>2</v>
      </c>
      <c r="H49" s="8">
        <v>0.88</v>
      </c>
      <c r="I49" s="12">
        <v>0</v>
      </c>
    </row>
    <row r="50" spans="2:9" ht="15" customHeight="1" x14ac:dyDescent="0.2">
      <c r="B50" t="s">
        <v>129</v>
      </c>
      <c r="C50" s="12">
        <v>27</v>
      </c>
      <c r="D50" s="8">
        <v>3.67</v>
      </c>
      <c r="E50" s="12">
        <v>24</v>
      </c>
      <c r="F50" s="8">
        <v>4.74</v>
      </c>
      <c r="G50" s="12">
        <v>3</v>
      </c>
      <c r="H50" s="8">
        <v>1.32</v>
      </c>
      <c r="I50" s="12">
        <v>0</v>
      </c>
    </row>
    <row r="51" spans="2:9" ht="15" customHeight="1" x14ac:dyDescent="0.2">
      <c r="B51" t="s">
        <v>118</v>
      </c>
      <c r="C51" s="12">
        <v>23</v>
      </c>
      <c r="D51" s="8">
        <v>3.13</v>
      </c>
      <c r="E51" s="12">
        <v>2</v>
      </c>
      <c r="F51" s="8">
        <v>0.4</v>
      </c>
      <c r="G51" s="12">
        <v>21</v>
      </c>
      <c r="H51" s="8">
        <v>9.25</v>
      </c>
      <c r="I51" s="12">
        <v>0</v>
      </c>
    </row>
    <row r="52" spans="2:9" ht="15" customHeight="1" x14ac:dyDescent="0.2">
      <c r="B52" t="s">
        <v>120</v>
      </c>
      <c r="C52" s="12">
        <v>23</v>
      </c>
      <c r="D52" s="8">
        <v>3.13</v>
      </c>
      <c r="E52" s="12">
        <v>20</v>
      </c>
      <c r="F52" s="8">
        <v>3.95</v>
      </c>
      <c r="G52" s="12">
        <v>3</v>
      </c>
      <c r="H52" s="8">
        <v>1.32</v>
      </c>
      <c r="I52" s="12">
        <v>0</v>
      </c>
    </row>
    <row r="53" spans="2:9" ht="15" customHeight="1" x14ac:dyDescent="0.2">
      <c r="B53" t="s">
        <v>137</v>
      </c>
      <c r="C53" s="12">
        <v>23</v>
      </c>
      <c r="D53" s="8">
        <v>3.13</v>
      </c>
      <c r="E53" s="12">
        <v>22</v>
      </c>
      <c r="F53" s="8">
        <v>4.3499999999999996</v>
      </c>
      <c r="G53" s="12">
        <v>1</v>
      </c>
      <c r="H53" s="8">
        <v>0.44</v>
      </c>
      <c r="I53" s="12">
        <v>0</v>
      </c>
    </row>
    <row r="54" spans="2:9" ht="15" customHeight="1" x14ac:dyDescent="0.2">
      <c r="B54" t="s">
        <v>131</v>
      </c>
      <c r="C54" s="12">
        <v>22</v>
      </c>
      <c r="D54" s="8">
        <v>2.99</v>
      </c>
      <c r="E54" s="12">
        <v>22</v>
      </c>
      <c r="F54" s="8">
        <v>4.3499999999999996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126</v>
      </c>
      <c r="C55" s="12">
        <v>19</v>
      </c>
      <c r="D55" s="8">
        <v>2.58</v>
      </c>
      <c r="E55" s="12">
        <v>11</v>
      </c>
      <c r="F55" s="8">
        <v>2.17</v>
      </c>
      <c r="G55" s="12">
        <v>8</v>
      </c>
      <c r="H55" s="8">
        <v>3.52</v>
      </c>
      <c r="I55" s="12">
        <v>0</v>
      </c>
    </row>
    <row r="56" spans="2:9" ht="15" customHeight="1" x14ac:dyDescent="0.2">
      <c r="B56" t="s">
        <v>123</v>
      </c>
      <c r="C56" s="12">
        <v>17</v>
      </c>
      <c r="D56" s="8">
        <v>2.31</v>
      </c>
      <c r="E56" s="12">
        <v>14</v>
      </c>
      <c r="F56" s="8">
        <v>2.77</v>
      </c>
      <c r="G56" s="12">
        <v>3</v>
      </c>
      <c r="H56" s="8">
        <v>1.32</v>
      </c>
      <c r="I56" s="12">
        <v>0</v>
      </c>
    </row>
    <row r="57" spans="2:9" ht="15" customHeight="1" x14ac:dyDescent="0.2">
      <c r="B57" t="s">
        <v>122</v>
      </c>
      <c r="C57" s="12">
        <v>16</v>
      </c>
      <c r="D57" s="8">
        <v>2.17</v>
      </c>
      <c r="E57" s="12">
        <v>8</v>
      </c>
      <c r="F57" s="8">
        <v>1.58</v>
      </c>
      <c r="G57" s="12">
        <v>8</v>
      </c>
      <c r="H57" s="8">
        <v>3.52</v>
      </c>
      <c r="I57" s="12">
        <v>0</v>
      </c>
    </row>
    <row r="58" spans="2:9" ht="15" customHeight="1" x14ac:dyDescent="0.2">
      <c r="B58" t="s">
        <v>136</v>
      </c>
      <c r="C58" s="12">
        <v>15</v>
      </c>
      <c r="D58" s="8">
        <v>2.04</v>
      </c>
      <c r="E58" s="12">
        <v>14</v>
      </c>
      <c r="F58" s="8">
        <v>2.77</v>
      </c>
      <c r="G58" s="12">
        <v>1</v>
      </c>
      <c r="H58" s="8">
        <v>0.44</v>
      </c>
      <c r="I58" s="12">
        <v>0</v>
      </c>
    </row>
    <row r="59" spans="2:9" ht="15" customHeight="1" x14ac:dyDescent="0.2">
      <c r="B59" t="s">
        <v>124</v>
      </c>
      <c r="C59" s="12">
        <v>14</v>
      </c>
      <c r="D59" s="8">
        <v>1.9</v>
      </c>
      <c r="E59" s="12">
        <v>9</v>
      </c>
      <c r="F59" s="8">
        <v>1.78</v>
      </c>
      <c r="G59" s="12">
        <v>5</v>
      </c>
      <c r="H59" s="8">
        <v>2.2000000000000002</v>
      </c>
      <c r="I59" s="12">
        <v>0</v>
      </c>
    </row>
    <row r="60" spans="2:9" ht="15" customHeight="1" x14ac:dyDescent="0.2">
      <c r="B60" t="s">
        <v>127</v>
      </c>
      <c r="C60" s="12">
        <v>13</v>
      </c>
      <c r="D60" s="8">
        <v>1.77</v>
      </c>
      <c r="E60" s="12">
        <v>13</v>
      </c>
      <c r="F60" s="8">
        <v>2.57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152</v>
      </c>
      <c r="C61" s="12">
        <v>12</v>
      </c>
      <c r="D61" s="8">
        <v>1.63</v>
      </c>
      <c r="E61" s="12">
        <v>12</v>
      </c>
      <c r="F61" s="8">
        <v>2.37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119</v>
      </c>
      <c r="C62" s="12">
        <v>10</v>
      </c>
      <c r="D62" s="8">
        <v>1.36</v>
      </c>
      <c r="E62" s="12">
        <v>4</v>
      </c>
      <c r="F62" s="8">
        <v>0.79</v>
      </c>
      <c r="G62" s="12">
        <v>6</v>
      </c>
      <c r="H62" s="8">
        <v>2.64</v>
      </c>
      <c r="I62" s="12">
        <v>0</v>
      </c>
    </row>
    <row r="63" spans="2:9" ht="15" customHeight="1" x14ac:dyDescent="0.2">
      <c r="B63" t="s">
        <v>121</v>
      </c>
      <c r="C63" s="12">
        <v>10</v>
      </c>
      <c r="D63" s="8">
        <v>1.36</v>
      </c>
      <c r="E63" s="12">
        <v>3</v>
      </c>
      <c r="F63" s="8">
        <v>0.59</v>
      </c>
      <c r="G63" s="12">
        <v>7</v>
      </c>
      <c r="H63" s="8">
        <v>3.08</v>
      </c>
      <c r="I63" s="12">
        <v>0</v>
      </c>
    </row>
    <row r="64" spans="2:9" ht="15" customHeight="1" x14ac:dyDescent="0.2">
      <c r="B64" t="s">
        <v>140</v>
      </c>
      <c r="C64" s="12">
        <v>10</v>
      </c>
      <c r="D64" s="8">
        <v>1.36</v>
      </c>
      <c r="E64" s="12">
        <v>8</v>
      </c>
      <c r="F64" s="8">
        <v>1.58</v>
      </c>
      <c r="G64" s="12">
        <v>2</v>
      </c>
      <c r="H64" s="8">
        <v>0.88</v>
      </c>
      <c r="I64" s="12">
        <v>0</v>
      </c>
    </row>
    <row r="65" spans="2:9" ht="15" customHeight="1" x14ac:dyDescent="0.2">
      <c r="B65" t="s">
        <v>130</v>
      </c>
      <c r="C65" s="12">
        <v>10</v>
      </c>
      <c r="D65" s="8">
        <v>1.36</v>
      </c>
      <c r="E65" s="12">
        <v>1</v>
      </c>
      <c r="F65" s="8">
        <v>0.2</v>
      </c>
      <c r="G65" s="12">
        <v>9</v>
      </c>
      <c r="H65" s="8">
        <v>3.96</v>
      </c>
      <c r="I65" s="12">
        <v>0</v>
      </c>
    </row>
    <row r="66" spans="2:9" ht="15" customHeight="1" x14ac:dyDescent="0.2">
      <c r="B66" t="s">
        <v>167</v>
      </c>
      <c r="C66" s="12">
        <v>9</v>
      </c>
      <c r="D66" s="8">
        <v>1.22</v>
      </c>
      <c r="E66" s="12">
        <v>7</v>
      </c>
      <c r="F66" s="8">
        <v>1.38</v>
      </c>
      <c r="G66" s="12">
        <v>2</v>
      </c>
      <c r="H66" s="8">
        <v>0.88</v>
      </c>
      <c r="I66" s="12">
        <v>0</v>
      </c>
    </row>
    <row r="67" spans="2:9" ht="15" customHeight="1" x14ac:dyDescent="0.2">
      <c r="B67" t="s">
        <v>147</v>
      </c>
      <c r="C67" s="12">
        <v>9</v>
      </c>
      <c r="D67" s="8">
        <v>1.22</v>
      </c>
      <c r="E67" s="12">
        <v>9</v>
      </c>
      <c r="F67" s="8">
        <v>1.78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9</v>
      </c>
      <c r="D68" s="8">
        <v>1.22</v>
      </c>
      <c r="E68" s="12">
        <v>8</v>
      </c>
      <c r="F68" s="8">
        <v>1.58</v>
      </c>
      <c r="G68" s="12">
        <v>1</v>
      </c>
      <c r="H68" s="8">
        <v>0.44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A568-C62B-4AFC-A3FC-F3BA33CABA2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173</v>
      </c>
      <c r="D6" s="8">
        <v>14.23</v>
      </c>
      <c r="E6" s="12">
        <v>48</v>
      </c>
      <c r="F6" s="8">
        <v>8</v>
      </c>
      <c r="G6" s="12">
        <v>125</v>
      </c>
      <c r="H6" s="8">
        <v>20.39</v>
      </c>
      <c r="I6" s="12">
        <v>0</v>
      </c>
    </row>
    <row r="7" spans="2:9" ht="15" customHeight="1" x14ac:dyDescent="0.2">
      <c r="B7" t="s">
        <v>47</v>
      </c>
      <c r="C7" s="12">
        <v>64</v>
      </c>
      <c r="D7" s="8">
        <v>5.26</v>
      </c>
      <c r="E7" s="12">
        <v>17</v>
      </c>
      <c r="F7" s="8">
        <v>2.83</v>
      </c>
      <c r="G7" s="12">
        <v>47</v>
      </c>
      <c r="H7" s="8">
        <v>7.67</v>
      </c>
      <c r="I7" s="12">
        <v>0</v>
      </c>
    </row>
    <row r="8" spans="2:9" ht="15" customHeight="1" x14ac:dyDescent="0.2">
      <c r="B8" t="s">
        <v>48</v>
      </c>
      <c r="C8" s="12">
        <v>4</v>
      </c>
      <c r="D8" s="8">
        <v>0.33</v>
      </c>
      <c r="E8" s="12">
        <v>0</v>
      </c>
      <c r="F8" s="8">
        <v>0</v>
      </c>
      <c r="G8" s="12">
        <v>4</v>
      </c>
      <c r="H8" s="8">
        <v>0.65</v>
      </c>
      <c r="I8" s="12">
        <v>0</v>
      </c>
    </row>
    <row r="9" spans="2:9" ht="15" customHeight="1" x14ac:dyDescent="0.2">
      <c r="B9" t="s">
        <v>49</v>
      </c>
      <c r="C9" s="12">
        <v>15</v>
      </c>
      <c r="D9" s="8">
        <v>1.23</v>
      </c>
      <c r="E9" s="12">
        <v>1</v>
      </c>
      <c r="F9" s="8">
        <v>0.17</v>
      </c>
      <c r="G9" s="12">
        <v>14</v>
      </c>
      <c r="H9" s="8">
        <v>2.2799999999999998</v>
      </c>
      <c r="I9" s="12">
        <v>0</v>
      </c>
    </row>
    <row r="10" spans="2:9" ht="15" customHeight="1" x14ac:dyDescent="0.2">
      <c r="B10" t="s">
        <v>50</v>
      </c>
      <c r="C10" s="12">
        <v>8</v>
      </c>
      <c r="D10" s="8">
        <v>0.66</v>
      </c>
      <c r="E10" s="12">
        <v>3</v>
      </c>
      <c r="F10" s="8">
        <v>0.5</v>
      </c>
      <c r="G10" s="12">
        <v>5</v>
      </c>
      <c r="H10" s="8">
        <v>0.82</v>
      </c>
      <c r="I10" s="12">
        <v>0</v>
      </c>
    </row>
    <row r="11" spans="2:9" ht="15" customHeight="1" x14ac:dyDescent="0.2">
      <c r="B11" t="s">
        <v>51</v>
      </c>
      <c r="C11" s="12">
        <v>220</v>
      </c>
      <c r="D11" s="8">
        <v>18.09</v>
      </c>
      <c r="E11" s="12">
        <v>96</v>
      </c>
      <c r="F11" s="8">
        <v>16</v>
      </c>
      <c r="G11" s="12">
        <v>124</v>
      </c>
      <c r="H11" s="8">
        <v>20.23</v>
      </c>
      <c r="I11" s="12">
        <v>0</v>
      </c>
    </row>
    <row r="12" spans="2:9" ht="15" customHeight="1" x14ac:dyDescent="0.2">
      <c r="B12" t="s">
        <v>52</v>
      </c>
      <c r="C12" s="12">
        <v>7</v>
      </c>
      <c r="D12" s="8">
        <v>0.57999999999999996</v>
      </c>
      <c r="E12" s="12">
        <v>0</v>
      </c>
      <c r="F12" s="8">
        <v>0</v>
      </c>
      <c r="G12" s="12">
        <v>7</v>
      </c>
      <c r="H12" s="8">
        <v>1.1399999999999999</v>
      </c>
      <c r="I12" s="12">
        <v>0</v>
      </c>
    </row>
    <row r="13" spans="2:9" ht="15" customHeight="1" x14ac:dyDescent="0.2">
      <c r="B13" t="s">
        <v>53</v>
      </c>
      <c r="C13" s="12">
        <v>117</v>
      </c>
      <c r="D13" s="8">
        <v>9.6199999999999992</v>
      </c>
      <c r="E13" s="12">
        <v>17</v>
      </c>
      <c r="F13" s="8">
        <v>2.83</v>
      </c>
      <c r="G13" s="12">
        <v>100</v>
      </c>
      <c r="H13" s="8">
        <v>16.309999999999999</v>
      </c>
      <c r="I13" s="12">
        <v>0</v>
      </c>
    </row>
    <row r="14" spans="2:9" ht="15" customHeight="1" x14ac:dyDescent="0.2">
      <c r="B14" t="s">
        <v>54</v>
      </c>
      <c r="C14" s="12">
        <v>105</v>
      </c>
      <c r="D14" s="8">
        <v>8.6300000000000008</v>
      </c>
      <c r="E14" s="12">
        <v>60</v>
      </c>
      <c r="F14" s="8">
        <v>10</v>
      </c>
      <c r="G14" s="12">
        <v>44</v>
      </c>
      <c r="H14" s="8">
        <v>7.18</v>
      </c>
      <c r="I14" s="12">
        <v>0</v>
      </c>
    </row>
    <row r="15" spans="2:9" ht="15" customHeight="1" x14ac:dyDescent="0.2">
      <c r="B15" t="s">
        <v>55</v>
      </c>
      <c r="C15" s="12">
        <v>95</v>
      </c>
      <c r="D15" s="8">
        <v>7.81</v>
      </c>
      <c r="E15" s="12">
        <v>67</v>
      </c>
      <c r="F15" s="8">
        <v>11.17</v>
      </c>
      <c r="G15" s="12">
        <v>28</v>
      </c>
      <c r="H15" s="8">
        <v>4.57</v>
      </c>
      <c r="I15" s="12">
        <v>0</v>
      </c>
    </row>
    <row r="16" spans="2:9" ht="15" customHeight="1" x14ac:dyDescent="0.2">
      <c r="B16" t="s">
        <v>56</v>
      </c>
      <c r="C16" s="12">
        <v>177</v>
      </c>
      <c r="D16" s="8">
        <v>14.56</v>
      </c>
      <c r="E16" s="12">
        <v>129</v>
      </c>
      <c r="F16" s="8">
        <v>21.5</v>
      </c>
      <c r="G16" s="12">
        <v>48</v>
      </c>
      <c r="H16" s="8">
        <v>7.83</v>
      </c>
      <c r="I16" s="12">
        <v>0</v>
      </c>
    </row>
    <row r="17" spans="2:9" ht="15" customHeight="1" x14ac:dyDescent="0.2">
      <c r="B17" t="s">
        <v>57</v>
      </c>
      <c r="C17" s="12">
        <v>116</v>
      </c>
      <c r="D17" s="8">
        <v>9.5399999999999991</v>
      </c>
      <c r="E17" s="12">
        <v>85</v>
      </c>
      <c r="F17" s="8">
        <v>14.17</v>
      </c>
      <c r="G17" s="12">
        <v>30</v>
      </c>
      <c r="H17" s="8">
        <v>4.8899999999999997</v>
      </c>
      <c r="I17" s="12">
        <v>1</v>
      </c>
    </row>
    <row r="18" spans="2:9" ht="15" customHeight="1" x14ac:dyDescent="0.2">
      <c r="B18" t="s">
        <v>58</v>
      </c>
      <c r="C18" s="12">
        <v>71</v>
      </c>
      <c r="D18" s="8">
        <v>5.84</v>
      </c>
      <c r="E18" s="12">
        <v>56</v>
      </c>
      <c r="F18" s="8">
        <v>9.33</v>
      </c>
      <c r="G18" s="12">
        <v>15</v>
      </c>
      <c r="H18" s="8">
        <v>2.4500000000000002</v>
      </c>
      <c r="I18" s="12">
        <v>0</v>
      </c>
    </row>
    <row r="19" spans="2:9" ht="15" customHeight="1" x14ac:dyDescent="0.2">
      <c r="B19" t="s">
        <v>59</v>
      </c>
      <c r="C19" s="12">
        <v>44</v>
      </c>
      <c r="D19" s="8">
        <v>3.62</v>
      </c>
      <c r="E19" s="12">
        <v>21</v>
      </c>
      <c r="F19" s="8">
        <v>3.5</v>
      </c>
      <c r="G19" s="12">
        <v>22</v>
      </c>
      <c r="H19" s="8">
        <v>3.59</v>
      </c>
      <c r="I19" s="12">
        <v>0</v>
      </c>
    </row>
    <row r="20" spans="2:9" ht="15" customHeight="1" x14ac:dyDescent="0.2">
      <c r="B20" s="9" t="s">
        <v>195</v>
      </c>
      <c r="C20" s="12">
        <f>SUM(LTBL_08224[総数／事業所数])</f>
        <v>1216</v>
      </c>
      <c r="E20" s="12">
        <f>SUBTOTAL(109,LTBL_08224[個人／事業所数])</f>
        <v>600</v>
      </c>
      <c r="G20" s="12">
        <f>SUBTOTAL(109,LTBL_08224[法人／事業所数])</f>
        <v>613</v>
      </c>
      <c r="I20" s="12">
        <f>SUBTOTAL(109,LTBL_08224[法人以外の団体／事業所数])</f>
        <v>1</v>
      </c>
    </row>
    <row r="21" spans="2:9" ht="15" customHeight="1" x14ac:dyDescent="0.2">
      <c r="E21" s="11">
        <f>LTBL_08224[[#Totals],[個人／事業所数]]/LTBL_08224[[#Totals],[総数／事業所数]]</f>
        <v>0.49342105263157893</v>
      </c>
      <c r="G21" s="11">
        <f>LTBL_08224[[#Totals],[法人／事業所数]]/LTBL_08224[[#Totals],[総数／事業所数]]</f>
        <v>0.50411184210526316</v>
      </c>
      <c r="I21" s="11">
        <f>LTBL_08224[[#Totals],[法人以外の団体／事業所数]]/LTBL_08224[[#Totals],[総数／事業所数]]</f>
        <v>8.2236842105263153E-4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153</v>
      </c>
      <c r="D24" s="8">
        <v>12.58</v>
      </c>
      <c r="E24" s="12">
        <v>121</v>
      </c>
      <c r="F24" s="8">
        <v>20.170000000000002</v>
      </c>
      <c r="G24" s="12">
        <v>32</v>
      </c>
      <c r="H24" s="8">
        <v>5.22</v>
      </c>
      <c r="I24" s="12">
        <v>0</v>
      </c>
    </row>
    <row r="25" spans="2:9" ht="15" customHeight="1" x14ac:dyDescent="0.2">
      <c r="B25" t="s">
        <v>85</v>
      </c>
      <c r="C25" s="12">
        <v>116</v>
      </c>
      <c r="D25" s="8">
        <v>9.5399999999999991</v>
      </c>
      <c r="E25" s="12">
        <v>85</v>
      </c>
      <c r="F25" s="8">
        <v>14.17</v>
      </c>
      <c r="G25" s="12">
        <v>30</v>
      </c>
      <c r="H25" s="8">
        <v>4.8899999999999997</v>
      </c>
      <c r="I25" s="12">
        <v>1</v>
      </c>
    </row>
    <row r="26" spans="2:9" ht="15" customHeight="1" x14ac:dyDescent="0.2">
      <c r="B26" t="s">
        <v>82</v>
      </c>
      <c r="C26" s="12">
        <v>87</v>
      </c>
      <c r="D26" s="8">
        <v>7.15</v>
      </c>
      <c r="E26" s="12">
        <v>67</v>
      </c>
      <c r="F26" s="8">
        <v>11.17</v>
      </c>
      <c r="G26" s="12">
        <v>20</v>
      </c>
      <c r="H26" s="8">
        <v>3.26</v>
      </c>
      <c r="I26" s="12">
        <v>0</v>
      </c>
    </row>
    <row r="27" spans="2:9" ht="15" customHeight="1" x14ac:dyDescent="0.2">
      <c r="B27" t="s">
        <v>68</v>
      </c>
      <c r="C27" s="12">
        <v>78</v>
      </c>
      <c r="D27" s="8">
        <v>6.41</v>
      </c>
      <c r="E27" s="12">
        <v>19</v>
      </c>
      <c r="F27" s="8">
        <v>3.17</v>
      </c>
      <c r="G27" s="12">
        <v>59</v>
      </c>
      <c r="H27" s="8">
        <v>9.6199999999999992</v>
      </c>
      <c r="I27" s="12">
        <v>0</v>
      </c>
    </row>
    <row r="28" spans="2:9" ht="15" customHeight="1" x14ac:dyDescent="0.2">
      <c r="B28" t="s">
        <v>79</v>
      </c>
      <c r="C28" s="12">
        <v>78</v>
      </c>
      <c r="D28" s="8">
        <v>6.41</v>
      </c>
      <c r="E28" s="12">
        <v>13</v>
      </c>
      <c r="F28" s="8">
        <v>2.17</v>
      </c>
      <c r="G28" s="12">
        <v>65</v>
      </c>
      <c r="H28" s="8">
        <v>10.6</v>
      </c>
      <c r="I28" s="12">
        <v>0</v>
      </c>
    </row>
    <row r="29" spans="2:9" ht="15" customHeight="1" x14ac:dyDescent="0.2">
      <c r="B29" t="s">
        <v>80</v>
      </c>
      <c r="C29" s="12">
        <v>63</v>
      </c>
      <c r="D29" s="8">
        <v>5.18</v>
      </c>
      <c r="E29" s="12">
        <v>39</v>
      </c>
      <c r="F29" s="8">
        <v>6.5</v>
      </c>
      <c r="G29" s="12">
        <v>24</v>
      </c>
      <c r="H29" s="8">
        <v>3.92</v>
      </c>
      <c r="I29" s="12">
        <v>0</v>
      </c>
    </row>
    <row r="30" spans="2:9" ht="15" customHeight="1" x14ac:dyDescent="0.2">
      <c r="B30" t="s">
        <v>86</v>
      </c>
      <c r="C30" s="12">
        <v>62</v>
      </c>
      <c r="D30" s="8">
        <v>5.0999999999999996</v>
      </c>
      <c r="E30" s="12">
        <v>56</v>
      </c>
      <c r="F30" s="8">
        <v>9.33</v>
      </c>
      <c r="G30" s="12">
        <v>6</v>
      </c>
      <c r="H30" s="8">
        <v>0.98</v>
      </c>
      <c r="I30" s="12">
        <v>0</v>
      </c>
    </row>
    <row r="31" spans="2:9" ht="15" customHeight="1" x14ac:dyDescent="0.2">
      <c r="B31" t="s">
        <v>69</v>
      </c>
      <c r="C31" s="12">
        <v>58</v>
      </c>
      <c r="D31" s="8">
        <v>4.7699999999999996</v>
      </c>
      <c r="E31" s="12">
        <v>21</v>
      </c>
      <c r="F31" s="8">
        <v>3.5</v>
      </c>
      <c r="G31" s="12">
        <v>37</v>
      </c>
      <c r="H31" s="8">
        <v>6.04</v>
      </c>
      <c r="I31" s="12">
        <v>0</v>
      </c>
    </row>
    <row r="32" spans="2:9" ht="15" customHeight="1" x14ac:dyDescent="0.2">
      <c r="B32" t="s">
        <v>77</v>
      </c>
      <c r="C32" s="12">
        <v>57</v>
      </c>
      <c r="D32" s="8">
        <v>4.6900000000000004</v>
      </c>
      <c r="E32" s="12">
        <v>26</v>
      </c>
      <c r="F32" s="8">
        <v>4.33</v>
      </c>
      <c r="G32" s="12">
        <v>31</v>
      </c>
      <c r="H32" s="8">
        <v>5.0599999999999996</v>
      </c>
      <c r="I32" s="12">
        <v>0</v>
      </c>
    </row>
    <row r="33" spans="2:9" ht="15" customHeight="1" x14ac:dyDescent="0.2">
      <c r="B33" t="s">
        <v>81</v>
      </c>
      <c r="C33" s="12">
        <v>41</v>
      </c>
      <c r="D33" s="8">
        <v>3.37</v>
      </c>
      <c r="E33" s="12">
        <v>21</v>
      </c>
      <c r="F33" s="8">
        <v>3.5</v>
      </c>
      <c r="G33" s="12">
        <v>19</v>
      </c>
      <c r="H33" s="8">
        <v>3.1</v>
      </c>
      <c r="I33" s="12">
        <v>0</v>
      </c>
    </row>
    <row r="34" spans="2:9" ht="15" customHeight="1" x14ac:dyDescent="0.2">
      <c r="B34" t="s">
        <v>78</v>
      </c>
      <c r="C34" s="12">
        <v>38</v>
      </c>
      <c r="D34" s="8">
        <v>3.13</v>
      </c>
      <c r="E34" s="12">
        <v>4</v>
      </c>
      <c r="F34" s="8">
        <v>0.67</v>
      </c>
      <c r="G34" s="12">
        <v>34</v>
      </c>
      <c r="H34" s="8">
        <v>5.55</v>
      </c>
      <c r="I34" s="12">
        <v>0</v>
      </c>
    </row>
    <row r="35" spans="2:9" ht="15" customHeight="1" x14ac:dyDescent="0.2">
      <c r="B35" t="s">
        <v>70</v>
      </c>
      <c r="C35" s="12">
        <v>37</v>
      </c>
      <c r="D35" s="8">
        <v>3.04</v>
      </c>
      <c r="E35" s="12">
        <v>8</v>
      </c>
      <c r="F35" s="8">
        <v>1.33</v>
      </c>
      <c r="G35" s="12">
        <v>29</v>
      </c>
      <c r="H35" s="8">
        <v>4.7300000000000004</v>
      </c>
      <c r="I35" s="12">
        <v>0</v>
      </c>
    </row>
    <row r="36" spans="2:9" ht="15" customHeight="1" x14ac:dyDescent="0.2">
      <c r="B36" t="s">
        <v>75</v>
      </c>
      <c r="C36" s="12">
        <v>33</v>
      </c>
      <c r="D36" s="8">
        <v>2.71</v>
      </c>
      <c r="E36" s="12">
        <v>18</v>
      </c>
      <c r="F36" s="8">
        <v>3</v>
      </c>
      <c r="G36" s="12">
        <v>15</v>
      </c>
      <c r="H36" s="8">
        <v>2.4500000000000002</v>
      </c>
      <c r="I36" s="12">
        <v>0</v>
      </c>
    </row>
    <row r="37" spans="2:9" ht="15" customHeight="1" x14ac:dyDescent="0.2">
      <c r="B37" t="s">
        <v>74</v>
      </c>
      <c r="C37" s="12">
        <v>29</v>
      </c>
      <c r="D37" s="8">
        <v>2.38</v>
      </c>
      <c r="E37" s="12">
        <v>10</v>
      </c>
      <c r="F37" s="8">
        <v>1.67</v>
      </c>
      <c r="G37" s="12">
        <v>19</v>
      </c>
      <c r="H37" s="8">
        <v>3.1</v>
      </c>
      <c r="I37" s="12">
        <v>0</v>
      </c>
    </row>
    <row r="38" spans="2:9" ht="15" customHeight="1" x14ac:dyDescent="0.2">
      <c r="B38" t="s">
        <v>76</v>
      </c>
      <c r="C38" s="12">
        <v>29</v>
      </c>
      <c r="D38" s="8">
        <v>2.38</v>
      </c>
      <c r="E38" s="12">
        <v>18</v>
      </c>
      <c r="F38" s="8">
        <v>3</v>
      </c>
      <c r="G38" s="12">
        <v>11</v>
      </c>
      <c r="H38" s="8">
        <v>1.79</v>
      </c>
      <c r="I38" s="12">
        <v>0</v>
      </c>
    </row>
    <row r="39" spans="2:9" ht="15" customHeight="1" x14ac:dyDescent="0.2">
      <c r="B39" t="s">
        <v>101</v>
      </c>
      <c r="C39" s="12">
        <v>23</v>
      </c>
      <c r="D39" s="8">
        <v>1.89</v>
      </c>
      <c r="E39" s="12">
        <v>12</v>
      </c>
      <c r="F39" s="8">
        <v>2</v>
      </c>
      <c r="G39" s="12">
        <v>11</v>
      </c>
      <c r="H39" s="8">
        <v>1.79</v>
      </c>
      <c r="I39" s="12">
        <v>0</v>
      </c>
    </row>
    <row r="40" spans="2:9" ht="15" customHeight="1" x14ac:dyDescent="0.2">
      <c r="B40" t="s">
        <v>73</v>
      </c>
      <c r="C40" s="12">
        <v>21</v>
      </c>
      <c r="D40" s="8">
        <v>1.73</v>
      </c>
      <c r="E40" s="12">
        <v>0</v>
      </c>
      <c r="F40" s="8">
        <v>0</v>
      </c>
      <c r="G40" s="12">
        <v>21</v>
      </c>
      <c r="H40" s="8">
        <v>3.43</v>
      </c>
      <c r="I40" s="12">
        <v>0</v>
      </c>
    </row>
    <row r="41" spans="2:9" ht="15" customHeight="1" x14ac:dyDescent="0.2">
      <c r="B41" t="s">
        <v>84</v>
      </c>
      <c r="C41" s="12">
        <v>17</v>
      </c>
      <c r="D41" s="8">
        <v>1.4</v>
      </c>
      <c r="E41" s="12">
        <v>7</v>
      </c>
      <c r="F41" s="8">
        <v>1.17</v>
      </c>
      <c r="G41" s="12">
        <v>10</v>
      </c>
      <c r="H41" s="8">
        <v>1.63</v>
      </c>
      <c r="I41" s="12">
        <v>0</v>
      </c>
    </row>
    <row r="42" spans="2:9" ht="15" customHeight="1" x14ac:dyDescent="0.2">
      <c r="B42" t="s">
        <v>89</v>
      </c>
      <c r="C42" s="12">
        <v>15</v>
      </c>
      <c r="D42" s="8">
        <v>1.23</v>
      </c>
      <c r="E42" s="12">
        <v>4</v>
      </c>
      <c r="F42" s="8">
        <v>0.67</v>
      </c>
      <c r="G42" s="12">
        <v>11</v>
      </c>
      <c r="H42" s="8">
        <v>1.79</v>
      </c>
      <c r="I42" s="12">
        <v>0</v>
      </c>
    </row>
    <row r="43" spans="2:9" ht="15" customHeight="1" x14ac:dyDescent="0.2">
      <c r="B43" t="s">
        <v>88</v>
      </c>
      <c r="C43" s="12">
        <v>14</v>
      </c>
      <c r="D43" s="8">
        <v>1.1499999999999999</v>
      </c>
      <c r="E43" s="12">
        <v>5</v>
      </c>
      <c r="F43" s="8">
        <v>0.83</v>
      </c>
      <c r="G43" s="12">
        <v>9</v>
      </c>
      <c r="H43" s="8">
        <v>1.47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93</v>
      </c>
      <c r="D47" s="8">
        <v>7.65</v>
      </c>
      <c r="E47" s="12">
        <v>74</v>
      </c>
      <c r="F47" s="8">
        <v>12.33</v>
      </c>
      <c r="G47" s="12">
        <v>19</v>
      </c>
      <c r="H47" s="8">
        <v>3.1</v>
      </c>
      <c r="I47" s="12">
        <v>0</v>
      </c>
    </row>
    <row r="48" spans="2:9" ht="15" customHeight="1" x14ac:dyDescent="0.2">
      <c r="B48" t="s">
        <v>135</v>
      </c>
      <c r="C48" s="12">
        <v>82</v>
      </c>
      <c r="D48" s="8">
        <v>6.74</v>
      </c>
      <c r="E48" s="12">
        <v>64</v>
      </c>
      <c r="F48" s="8">
        <v>10.67</v>
      </c>
      <c r="G48" s="12">
        <v>17</v>
      </c>
      <c r="H48" s="8">
        <v>2.77</v>
      </c>
      <c r="I48" s="12">
        <v>1</v>
      </c>
    </row>
    <row r="49" spans="2:9" ht="15" customHeight="1" x14ac:dyDescent="0.2">
      <c r="B49" t="s">
        <v>136</v>
      </c>
      <c r="C49" s="12">
        <v>45</v>
      </c>
      <c r="D49" s="8">
        <v>3.7</v>
      </c>
      <c r="E49" s="12">
        <v>41</v>
      </c>
      <c r="F49" s="8">
        <v>6.83</v>
      </c>
      <c r="G49" s="12">
        <v>4</v>
      </c>
      <c r="H49" s="8">
        <v>0.65</v>
      </c>
      <c r="I49" s="12">
        <v>0</v>
      </c>
    </row>
    <row r="50" spans="2:9" ht="15" customHeight="1" x14ac:dyDescent="0.2">
      <c r="B50" t="s">
        <v>129</v>
      </c>
      <c r="C50" s="12">
        <v>41</v>
      </c>
      <c r="D50" s="8">
        <v>3.37</v>
      </c>
      <c r="E50" s="12">
        <v>7</v>
      </c>
      <c r="F50" s="8">
        <v>1.17</v>
      </c>
      <c r="G50" s="12">
        <v>34</v>
      </c>
      <c r="H50" s="8">
        <v>5.55</v>
      </c>
      <c r="I50" s="12">
        <v>0</v>
      </c>
    </row>
    <row r="51" spans="2:9" ht="15" customHeight="1" x14ac:dyDescent="0.2">
      <c r="B51" t="s">
        <v>133</v>
      </c>
      <c r="C51" s="12">
        <v>36</v>
      </c>
      <c r="D51" s="8">
        <v>2.96</v>
      </c>
      <c r="E51" s="12">
        <v>33</v>
      </c>
      <c r="F51" s="8">
        <v>5.5</v>
      </c>
      <c r="G51" s="12">
        <v>3</v>
      </c>
      <c r="H51" s="8">
        <v>0.49</v>
      </c>
      <c r="I51" s="12">
        <v>0</v>
      </c>
    </row>
    <row r="52" spans="2:9" ht="15" customHeight="1" x14ac:dyDescent="0.2">
      <c r="B52" t="s">
        <v>131</v>
      </c>
      <c r="C52" s="12">
        <v>34</v>
      </c>
      <c r="D52" s="8">
        <v>2.8</v>
      </c>
      <c r="E52" s="12">
        <v>27</v>
      </c>
      <c r="F52" s="8">
        <v>4.5</v>
      </c>
      <c r="G52" s="12">
        <v>7</v>
      </c>
      <c r="H52" s="8">
        <v>1.1399999999999999</v>
      </c>
      <c r="I52" s="12">
        <v>0</v>
      </c>
    </row>
    <row r="53" spans="2:9" ht="15" customHeight="1" x14ac:dyDescent="0.2">
      <c r="B53" t="s">
        <v>119</v>
      </c>
      <c r="C53" s="12">
        <v>26</v>
      </c>
      <c r="D53" s="8">
        <v>2.14</v>
      </c>
      <c r="E53" s="12">
        <v>4</v>
      </c>
      <c r="F53" s="8">
        <v>0.67</v>
      </c>
      <c r="G53" s="12">
        <v>22</v>
      </c>
      <c r="H53" s="8">
        <v>3.59</v>
      </c>
      <c r="I53" s="12">
        <v>0</v>
      </c>
    </row>
    <row r="54" spans="2:9" ht="15" customHeight="1" x14ac:dyDescent="0.2">
      <c r="B54" t="s">
        <v>164</v>
      </c>
      <c r="C54" s="12">
        <v>26</v>
      </c>
      <c r="D54" s="8">
        <v>2.14</v>
      </c>
      <c r="E54" s="12">
        <v>4</v>
      </c>
      <c r="F54" s="8">
        <v>0.67</v>
      </c>
      <c r="G54" s="12">
        <v>22</v>
      </c>
      <c r="H54" s="8">
        <v>3.59</v>
      </c>
      <c r="I54" s="12">
        <v>0</v>
      </c>
    </row>
    <row r="55" spans="2:9" ht="15" customHeight="1" x14ac:dyDescent="0.2">
      <c r="B55" t="s">
        <v>141</v>
      </c>
      <c r="C55" s="12">
        <v>26</v>
      </c>
      <c r="D55" s="8">
        <v>2.14</v>
      </c>
      <c r="E55" s="12">
        <v>21</v>
      </c>
      <c r="F55" s="8">
        <v>3.5</v>
      </c>
      <c r="G55" s="12">
        <v>5</v>
      </c>
      <c r="H55" s="8">
        <v>0.82</v>
      </c>
      <c r="I55" s="12">
        <v>0</v>
      </c>
    </row>
    <row r="56" spans="2:9" ht="15" customHeight="1" x14ac:dyDescent="0.2">
      <c r="B56" t="s">
        <v>132</v>
      </c>
      <c r="C56" s="12">
        <v>25</v>
      </c>
      <c r="D56" s="8">
        <v>2.06</v>
      </c>
      <c r="E56" s="12">
        <v>19</v>
      </c>
      <c r="F56" s="8">
        <v>3.17</v>
      </c>
      <c r="G56" s="12">
        <v>6</v>
      </c>
      <c r="H56" s="8">
        <v>0.98</v>
      </c>
      <c r="I56" s="12">
        <v>0</v>
      </c>
    </row>
    <row r="57" spans="2:9" ht="15" customHeight="1" x14ac:dyDescent="0.2">
      <c r="B57" t="s">
        <v>120</v>
      </c>
      <c r="C57" s="12">
        <v>23</v>
      </c>
      <c r="D57" s="8">
        <v>1.89</v>
      </c>
      <c r="E57" s="12">
        <v>8</v>
      </c>
      <c r="F57" s="8">
        <v>1.33</v>
      </c>
      <c r="G57" s="12">
        <v>15</v>
      </c>
      <c r="H57" s="8">
        <v>2.4500000000000002</v>
      </c>
      <c r="I57" s="12">
        <v>0</v>
      </c>
    </row>
    <row r="58" spans="2:9" ht="15" customHeight="1" x14ac:dyDescent="0.2">
      <c r="B58" t="s">
        <v>127</v>
      </c>
      <c r="C58" s="12">
        <v>22</v>
      </c>
      <c r="D58" s="8">
        <v>1.81</v>
      </c>
      <c r="E58" s="12">
        <v>14</v>
      </c>
      <c r="F58" s="8">
        <v>2.33</v>
      </c>
      <c r="G58" s="12">
        <v>8</v>
      </c>
      <c r="H58" s="8">
        <v>1.31</v>
      </c>
      <c r="I58" s="12">
        <v>0</v>
      </c>
    </row>
    <row r="59" spans="2:9" ht="15" customHeight="1" x14ac:dyDescent="0.2">
      <c r="B59" t="s">
        <v>128</v>
      </c>
      <c r="C59" s="12">
        <v>22</v>
      </c>
      <c r="D59" s="8">
        <v>1.81</v>
      </c>
      <c r="E59" s="12">
        <v>3</v>
      </c>
      <c r="F59" s="8">
        <v>0.5</v>
      </c>
      <c r="G59" s="12">
        <v>19</v>
      </c>
      <c r="H59" s="8">
        <v>3.1</v>
      </c>
      <c r="I59" s="12">
        <v>0</v>
      </c>
    </row>
    <row r="60" spans="2:9" ht="15" customHeight="1" x14ac:dyDescent="0.2">
      <c r="B60" t="s">
        <v>130</v>
      </c>
      <c r="C60" s="12">
        <v>22</v>
      </c>
      <c r="D60" s="8">
        <v>1.81</v>
      </c>
      <c r="E60" s="12">
        <v>11</v>
      </c>
      <c r="F60" s="8">
        <v>1.83</v>
      </c>
      <c r="G60" s="12">
        <v>10</v>
      </c>
      <c r="H60" s="8">
        <v>1.63</v>
      </c>
      <c r="I60" s="12">
        <v>0</v>
      </c>
    </row>
    <row r="61" spans="2:9" ht="15" customHeight="1" x14ac:dyDescent="0.2">
      <c r="B61" t="s">
        <v>163</v>
      </c>
      <c r="C61" s="12">
        <v>21</v>
      </c>
      <c r="D61" s="8">
        <v>1.73</v>
      </c>
      <c r="E61" s="12">
        <v>12</v>
      </c>
      <c r="F61" s="8">
        <v>2</v>
      </c>
      <c r="G61" s="12">
        <v>9</v>
      </c>
      <c r="H61" s="8">
        <v>1.47</v>
      </c>
      <c r="I61" s="12">
        <v>0</v>
      </c>
    </row>
    <row r="62" spans="2:9" ht="15" customHeight="1" x14ac:dyDescent="0.2">
      <c r="B62" t="s">
        <v>118</v>
      </c>
      <c r="C62" s="12">
        <v>20</v>
      </c>
      <c r="D62" s="8">
        <v>1.64</v>
      </c>
      <c r="E62" s="12">
        <v>4</v>
      </c>
      <c r="F62" s="8">
        <v>0.67</v>
      </c>
      <c r="G62" s="12">
        <v>16</v>
      </c>
      <c r="H62" s="8">
        <v>2.61</v>
      </c>
      <c r="I62" s="12">
        <v>0</v>
      </c>
    </row>
    <row r="63" spans="2:9" ht="15" customHeight="1" x14ac:dyDescent="0.2">
      <c r="B63" t="s">
        <v>124</v>
      </c>
      <c r="C63" s="12">
        <v>19</v>
      </c>
      <c r="D63" s="8">
        <v>1.56</v>
      </c>
      <c r="E63" s="12">
        <v>13</v>
      </c>
      <c r="F63" s="8">
        <v>2.17</v>
      </c>
      <c r="G63" s="12">
        <v>6</v>
      </c>
      <c r="H63" s="8">
        <v>0.98</v>
      </c>
      <c r="I63" s="12">
        <v>0</v>
      </c>
    </row>
    <row r="64" spans="2:9" ht="15" customHeight="1" x14ac:dyDescent="0.2">
      <c r="B64" t="s">
        <v>121</v>
      </c>
      <c r="C64" s="12">
        <v>18</v>
      </c>
      <c r="D64" s="8">
        <v>1.48</v>
      </c>
      <c r="E64" s="12">
        <v>5</v>
      </c>
      <c r="F64" s="8">
        <v>0.83</v>
      </c>
      <c r="G64" s="12">
        <v>13</v>
      </c>
      <c r="H64" s="8">
        <v>2.12</v>
      </c>
      <c r="I64" s="12">
        <v>0</v>
      </c>
    </row>
    <row r="65" spans="2:9" ht="15" customHeight="1" x14ac:dyDescent="0.2">
      <c r="B65" t="s">
        <v>146</v>
      </c>
      <c r="C65" s="12">
        <v>15</v>
      </c>
      <c r="D65" s="8">
        <v>1.23</v>
      </c>
      <c r="E65" s="12">
        <v>5</v>
      </c>
      <c r="F65" s="8">
        <v>0.83</v>
      </c>
      <c r="G65" s="12">
        <v>10</v>
      </c>
      <c r="H65" s="8">
        <v>1.63</v>
      </c>
      <c r="I65" s="12">
        <v>0</v>
      </c>
    </row>
    <row r="66" spans="2:9" ht="15" customHeight="1" x14ac:dyDescent="0.2">
      <c r="B66" t="s">
        <v>122</v>
      </c>
      <c r="C66" s="12">
        <v>15</v>
      </c>
      <c r="D66" s="8">
        <v>1.23</v>
      </c>
      <c r="E66" s="12">
        <v>3</v>
      </c>
      <c r="F66" s="8">
        <v>0.5</v>
      </c>
      <c r="G66" s="12">
        <v>12</v>
      </c>
      <c r="H66" s="8">
        <v>1.96</v>
      </c>
      <c r="I66" s="12">
        <v>0</v>
      </c>
    </row>
    <row r="67" spans="2:9" ht="15" customHeight="1" x14ac:dyDescent="0.2">
      <c r="B67" t="s">
        <v>154</v>
      </c>
      <c r="C67" s="12">
        <v>15</v>
      </c>
      <c r="D67" s="8">
        <v>1.23</v>
      </c>
      <c r="E67" s="12">
        <v>5</v>
      </c>
      <c r="F67" s="8">
        <v>0.83</v>
      </c>
      <c r="G67" s="12">
        <v>10</v>
      </c>
      <c r="H67" s="8">
        <v>1.63</v>
      </c>
      <c r="I67" s="12">
        <v>0</v>
      </c>
    </row>
    <row r="68" spans="2:9" ht="15" customHeight="1" x14ac:dyDescent="0.2">
      <c r="B68" t="s">
        <v>125</v>
      </c>
      <c r="C68" s="12">
        <v>15</v>
      </c>
      <c r="D68" s="8">
        <v>1.23</v>
      </c>
      <c r="E68" s="12">
        <v>5</v>
      </c>
      <c r="F68" s="8">
        <v>0.83</v>
      </c>
      <c r="G68" s="12">
        <v>10</v>
      </c>
      <c r="H68" s="8">
        <v>1.63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AD1F-A96B-4116-8464-FC3D444F51C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3</v>
      </c>
      <c r="D5" s="8">
        <v>0.31</v>
      </c>
      <c r="E5" s="12">
        <v>0</v>
      </c>
      <c r="F5" s="8">
        <v>0</v>
      </c>
      <c r="G5" s="12">
        <v>3</v>
      </c>
      <c r="H5" s="8">
        <v>0.93</v>
      </c>
      <c r="I5" s="12">
        <v>0</v>
      </c>
    </row>
    <row r="6" spans="2:9" ht="15" customHeight="1" x14ac:dyDescent="0.2">
      <c r="B6" t="s">
        <v>46</v>
      </c>
      <c r="C6" s="12">
        <v>213</v>
      </c>
      <c r="D6" s="8">
        <v>22.05</v>
      </c>
      <c r="E6" s="12">
        <v>125</v>
      </c>
      <c r="F6" s="8">
        <v>19.649999999999999</v>
      </c>
      <c r="G6" s="12">
        <v>88</v>
      </c>
      <c r="H6" s="8">
        <v>27.41</v>
      </c>
      <c r="I6" s="12">
        <v>0</v>
      </c>
    </row>
    <row r="7" spans="2:9" ht="15" customHeight="1" x14ac:dyDescent="0.2">
      <c r="B7" t="s">
        <v>47</v>
      </c>
      <c r="C7" s="12">
        <v>111</v>
      </c>
      <c r="D7" s="8">
        <v>11.49</v>
      </c>
      <c r="E7" s="12">
        <v>58</v>
      </c>
      <c r="F7" s="8">
        <v>9.1199999999999992</v>
      </c>
      <c r="G7" s="12">
        <v>53</v>
      </c>
      <c r="H7" s="8">
        <v>16.510000000000002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0.31</v>
      </c>
      <c r="I8" s="12">
        <v>0</v>
      </c>
    </row>
    <row r="9" spans="2:9" ht="15" customHeight="1" x14ac:dyDescent="0.2">
      <c r="B9" t="s">
        <v>49</v>
      </c>
      <c r="C9" s="12">
        <v>6</v>
      </c>
      <c r="D9" s="8">
        <v>0.62</v>
      </c>
      <c r="E9" s="12">
        <v>0</v>
      </c>
      <c r="F9" s="8">
        <v>0</v>
      </c>
      <c r="G9" s="12">
        <v>6</v>
      </c>
      <c r="H9" s="8">
        <v>1.87</v>
      </c>
      <c r="I9" s="12">
        <v>0</v>
      </c>
    </row>
    <row r="10" spans="2:9" ht="15" customHeight="1" x14ac:dyDescent="0.2">
      <c r="B10" t="s">
        <v>50</v>
      </c>
      <c r="C10" s="12">
        <v>6</v>
      </c>
      <c r="D10" s="8">
        <v>0.62</v>
      </c>
      <c r="E10" s="12">
        <v>3</v>
      </c>
      <c r="F10" s="8">
        <v>0.47</v>
      </c>
      <c r="G10" s="12">
        <v>3</v>
      </c>
      <c r="H10" s="8">
        <v>0.93</v>
      </c>
      <c r="I10" s="12">
        <v>0</v>
      </c>
    </row>
    <row r="11" spans="2:9" ht="15" customHeight="1" x14ac:dyDescent="0.2">
      <c r="B11" t="s">
        <v>51</v>
      </c>
      <c r="C11" s="12">
        <v>242</v>
      </c>
      <c r="D11" s="8">
        <v>25.05</v>
      </c>
      <c r="E11" s="12">
        <v>163</v>
      </c>
      <c r="F11" s="8">
        <v>25.63</v>
      </c>
      <c r="G11" s="12">
        <v>78</v>
      </c>
      <c r="H11" s="8">
        <v>24.3</v>
      </c>
      <c r="I11" s="12">
        <v>1</v>
      </c>
    </row>
    <row r="12" spans="2:9" ht="15" customHeight="1" x14ac:dyDescent="0.2">
      <c r="B12" t="s">
        <v>52</v>
      </c>
      <c r="C12" s="12">
        <v>3</v>
      </c>
      <c r="D12" s="8">
        <v>0.31</v>
      </c>
      <c r="E12" s="12">
        <v>1</v>
      </c>
      <c r="F12" s="8">
        <v>0.16</v>
      </c>
      <c r="G12" s="12">
        <v>2</v>
      </c>
      <c r="H12" s="8">
        <v>0.62</v>
      </c>
      <c r="I12" s="12">
        <v>0</v>
      </c>
    </row>
    <row r="13" spans="2:9" ht="15" customHeight="1" x14ac:dyDescent="0.2">
      <c r="B13" t="s">
        <v>53</v>
      </c>
      <c r="C13" s="12">
        <v>43</v>
      </c>
      <c r="D13" s="8">
        <v>4.45</v>
      </c>
      <c r="E13" s="12">
        <v>26</v>
      </c>
      <c r="F13" s="8">
        <v>4.09</v>
      </c>
      <c r="G13" s="12">
        <v>17</v>
      </c>
      <c r="H13" s="8">
        <v>5.3</v>
      </c>
      <c r="I13" s="12">
        <v>0</v>
      </c>
    </row>
    <row r="14" spans="2:9" ht="15" customHeight="1" x14ac:dyDescent="0.2">
      <c r="B14" t="s">
        <v>54</v>
      </c>
      <c r="C14" s="12">
        <v>30</v>
      </c>
      <c r="D14" s="8">
        <v>3.11</v>
      </c>
      <c r="E14" s="12">
        <v>17</v>
      </c>
      <c r="F14" s="8">
        <v>2.67</v>
      </c>
      <c r="G14" s="12">
        <v>12</v>
      </c>
      <c r="H14" s="8">
        <v>3.74</v>
      </c>
      <c r="I14" s="12">
        <v>0</v>
      </c>
    </row>
    <row r="15" spans="2:9" ht="15" customHeight="1" x14ac:dyDescent="0.2">
      <c r="B15" t="s">
        <v>55</v>
      </c>
      <c r="C15" s="12">
        <v>80</v>
      </c>
      <c r="D15" s="8">
        <v>8.2799999999999994</v>
      </c>
      <c r="E15" s="12">
        <v>67</v>
      </c>
      <c r="F15" s="8">
        <v>10.53</v>
      </c>
      <c r="G15" s="12">
        <v>12</v>
      </c>
      <c r="H15" s="8">
        <v>3.74</v>
      </c>
      <c r="I15" s="12">
        <v>0</v>
      </c>
    </row>
    <row r="16" spans="2:9" ht="15" customHeight="1" x14ac:dyDescent="0.2">
      <c r="B16" t="s">
        <v>56</v>
      </c>
      <c r="C16" s="12">
        <v>129</v>
      </c>
      <c r="D16" s="8">
        <v>13.35</v>
      </c>
      <c r="E16" s="12">
        <v>113</v>
      </c>
      <c r="F16" s="8">
        <v>17.77</v>
      </c>
      <c r="G16" s="12">
        <v>16</v>
      </c>
      <c r="H16" s="8">
        <v>4.9800000000000004</v>
      </c>
      <c r="I16" s="12">
        <v>0</v>
      </c>
    </row>
    <row r="17" spans="2:9" ht="15" customHeight="1" x14ac:dyDescent="0.2">
      <c r="B17" t="s">
        <v>57</v>
      </c>
      <c r="C17" s="12">
        <v>20</v>
      </c>
      <c r="D17" s="8">
        <v>2.0699999999999998</v>
      </c>
      <c r="E17" s="12">
        <v>10</v>
      </c>
      <c r="F17" s="8">
        <v>1.57</v>
      </c>
      <c r="G17" s="12">
        <v>7</v>
      </c>
      <c r="H17" s="8">
        <v>2.1800000000000002</v>
      </c>
      <c r="I17" s="12">
        <v>0</v>
      </c>
    </row>
    <row r="18" spans="2:9" ht="15" customHeight="1" x14ac:dyDescent="0.2">
      <c r="B18" t="s">
        <v>58</v>
      </c>
      <c r="C18" s="12">
        <v>37</v>
      </c>
      <c r="D18" s="8">
        <v>3.83</v>
      </c>
      <c r="E18" s="12">
        <v>24</v>
      </c>
      <c r="F18" s="8">
        <v>3.77</v>
      </c>
      <c r="G18" s="12">
        <v>11</v>
      </c>
      <c r="H18" s="8">
        <v>3.43</v>
      </c>
      <c r="I18" s="12">
        <v>0</v>
      </c>
    </row>
    <row r="19" spans="2:9" ht="15" customHeight="1" x14ac:dyDescent="0.2">
      <c r="B19" t="s">
        <v>59</v>
      </c>
      <c r="C19" s="12">
        <v>42</v>
      </c>
      <c r="D19" s="8">
        <v>4.3499999999999996</v>
      </c>
      <c r="E19" s="12">
        <v>29</v>
      </c>
      <c r="F19" s="8">
        <v>4.5599999999999996</v>
      </c>
      <c r="G19" s="12">
        <v>12</v>
      </c>
      <c r="H19" s="8">
        <v>3.74</v>
      </c>
      <c r="I19" s="12">
        <v>0</v>
      </c>
    </row>
    <row r="20" spans="2:9" ht="15" customHeight="1" x14ac:dyDescent="0.2">
      <c r="B20" s="9" t="s">
        <v>195</v>
      </c>
      <c r="C20" s="12">
        <f>SUM(LTBL_08225[総数／事業所数])</f>
        <v>966</v>
      </c>
      <c r="E20" s="12">
        <f>SUBTOTAL(109,LTBL_08225[個人／事業所数])</f>
        <v>636</v>
      </c>
      <c r="G20" s="12">
        <f>SUBTOTAL(109,LTBL_08225[法人／事業所数])</f>
        <v>321</v>
      </c>
      <c r="I20" s="12">
        <f>SUBTOTAL(109,LTBL_08225[法人以外の団体／事業所数])</f>
        <v>1</v>
      </c>
    </row>
    <row r="21" spans="2:9" ht="15" customHeight="1" x14ac:dyDescent="0.2">
      <c r="E21" s="11">
        <f>LTBL_08225[[#Totals],[個人／事業所数]]/LTBL_08225[[#Totals],[総数／事業所数]]</f>
        <v>0.65838509316770188</v>
      </c>
      <c r="G21" s="11">
        <f>LTBL_08225[[#Totals],[法人／事業所数]]/LTBL_08225[[#Totals],[総数／事業所数]]</f>
        <v>0.33229813664596275</v>
      </c>
      <c r="I21" s="11">
        <f>LTBL_08225[[#Totals],[法人以外の団体／事業所数]]/LTBL_08225[[#Totals],[総数／事業所数]]</f>
        <v>1.0351966873706005E-3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106</v>
      </c>
      <c r="D24" s="8">
        <v>10.97</v>
      </c>
      <c r="E24" s="12">
        <v>101</v>
      </c>
      <c r="F24" s="8">
        <v>15.88</v>
      </c>
      <c r="G24" s="12">
        <v>5</v>
      </c>
      <c r="H24" s="8">
        <v>1.56</v>
      </c>
      <c r="I24" s="12">
        <v>0</v>
      </c>
    </row>
    <row r="25" spans="2:9" ht="15" customHeight="1" x14ac:dyDescent="0.2">
      <c r="B25" t="s">
        <v>68</v>
      </c>
      <c r="C25" s="12">
        <v>103</v>
      </c>
      <c r="D25" s="8">
        <v>10.66</v>
      </c>
      <c r="E25" s="12">
        <v>53</v>
      </c>
      <c r="F25" s="8">
        <v>8.33</v>
      </c>
      <c r="G25" s="12">
        <v>50</v>
      </c>
      <c r="H25" s="8">
        <v>15.58</v>
      </c>
      <c r="I25" s="12">
        <v>0</v>
      </c>
    </row>
    <row r="26" spans="2:9" ht="15" customHeight="1" x14ac:dyDescent="0.2">
      <c r="B26" t="s">
        <v>77</v>
      </c>
      <c r="C26" s="12">
        <v>73</v>
      </c>
      <c r="D26" s="8">
        <v>7.56</v>
      </c>
      <c r="E26" s="12">
        <v>42</v>
      </c>
      <c r="F26" s="8">
        <v>6.6</v>
      </c>
      <c r="G26" s="12">
        <v>31</v>
      </c>
      <c r="H26" s="8">
        <v>9.66</v>
      </c>
      <c r="I26" s="12">
        <v>0</v>
      </c>
    </row>
    <row r="27" spans="2:9" ht="15" customHeight="1" x14ac:dyDescent="0.2">
      <c r="B27" t="s">
        <v>75</v>
      </c>
      <c r="C27" s="12">
        <v>72</v>
      </c>
      <c r="D27" s="8">
        <v>7.45</v>
      </c>
      <c r="E27" s="12">
        <v>67</v>
      </c>
      <c r="F27" s="8">
        <v>10.53</v>
      </c>
      <c r="G27" s="12">
        <v>4</v>
      </c>
      <c r="H27" s="8">
        <v>1.25</v>
      </c>
      <c r="I27" s="12">
        <v>1</v>
      </c>
    </row>
    <row r="28" spans="2:9" ht="15" customHeight="1" x14ac:dyDescent="0.2">
      <c r="B28" t="s">
        <v>82</v>
      </c>
      <c r="C28" s="12">
        <v>68</v>
      </c>
      <c r="D28" s="8">
        <v>7.04</v>
      </c>
      <c r="E28" s="12">
        <v>61</v>
      </c>
      <c r="F28" s="8">
        <v>9.59</v>
      </c>
      <c r="G28" s="12">
        <v>7</v>
      </c>
      <c r="H28" s="8">
        <v>2.1800000000000002</v>
      </c>
      <c r="I28" s="12">
        <v>0</v>
      </c>
    </row>
    <row r="29" spans="2:9" ht="15" customHeight="1" x14ac:dyDescent="0.2">
      <c r="B29" t="s">
        <v>69</v>
      </c>
      <c r="C29" s="12">
        <v>61</v>
      </c>
      <c r="D29" s="8">
        <v>6.31</v>
      </c>
      <c r="E29" s="12">
        <v>44</v>
      </c>
      <c r="F29" s="8">
        <v>6.92</v>
      </c>
      <c r="G29" s="12">
        <v>17</v>
      </c>
      <c r="H29" s="8">
        <v>5.3</v>
      </c>
      <c r="I29" s="12">
        <v>0</v>
      </c>
    </row>
    <row r="30" spans="2:9" ht="15" customHeight="1" x14ac:dyDescent="0.2">
      <c r="B30" t="s">
        <v>70</v>
      </c>
      <c r="C30" s="12">
        <v>49</v>
      </c>
      <c r="D30" s="8">
        <v>5.07</v>
      </c>
      <c r="E30" s="12">
        <v>28</v>
      </c>
      <c r="F30" s="8">
        <v>4.4000000000000004</v>
      </c>
      <c r="G30" s="12">
        <v>21</v>
      </c>
      <c r="H30" s="8">
        <v>6.54</v>
      </c>
      <c r="I30" s="12">
        <v>0</v>
      </c>
    </row>
    <row r="31" spans="2:9" ht="15" customHeight="1" x14ac:dyDescent="0.2">
      <c r="B31" t="s">
        <v>76</v>
      </c>
      <c r="C31" s="12">
        <v>39</v>
      </c>
      <c r="D31" s="8">
        <v>4.04</v>
      </c>
      <c r="E31" s="12">
        <v>31</v>
      </c>
      <c r="F31" s="8">
        <v>4.87</v>
      </c>
      <c r="G31" s="12">
        <v>8</v>
      </c>
      <c r="H31" s="8">
        <v>2.4900000000000002</v>
      </c>
      <c r="I31" s="12">
        <v>0</v>
      </c>
    </row>
    <row r="32" spans="2:9" ht="15" customHeight="1" x14ac:dyDescent="0.2">
      <c r="B32" t="s">
        <v>79</v>
      </c>
      <c r="C32" s="12">
        <v>37</v>
      </c>
      <c r="D32" s="8">
        <v>3.83</v>
      </c>
      <c r="E32" s="12">
        <v>23</v>
      </c>
      <c r="F32" s="8">
        <v>3.62</v>
      </c>
      <c r="G32" s="12">
        <v>14</v>
      </c>
      <c r="H32" s="8">
        <v>4.3600000000000003</v>
      </c>
      <c r="I32" s="12">
        <v>0</v>
      </c>
    </row>
    <row r="33" spans="2:9" ht="15" customHeight="1" x14ac:dyDescent="0.2">
      <c r="B33" t="s">
        <v>87</v>
      </c>
      <c r="C33" s="12">
        <v>28</v>
      </c>
      <c r="D33" s="8">
        <v>2.9</v>
      </c>
      <c r="E33" s="12">
        <v>25</v>
      </c>
      <c r="F33" s="8">
        <v>3.93</v>
      </c>
      <c r="G33" s="12">
        <v>3</v>
      </c>
      <c r="H33" s="8">
        <v>0.93</v>
      </c>
      <c r="I33" s="12">
        <v>0</v>
      </c>
    </row>
    <row r="34" spans="2:9" ht="15" customHeight="1" x14ac:dyDescent="0.2">
      <c r="B34" t="s">
        <v>86</v>
      </c>
      <c r="C34" s="12">
        <v>27</v>
      </c>
      <c r="D34" s="8">
        <v>2.8</v>
      </c>
      <c r="E34" s="12">
        <v>24</v>
      </c>
      <c r="F34" s="8">
        <v>3.77</v>
      </c>
      <c r="G34" s="12">
        <v>2</v>
      </c>
      <c r="H34" s="8">
        <v>0.62</v>
      </c>
      <c r="I34" s="12">
        <v>0</v>
      </c>
    </row>
    <row r="35" spans="2:9" ht="15" customHeight="1" x14ac:dyDescent="0.2">
      <c r="B35" t="s">
        <v>74</v>
      </c>
      <c r="C35" s="12">
        <v>20</v>
      </c>
      <c r="D35" s="8">
        <v>2.0699999999999998</v>
      </c>
      <c r="E35" s="12">
        <v>12</v>
      </c>
      <c r="F35" s="8">
        <v>1.89</v>
      </c>
      <c r="G35" s="12">
        <v>8</v>
      </c>
      <c r="H35" s="8">
        <v>2.4900000000000002</v>
      </c>
      <c r="I35" s="12">
        <v>0</v>
      </c>
    </row>
    <row r="36" spans="2:9" ht="15" customHeight="1" x14ac:dyDescent="0.2">
      <c r="B36" t="s">
        <v>85</v>
      </c>
      <c r="C36" s="12">
        <v>20</v>
      </c>
      <c r="D36" s="8">
        <v>2.0699999999999998</v>
      </c>
      <c r="E36" s="12">
        <v>10</v>
      </c>
      <c r="F36" s="8">
        <v>1.57</v>
      </c>
      <c r="G36" s="12">
        <v>7</v>
      </c>
      <c r="H36" s="8">
        <v>2.1800000000000002</v>
      </c>
      <c r="I36" s="12">
        <v>0</v>
      </c>
    </row>
    <row r="37" spans="2:9" ht="15" customHeight="1" x14ac:dyDescent="0.2">
      <c r="B37" t="s">
        <v>81</v>
      </c>
      <c r="C37" s="12">
        <v>18</v>
      </c>
      <c r="D37" s="8">
        <v>1.86</v>
      </c>
      <c r="E37" s="12">
        <v>7</v>
      </c>
      <c r="F37" s="8">
        <v>1.1000000000000001</v>
      </c>
      <c r="G37" s="12">
        <v>10</v>
      </c>
      <c r="H37" s="8">
        <v>3.12</v>
      </c>
      <c r="I37" s="12">
        <v>0</v>
      </c>
    </row>
    <row r="38" spans="2:9" ht="15" customHeight="1" x14ac:dyDescent="0.2">
      <c r="B38" t="s">
        <v>91</v>
      </c>
      <c r="C38" s="12">
        <v>13</v>
      </c>
      <c r="D38" s="8">
        <v>1.35</v>
      </c>
      <c r="E38" s="12">
        <v>6</v>
      </c>
      <c r="F38" s="8">
        <v>0.94</v>
      </c>
      <c r="G38" s="12">
        <v>7</v>
      </c>
      <c r="H38" s="8">
        <v>2.1800000000000002</v>
      </c>
      <c r="I38" s="12">
        <v>0</v>
      </c>
    </row>
    <row r="39" spans="2:9" ht="15" customHeight="1" x14ac:dyDescent="0.2">
      <c r="B39" t="s">
        <v>84</v>
      </c>
      <c r="C39" s="12">
        <v>13</v>
      </c>
      <c r="D39" s="8">
        <v>1.35</v>
      </c>
      <c r="E39" s="12">
        <v>7</v>
      </c>
      <c r="F39" s="8">
        <v>1.1000000000000001</v>
      </c>
      <c r="G39" s="12">
        <v>6</v>
      </c>
      <c r="H39" s="8">
        <v>1.87</v>
      </c>
      <c r="I39" s="12">
        <v>0</v>
      </c>
    </row>
    <row r="40" spans="2:9" ht="15" customHeight="1" x14ac:dyDescent="0.2">
      <c r="B40" t="s">
        <v>72</v>
      </c>
      <c r="C40" s="12">
        <v>11</v>
      </c>
      <c r="D40" s="8">
        <v>1.1399999999999999</v>
      </c>
      <c r="E40" s="12">
        <v>3</v>
      </c>
      <c r="F40" s="8">
        <v>0.47</v>
      </c>
      <c r="G40" s="12">
        <v>8</v>
      </c>
      <c r="H40" s="8">
        <v>2.4900000000000002</v>
      </c>
      <c r="I40" s="12">
        <v>0</v>
      </c>
    </row>
    <row r="41" spans="2:9" ht="15" customHeight="1" x14ac:dyDescent="0.2">
      <c r="B41" t="s">
        <v>73</v>
      </c>
      <c r="C41" s="12">
        <v>11</v>
      </c>
      <c r="D41" s="8">
        <v>1.1399999999999999</v>
      </c>
      <c r="E41" s="12">
        <v>4</v>
      </c>
      <c r="F41" s="8">
        <v>0.63</v>
      </c>
      <c r="G41" s="12">
        <v>7</v>
      </c>
      <c r="H41" s="8">
        <v>2.1800000000000002</v>
      </c>
      <c r="I41" s="12">
        <v>0</v>
      </c>
    </row>
    <row r="42" spans="2:9" ht="15" customHeight="1" x14ac:dyDescent="0.2">
      <c r="B42" t="s">
        <v>80</v>
      </c>
      <c r="C42" s="12">
        <v>11</v>
      </c>
      <c r="D42" s="8">
        <v>1.1399999999999999</v>
      </c>
      <c r="E42" s="12">
        <v>10</v>
      </c>
      <c r="F42" s="8">
        <v>1.57</v>
      </c>
      <c r="G42" s="12">
        <v>1</v>
      </c>
      <c r="H42" s="8">
        <v>0.31</v>
      </c>
      <c r="I42" s="12">
        <v>0</v>
      </c>
    </row>
    <row r="43" spans="2:9" ht="15" customHeight="1" x14ac:dyDescent="0.2">
      <c r="B43" t="s">
        <v>71</v>
      </c>
      <c r="C43" s="12">
        <v>10</v>
      </c>
      <c r="D43" s="8">
        <v>1.04</v>
      </c>
      <c r="E43" s="12">
        <v>4</v>
      </c>
      <c r="F43" s="8">
        <v>0.63</v>
      </c>
      <c r="G43" s="12">
        <v>6</v>
      </c>
      <c r="H43" s="8">
        <v>1.87</v>
      </c>
      <c r="I43" s="12">
        <v>0</v>
      </c>
    </row>
    <row r="44" spans="2:9" ht="15" customHeight="1" x14ac:dyDescent="0.2">
      <c r="B44" t="s">
        <v>104</v>
      </c>
      <c r="C44" s="12">
        <v>10</v>
      </c>
      <c r="D44" s="8">
        <v>1.04</v>
      </c>
      <c r="E44" s="12">
        <v>6</v>
      </c>
      <c r="F44" s="8">
        <v>0.94</v>
      </c>
      <c r="G44" s="12">
        <v>4</v>
      </c>
      <c r="H44" s="8">
        <v>1.25</v>
      </c>
      <c r="I44" s="12">
        <v>0</v>
      </c>
    </row>
    <row r="45" spans="2:9" ht="15" customHeight="1" x14ac:dyDescent="0.2">
      <c r="B45" t="s">
        <v>100</v>
      </c>
      <c r="C45" s="12">
        <v>10</v>
      </c>
      <c r="D45" s="8">
        <v>1.04</v>
      </c>
      <c r="E45" s="12">
        <v>5</v>
      </c>
      <c r="F45" s="8">
        <v>0.79</v>
      </c>
      <c r="G45" s="12">
        <v>5</v>
      </c>
      <c r="H45" s="8">
        <v>1.56</v>
      </c>
      <c r="I45" s="12">
        <v>0</v>
      </c>
    </row>
    <row r="46" spans="2:9" ht="15" customHeight="1" x14ac:dyDescent="0.2">
      <c r="B46" t="s">
        <v>96</v>
      </c>
      <c r="C46" s="12">
        <v>10</v>
      </c>
      <c r="D46" s="8">
        <v>1.04</v>
      </c>
      <c r="E46" s="12">
        <v>0</v>
      </c>
      <c r="F46" s="8">
        <v>0</v>
      </c>
      <c r="G46" s="12">
        <v>9</v>
      </c>
      <c r="H46" s="8">
        <v>2.8</v>
      </c>
      <c r="I46" s="12">
        <v>0</v>
      </c>
    </row>
    <row r="49" spans="2:9" ht="33" customHeight="1" x14ac:dyDescent="0.2">
      <c r="B49" t="s">
        <v>197</v>
      </c>
      <c r="C49" s="10" t="s">
        <v>61</v>
      </c>
      <c r="D49" s="10" t="s">
        <v>62</v>
      </c>
      <c r="E49" s="10" t="s">
        <v>63</v>
      </c>
      <c r="F49" s="10" t="s">
        <v>64</v>
      </c>
      <c r="G49" s="10" t="s">
        <v>65</v>
      </c>
      <c r="H49" s="10" t="s">
        <v>66</v>
      </c>
      <c r="I49" s="10" t="s">
        <v>67</v>
      </c>
    </row>
    <row r="50" spans="2:9" ht="15" customHeight="1" x14ac:dyDescent="0.2">
      <c r="B50" t="s">
        <v>133</v>
      </c>
      <c r="C50" s="12">
        <v>49</v>
      </c>
      <c r="D50" s="8">
        <v>5.07</v>
      </c>
      <c r="E50" s="12">
        <v>47</v>
      </c>
      <c r="F50" s="8">
        <v>7.39</v>
      </c>
      <c r="G50" s="12">
        <v>2</v>
      </c>
      <c r="H50" s="8">
        <v>0.62</v>
      </c>
      <c r="I50" s="12">
        <v>0</v>
      </c>
    </row>
    <row r="51" spans="2:9" ht="15" customHeight="1" x14ac:dyDescent="0.2">
      <c r="B51" t="s">
        <v>134</v>
      </c>
      <c r="C51" s="12">
        <v>48</v>
      </c>
      <c r="D51" s="8">
        <v>4.97</v>
      </c>
      <c r="E51" s="12">
        <v>47</v>
      </c>
      <c r="F51" s="8">
        <v>7.39</v>
      </c>
      <c r="G51" s="12">
        <v>1</v>
      </c>
      <c r="H51" s="8">
        <v>0.31</v>
      </c>
      <c r="I51" s="12">
        <v>0</v>
      </c>
    </row>
    <row r="52" spans="2:9" ht="15" customHeight="1" x14ac:dyDescent="0.2">
      <c r="B52" t="s">
        <v>118</v>
      </c>
      <c r="C52" s="12">
        <v>40</v>
      </c>
      <c r="D52" s="8">
        <v>4.1399999999999997</v>
      </c>
      <c r="E52" s="12">
        <v>9</v>
      </c>
      <c r="F52" s="8">
        <v>1.42</v>
      </c>
      <c r="G52" s="12">
        <v>31</v>
      </c>
      <c r="H52" s="8">
        <v>9.66</v>
      </c>
      <c r="I52" s="12">
        <v>0</v>
      </c>
    </row>
    <row r="53" spans="2:9" ht="15" customHeight="1" x14ac:dyDescent="0.2">
      <c r="B53" t="s">
        <v>120</v>
      </c>
      <c r="C53" s="12">
        <v>38</v>
      </c>
      <c r="D53" s="8">
        <v>3.93</v>
      </c>
      <c r="E53" s="12">
        <v>30</v>
      </c>
      <c r="F53" s="8">
        <v>4.72</v>
      </c>
      <c r="G53" s="12">
        <v>8</v>
      </c>
      <c r="H53" s="8">
        <v>2.4900000000000002</v>
      </c>
      <c r="I53" s="12">
        <v>0</v>
      </c>
    </row>
    <row r="54" spans="2:9" ht="15" customHeight="1" x14ac:dyDescent="0.2">
      <c r="B54" t="s">
        <v>137</v>
      </c>
      <c r="C54" s="12">
        <v>28</v>
      </c>
      <c r="D54" s="8">
        <v>2.9</v>
      </c>
      <c r="E54" s="12">
        <v>25</v>
      </c>
      <c r="F54" s="8">
        <v>3.93</v>
      </c>
      <c r="G54" s="12">
        <v>3</v>
      </c>
      <c r="H54" s="8">
        <v>0.93</v>
      </c>
      <c r="I54" s="12">
        <v>0</v>
      </c>
    </row>
    <row r="55" spans="2:9" ht="15" customHeight="1" x14ac:dyDescent="0.2">
      <c r="B55" t="s">
        <v>124</v>
      </c>
      <c r="C55" s="12">
        <v>27</v>
      </c>
      <c r="D55" s="8">
        <v>2.8</v>
      </c>
      <c r="E55" s="12">
        <v>20</v>
      </c>
      <c r="F55" s="8">
        <v>3.14</v>
      </c>
      <c r="G55" s="12">
        <v>7</v>
      </c>
      <c r="H55" s="8">
        <v>2.1800000000000002</v>
      </c>
      <c r="I55" s="12">
        <v>0</v>
      </c>
    </row>
    <row r="56" spans="2:9" ht="15" customHeight="1" x14ac:dyDescent="0.2">
      <c r="B56" t="s">
        <v>122</v>
      </c>
      <c r="C56" s="12">
        <v>24</v>
      </c>
      <c r="D56" s="8">
        <v>2.48</v>
      </c>
      <c r="E56" s="12">
        <v>13</v>
      </c>
      <c r="F56" s="8">
        <v>2.04</v>
      </c>
      <c r="G56" s="12">
        <v>11</v>
      </c>
      <c r="H56" s="8">
        <v>3.43</v>
      </c>
      <c r="I56" s="12">
        <v>0</v>
      </c>
    </row>
    <row r="57" spans="2:9" ht="15" customHeight="1" x14ac:dyDescent="0.2">
      <c r="B57" t="s">
        <v>123</v>
      </c>
      <c r="C57" s="12">
        <v>23</v>
      </c>
      <c r="D57" s="8">
        <v>2.38</v>
      </c>
      <c r="E57" s="12">
        <v>21</v>
      </c>
      <c r="F57" s="8">
        <v>3.3</v>
      </c>
      <c r="G57" s="12">
        <v>1</v>
      </c>
      <c r="H57" s="8">
        <v>0.31</v>
      </c>
      <c r="I57" s="12">
        <v>1</v>
      </c>
    </row>
    <row r="58" spans="2:9" ht="15" customHeight="1" x14ac:dyDescent="0.2">
      <c r="B58" t="s">
        <v>127</v>
      </c>
      <c r="C58" s="12">
        <v>23</v>
      </c>
      <c r="D58" s="8">
        <v>2.38</v>
      </c>
      <c r="E58" s="12">
        <v>16</v>
      </c>
      <c r="F58" s="8">
        <v>2.52</v>
      </c>
      <c r="G58" s="12">
        <v>7</v>
      </c>
      <c r="H58" s="8">
        <v>2.1800000000000002</v>
      </c>
      <c r="I58" s="12">
        <v>0</v>
      </c>
    </row>
    <row r="59" spans="2:9" ht="15" customHeight="1" x14ac:dyDescent="0.2">
      <c r="B59" t="s">
        <v>129</v>
      </c>
      <c r="C59" s="12">
        <v>23</v>
      </c>
      <c r="D59" s="8">
        <v>2.38</v>
      </c>
      <c r="E59" s="12">
        <v>17</v>
      </c>
      <c r="F59" s="8">
        <v>2.67</v>
      </c>
      <c r="G59" s="12">
        <v>6</v>
      </c>
      <c r="H59" s="8">
        <v>1.87</v>
      </c>
      <c r="I59" s="12">
        <v>0</v>
      </c>
    </row>
    <row r="60" spans="2:9" ht="15" customHeight="1" x14ac:dyDescent="0.2">
      <c r="B60" t="s">
        <v>131</v>
      </c>
      <c r="C60" s="12">
        <v>22</v>
      </c>
      <c r="D60" s="8">
        <v>2.2799999999999998</v>
      </c>
      <c r="E60" s="12">
        <v>20</v>
      </c>
      <c r="F60" s="8">
        <v>3.14</v>
      </c>
      <c r="G60" s="12">
        <v>2</v>
      </c>
      <c r="H60" s="8">
        <v>0.62</v>
      </c>
      <c r="I60" s="12">
        <v>0</v>
      </c>
    </row>
    <row r="61" spans="2:9" ht="15" customHeight="1" x14ac:dyDescent="0.2">
      <c r="B61" t="s">
        <v>121</v>
      </c>
      <c r="C61" s="12">
        <v>21</v>
      </c>
      <c r="D61" s="8">
        <v>2.17</v>
      </c>
      <c r="E61" s="12">
        <v>13</v>
      </c>
      <c r="F61" s="8">
        <v>2.04</v>
      </c>
      <c r="G61" s="12">
        <v>8</v>
      </c>
      <c r="H61" s="8">
        <v>2.4900000000000002</v>
      </c>
      <c r="I61" s="12">
        <v>0</v>
      </c>
    </row>
    <row r="62" spans="2:9" ht="15" customHeight="1" x14ac:dyDescent="0.2">
      <c r="B62" t="s">
        <v>119</v>
      </c>
      <c r="C62" s="12">
        <v>18</v>
      </c>
      <c r="D62" s="8">
        <v>1.86</v>
      </c>
      <c r="E62" s="12">
        <v>11</v>
      </c>
      <c r="F62" s="8">
        <v>1.73</v>
      </c>
      <c r="G62" s="12">
        <v>7</v>
      </c>
      <c r="H62" s="8">
        <v>2.1800000000000002</v>
      </c>
      <c r="I62" s="12">
        <v>0</v>
      </c>
    </row>
    <row r="63" spans="2:9" ht="15" customHeight="1" x14ac:dyDescent="0.2">
      <c r="B63" t="s">
        <v>136</v>
      </c>
      <c r="C63" s="12">
        <v>17</v>
      </c>
      <c r="D63" s="8">
        <v>1.76</v>
      </c>
      <c r="E63" s="12">
        <v>17</v>
      </c>
      <c r="F63" s="8">
        <v>2.67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157</v>
      </c>
      <c r="C64" s="12">
        <v>15</v>
      </c>
      <c r="D64" s="8">
        <v>1.55</v>
      </c>
      <c r="E64" s="12">
        <v>14</v>
      </c>
      <c r="F64" s="8">
        <v>2.2000000000000002</v>
      </c>
      <c r="G64" s="12">
        <v>1</v>
      </c>
      <c r="H64" s="8">
        <v>0.31</v>
      </c>
      <c r="I64" s="12">
        <v>0</v>
      </c>
    </row>
    <row r="65" spans="2:9" ht="15" customHeight="1" x14ac:dyDescent="0.2">
      <c r="B65" t="s">
        <v>147</v>
      </c>
      <c r="C65" s="12">
        <v>15</v>
      </c>
      <c r="D65" s="8">
        <v>1.55</v>
      </c>
      <c r="E65" s="12">
        <v>15</v>
      </c>
      <c r="F65" s="8">
        <v>2.36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152</v>
      </c>
      <c r="C66" s="12">
        <v>15</v>
      </c>
      <c r="D66" s="8">
        <v>1.55</v>
      </c>
      <c r="E66" s="12">
        <v>12</v>
      </c>
      <c r="F66" s="8">
        <v>1.89</v>
      </c>
      <c r="G66" s="12">
        <v>3</v>
      </c>
      <c r="H66" s="8">
        <v>0.93</v>
      </c>
      <c r="I66" s="12">
        <v>0</v>
      </c>
    </row>
    <row r="67" spans="2:9" ht="15" customHeight="1" x14ac:dyDescent="0.2">
      <c r="B67" t="s">
        <v>126</v>
      </c>
      <c r="C67" s="12">
        <v>14</v>
      </c>
      <c r="D67" s="8">
        <v>1.45</v>
      </c>
      <c r="E67" s="12">
        <v>6</v>
      </c>
      <c r="F67" s="8">
        <v>0.94</v>
      </c>
      <c r="G67" s="12">
        <v>8</v>
      </c>
      <c r="H67" s="8">
        <v>2.4900000000000002</v>
      </c>
      <c r="I67" s="12">
        <v>0</v>
      </c>
    </row>
    <row r="68" spans="2:9" ht="15" customHeight="1" x14ac:dyDescent="0.2">
      <c r="B68" t="s">
        <v>167</v>
      </c>
      <c r="C68" s="12">
        <v>12</v>
      </c>
      <c r="D68" s="8">
        <v>1.24</v>
      </c>
      <c r="E68" s="12">
        <v>9</v>
      </c>
      <c r="F68" s="8">
        <v>1.42</v>
      </c>
      <c r="G68" s="12">
        <v>3</v>
      </c>
      <c r="H68" s="8">
        <v>0.93</v>
      </c>
      <c r="I68" s="12">
        <v>0</v>
      </c>
    </row>
    <row r="69" spans="2:9" ht="15" customHeight="1" x14ac:dyDescent="0.2">
      <c r="B69" t="s">
        <v>125</v>
      </c>
      <c r="C69" s="12">
        <v>12</v>
      </c>
      <c r="D69" s="8">
        <v>1.24</v>
      </c>
      <c r="E69" s="12">
        <v>6</v>
      </c>
      <c r="F69" s="8">
        <v>0.94</v>
      </c>
      <c r="G69" s="12">
        <v>6</v>
      </c>
      <c r="H69" s="8">
        <v>1.87</v>
      </c>
      <c r="I69" s="12">
        <v>0</v>
      </c>
    </row>
    <row r="70" spans="2:9" ht="15" customHeight="1" x14ac:dyDescent="0.2">
      <c r="B70" t="s">
        <v>132</v>
      </c>
      <c r="C70" s="12">
        <v>12</v>
      </c>
      <c r="D70" s="8">
        <v>1.24</v>
      </c>
      <c r="E70" s="12">
        <v>11</v>
      </c>
      <c r="F70" s="8">
        <v>1.73</v>
      </c>
      <c r="G70" s="12">
        <v>1</v>
      </c>
      <c r="H70" s="8">
        <v>0.31</v>
      </c>
      <c r="I70" s="12">
        <v>0</v>
      </c>
    </row>
    <row r="72" spans="2:9" ht="15" customHeight="1" x14ac:dyDescent="0.2">
      <c r="B72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1C3F3-A6EB-4D57-BF2C-93D6F69401E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225</v>
      </c>
      <c r="D6" s="8">
        <v>20.76</v>
      </c>
      <c r="E6" s="12">
        <v>96</v>
      </c>
      <c r="F6" s="8">
        <v>14.48</v>
      </c>
      <c r="G6" s="12">
        <v>129</v>
      </c>
      <c r="H6" s="8">
        <v>31.39</v>
      </c>
      <c r="I6" s="12">
        <v>0</v>
      </c>
    </row>
    <row r="7" spans="2:9" ht="15" customHeight="1" x14ac:dyDescent="0.2">
      <c r="B7" t="s">
        <v>47</v>
      </c>
      <c r="C7" s="12">
        <v>93</v>
      </c>
      <c r="D7" s="8">
        <v>8.58</v>
      </c>
      <c r="E7" s="12">
        <v>53</v>
      </c>
      <c r="F7" s="8">
        <v>7.99</v>
      </c>
      <c r="G7" s="12">
        <v>40</v>
      </c>
      <c r="H7" s="8">
        <v>9.73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0.28000000000000003</v>
      </c>
      <c r="E8" s="12">
        <v>0</v>
      </c>
      <c r="F8" s="8">
        <v>0</v>
      </c>
      <c r="G8" s="12">
        <v>2</v>
      </c>
      <c r="H8" s="8">
        <v>0.49</v>
      </c>
      <c r="I8" s="12">
        <v>0</v>
      </c>
    </row>
    <row r="9" spans="2:9" ht="15" customHeight="1" x14ac:dyDescent="0.2">
      <c r="B9" t="s">
        <v>49</v>
      </c>
      <c r="C9" s="12">
        <v>9</v>
      </c>
      <c r="D9" s="8">
        <v>0.83</v>
      </c>
      <c r="E9" s="12">
        <v>1</v>
      </c>
      <c r="F9" s="8">
        <v>0.15</v>
      </c>
      <c r="G9" s="12">
        <v>8</v>
      </c>
      <c r="H9" s="8">
        <v>1.95</v>
      </c>
      <c r="I9" s="12">
        <v>0</v>
      </c>
    </row>
    <row r="10" spans="2:9" ht="15" customHeight="1" x14ac:dyDescent="0.2">
      <c r="B10" t="s">
        <v>50</v>
      </c>
      <c r="C10" s="12">
        <v>11</v>
      </c>
      <c r="D10" s="8">
        <v>1.01</v>
      </c>
      <c r="E10" s="12">
        <v>3</v>
      </c>
      <c r="F10" s="8">
        <v>0.45</v>
      </c>
      <c r="G10" s="12">
        <v>8</v>
      </c>
      <c r="H10" s="8">
        <v>1.95</v>
      </c>
      <c r="I10" s="12">
        <v>0</v>
      </c>
    </row>
    <row r="11" spans="2:9" ht="15" customHeight="1" x14ac:dyDescent="0.2">
      <c r="B11" t="s">
        <v>51</v>
      </c>
      <c r="C11" s="12">
        <v>248</v>
      </c>
      <c r="D11" s="8">
        <v>22.88</v>
      </c>
      <c r="E11" s="12">
        <v>144</v>
      </c>
      <c r="F11" s="8">
        <v>21.72</v>
      </c>
      <c r="G11" s="12">
        <v>104</v>
      </c>
      <c r="H11" s="8">
        <v>25.3</v>
      </c>
      <c r="I11" s="12">
        <v>0</v>
      </c>
    </row>
    <row r="12" spans="2:9" ht="15" customHeight="1" x14ac:dyDescent="0.2">
      <c r="B12" t="s">
        <v>52</v>
      </c>
      <c r="C12" s="12">
        <v>4</v>
      </c>
      <c r="D12" s="8">
        <v>0.37</v>
      </c>
      <c r="E12" s="12">
        <v>1</v>
      </c>
      <c r="F12" s="8">
        <v>0.15</v>
      </c>
      <c r="G12" s="12">
        <v>3</v>
      </c>
      <c r="H12" s="8">
        <v>0.73</v>
      </c>
      <c r="I12" s="12">
        <v>0</v>
      </c>
    </row>
    <row r="13" spans="2:9" ht="15" customHeight="1" x14ac:dyDescent="0.2">
      <c r="B13" t="s">
        <v>53</v>
      </c>
      <c r="C13" s="12">
        <v>56</v>
      </c>
      <c r="D13" s="8">
        <v>5.17</v>
      </c>
      <c r="E13" s="12">
        <v>34</v>
      </c>
      <c r="F13" s="8">
        <v>5.13</v>
      </c>
      <c r="G13" s="12">
        <v>22</v>
      </c>
      <c r="H13" s="8">
        <v>5.35</v>
      </c>
      <c r="I13" s="12">
        <v>0</v>
      </c>
    </row>
    <row r="14" spans="2:9" ht="15" customHeight="1" x14ac:dyDescent="0.2">
      <c r="B14" t="s">
        <v>54</v>
      </c>
      <c r="C14" s="12">
        <v>42</v>
      </c>
      <c r="D14" s="8">
        <v>3.87</v>
      </c>
      <c r="E14" s="12">
        <v>24</v>
      </c>
      <c r="F14" s="8">
        <v>3.62</v>
      </c>
      <c r="G14" s="12">
        <v>18</v>
      </c>
      <c r="H14" s="8">
        <v>4.38</v>
      </c>
      <c r="I14" s="12">
        <v>0</v>
      </c>
    </row>
    <row r="15" spans="2:9" ht="15" customHeight="1" x14ac:dyDescent="0.2">
      <c r="B15" t="s">
        <v>55</v>
      </c>
      <c r="C15" s="12">
        <v>101</v>
      </c>
      <c r="D15" s="8">
        <v>9.32</v>
      </c>
      <c r="E15" s="12">
        <v>89</v>
      </c>
      <c r="F15" s="8">
        <v>13.42</v>
      </c>
      <c r="G15" s="12">
        <v>12</v>
      </c>
      <c r="H15" s="8">
        <v>2.92</v>
      </c>
      <c r="I15" s="12">
        <v>0</v>
      </c>
    </row>
    <row r="16" spans="2:9" ht="15" customHeight="1" x14ac:dyDescent="0.2">
      <c r="B16" t="s">
        <v>56</v>
      </c>
      <c r="C16" s="12">
        <v>147</v>
      </c>
      <c r="D16" s="8">
        <v>13.56</v>
      </c>
      <c r="E16" s="12">
        <v>122</v>
      </c>
      <c r="F16" s="8">
        <v>18.399999999999999</v>
      </c>
      <c r="G16" s="12">
        <v>24</v>
      </c>
      <c r="H16" s="8">
        <v>5.84</v>
      </c>
      <c r="I16" s="12">
        <v>0</v>
      </c>
    </row>
    <row r="17" spans="2:9" ht="15" customHeight="1" x14ac:dyDescent="0.2">
      <c r="B17" t="s">
        <v>57</v>
      </c>
      <c r="C17" s="12">
        <v>24</v>
      </c>
      <c r="D17" s="8">
        <v>2.21</v>
      </c>
      <c r="E17" s="12">
        <v>17</v>
      </c>
      <c r="F17" s="8">
        <v>2.56</v>
      </c>
      <c r="G17" s="12">
        <v>6</v>
      </c>
      <c r="H17" s="8">
        <v>1.46</v>
      </c>
      <c r="I17" s="12">
        <v>1</v>
      </c>
    </row>
    <row r="18" spans="2:9" ht="15" customHeight="1" x14ac:dyDescent="0.2">
      <c r="B18" t="s">
        <v>58</v>
      </c>
      <c r="C18" s="12">
        <v>61</v>
      </c>
      <c r="D18" s="8">
        <v>5.63</v>
      </c>
      <c r="E18" s="12">
        <v>42</v>
      </c>
      <c r="F18" s="8">
        <v>6.33</v>
      </c>
      <c r="G18" s="12">
        <v>17</v>
      </c>
      <c r="H18" s="8">
        <v>4.1399999999999997</v>
      </c>
      <c r="I18" s="12">
        <v>0</v>
      </c>
    </row>
    <row r="19" spans="2:9" ht="15" customHeight="1" x14ac:dyDescent="0.2">
      <c r="B19" t="s">
        <v>59</v>
      </c>
      <c r="C19" s="12">
        <v>60</v>
      </c>
      <c r="D19" s="8">
        <v>5.54</v>
      </c>
      <c r="E19" s="12">
        <v>37</v>
      </c>
      <c r="F19" s="8">
        <v>5.58</v>
      </c>
      <c r="G19" s="12">
        <v>18</v>
      </c>
      <c r="H19" s="8">
        <v>4.38</v>
      </c>
      <c r="I19" s="12">
        <v>1</v>
      </c>
    </row>
    <row r="20" spans="2:9" ht="15" customHeight="1" x14ac:dyDescent="0.2">
      <c r="B20" s="9" t="s">
        <v>195</v>
      </c>
      <c r="C20" s="12">
        <f>SUM(LTBL_08226[総数／事業所数])</f>
        <v>1084</v>
      </c>
      <c r="E20" s="12">
        <f>SUBTOTAL(109,LTBL_08226[個人／事業所数])</f>
        <v>663</v>
      </c>
      <c r="G20" s="12">
        <f>SUBTOTAL(109,LTBL_08226[法人／事業所数])</f>
        <v>411</v>
      </c>
      <c r="I20" s="12">
        <f>SUBTOTAL(109,LTBL_08226[法人以外の団体／事業所数])</f>
        <v>2</v>
      </c>
    </row>
    <row r="21" spans="2:9" ht="15" customHeight="1" x14ac:dyDescent="0.2">
      <c r="E21" s="11">
        <f>LTBL_08226[[#Totals],[個人／事業所数]]/LTBL_08226[[#Totals],[総数／事業所数]]</f>
        <v>0.61162361623616235</v>
      </c>
      <c r="G21" s="11">
        <f>LTBL_08226[[#Totals],[法人／事業所数]]/LTBL_08226[[#Totals],[総数／事業所数]]</f>
        <v>0.37915129151291516</v>
      </c>
      <c r="I21" s="11">
        <f>LTBL_08226[[#Totals],[法人以外の団体／事業所数]]/LTBL_08226[[#Totals],[総数／事業所数]]</f>
        <v>1.8450184501845018E-3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128</v>
      </c>
      <c r="D24" s="8">
        <v>11.81</v>
      </c>
      <c r="E24" s="12">
        <v>114</v>
      </c>
      <c r="F24" s="8">
        <v>17.190000000000001</v>
      </c>
      <c r="G24" s="12">
        <v>14</v>
      </c>
      <c r="H24" s="8">
        <v>3.41</v>
      </c>
      <c r="I24" s="12">
        <v>0</v>
      </c>
    </row>
    <row r="25" spans="2:9" ht="15" customHeight="1" x14ac:dyDescent="0.2">
      <c r="B25" t="s">
        <v>82</v>
      </c>
      <c r="C25" s="12">
        <v>96</v>
      </c>
      <c r="D25" s="8">
        <v>8.86</v>
      </c>
      <c r="E25" s="12">
        <v>88</v>
      </c>
      <c r="F25" s="8">
        <v>13.27</v>
      </c>
      <c r="G25" s="12">
        <v>8</v>
      </c>
      <c r="H25" s="8">
        <v>1.95</v>
      </c>
      <c r="I25" s="12">
        <v>0</v>
      </c>
    </row>
    <row r="26" spans="2:9" ht="15" customHeight="1" x14ac:dyDescent="0.2">
      <c r="B26" t="s">
        <v>69</v>
      </c>
      <c r="C26" s="12">
        <v>89</v>
      </c>
      <c r="D26" s="8">
        <v>8.2100000000000009</v>
      </c>
      <c r="E26" s="12">
        <v>39</v>
      </c>
      <c r="F26" s="8">
        <v>5.88</v>
      </c>
      <c r="G26" s="12">
        <v>50</v>
      </c>
      <c r="H26" s="8">
        <v>12.17</v>
      </c>
      <c r="I26" s="12">
        <v>0</v>
      </c>
    </row>
    <row r="27" spans="2:9" ht="15" customHeight="1" x14ac:dyDescent="0.2">
      <c r="B27" t="s">
        <v>68</v>
      </c>
      <c r="C27" s="12">
        <v>83</v>
      </c>
      <c r="D27" s="8">
        <v>7.66</v>
      </c>
      <c r="E27" s="12">
        <v>34</v>
      </c>
      <c r="F27" s="8">
        <v>5.13</v>
      </c>
      <c r="G27" s="12">
        <v>49</v>
      </c>
      <c r="H27" s="8">
        <v>11.92</v>
      </c>
      <c r="I27" s="12">
        <v>0</v>
      </c>
    </row>
    <row r="28" spans="2:9" ht="15" customHeight="1" x14ac:dyDescent="0.2">
      <c r="B28" t="s">
        <v>77</v>
      </c>
      <c r="C28" s="12">
        <v>74</v>
      </c>
      <c r="D28" s="8">
        <v>6.83</v>
      </c>
      <c r="E28" s="12">
        <v>40</v>
      </c>
      <c r="F28" s="8">
        <v>6.03</v>
      </c>
      <c r="G28" s="12">
        <v>34</v>
      </c>
      <c r="H28" s="8">
        <v>8.27</v>
      </c>
      <c r="I28" s="12">
        <v>0</v>
      </c>
    </row>
    <row r="29" spans="2:9" ht="15" customHeight="1" x14ac:dyDescent="0.2">
      <c r="B29" t="s">
        <v>76</v>
      </c>
      <c r="C29" s="12">
        <v>58</v>
      </c>
      <c r="D29" s="8">
        <v>5.35</v>
      </c>
      <c r="E29" s="12">
        <v>40</v>
      </c>
      <c r="F29" s="8">
        <v>6.03</v>
      </c>
      <c r="G29" s="12">
        <v>18</v>
      </c>
      <c r="H29" s="8">
        <v>4.38</v>
      </c>
      <c r="I29" s="12">
        <v>0</v>
      </c>
    </row>
    <row r="30" spans="2:9" ht="15" customHeight="1" x14ac:dyDescent="0.2">
      <c r="B30" t="s">
        <v>70</v>
      </c>
      <c r="C30" s="12">
        <v>53</v>
      </c>
      <c r="D30" s="8">
        <v>4.8899999999999997</v>
      </c>
      <c r="E30" s="12">
        <v>23</v>
      </c>
      <c r="F30" s="8">
        <v>3.47</v>
      </c>
      <c r="G30" s="12">
        <v>30</v>
      </c>
      <c r="H30" s="8">
        <v>7.3</v>
      </c>
      <c r="I30" s="12">
        <v>0</v>
      </c>
    </row>
    <row r="31" spans="2:9" ht="15" customHeight="1" x14ac:dyDescent="0.2">
      <c r="B31" t="s">
        <v>79</v>
      </c>
      <c r="C31" s="12">
        <v>47</v>
      </c>
      <c r="D31" s="8">
        <v>4.34</v>
      </c>
      <c r="E31" s="12">
        <v>33</v>
      </c>
      <c r="F31" s="8">
        <v>4.9800000000000004</v>
      </c>
      <c r="G31" s="12">
        <v>14</v>
      </c>
      <c r="H31" s="8">
        <v>3.41</v>
      </c>
      <c r="I31" s="12">
        <v>0</v>
      </c>
    </row>
    <row r="32" spans="2:9" ht="15" customHeight="1" x14ac:dyDescent="0.2">
      <c r="B32" t="s">
        <v>75</v>
      </c>
      <c r="C32" s="12">
        <v>46</v>
      </c>
      <c r="D32" s="8">
        <v>4.24</v>
      </c>
      <c r="E32" s="12">
        <v>34</v>
      </c>
      <c r="F32" s="8">
        <v>5.13</v>
      </c>
      <c r="G32" s="12">
        <v>12</v>
      </c>
      <c r="H32" s="8">
        <v>2.92</v>
      </c>
      <c r="I32" s="12">
        <v>0</v>
      </c>
    </row>
    <row r="33" spans="2:9" ht="15" customHeight="1" x14ac:dyDescent="0.2">
      <c r="B33" t="s">
        <v>86</v>
      </c>
      <c r="C33" s="12">
        <v>44</v>
      </c>
      <c r="D33" s="8">
        <v>4.0599999999999996</v>
      </c>
      <c r="E33" s="12">
        <v>41</v>
      </c>
      <c r="F33" s="8">
        <v>6.18</v>
      </c>
      <c r="G33" s="12">
        <v>3</v>
      </c>
      <c r="H33" s="8">
        <v>0.73</v>
      </c>
      <c r="I33" s="12">
        <v>0</v>
      </c>
    </row>
    <row r="34" spans="2:9" ht="15" customHeight="1" x14ac:dyDescent="0.2">
      <c r="B34" t="s">
        <v>87</v>
      </c>
      <c r="C34" s="12">
        <v>38</v>
      </c>
      <c r="D34" s="8">
        <v>3.51</v>
      </c>
      <c r="E34" s="12">
        <v>32</v>
      </c>
      <c r="F34" s="8">
        <v>4.83</v>
      </c>
      <c r="G34" s="12">
        <v>6</v>
      </c>
      <c r="H34" s="8">
        <v>1.46</v>
      </c>
      <c r="I34" s="12">
        <v>0</v>
      </c>
    </row>
    <row r="35" spans="2:9" ht="15" customHeight="1" x14ac:dyDescent="0.2">
      <c r="B35" t="s">
        <v>85</v>
      </c>
      <c r="C35" s="12">
        <v>24</v>
      </c>
      <c r="D35" s="8">
        <v>2.21</v>
      </c>
      <c r="E35" s="12">
        <v>17</v>
      </c>
      <c r="F35" s="8">
        <v>2.56</v>
      </c>
      <c r="G35" s="12">
        <v>6</v>
      </c>
      <c r="H35" s="8">
        <v>1.46</v>
      </c>
      <c r="I35" s="12">
        <v>1</v>
      </c>
    </row>
    <row r="36" spans="2:9" ht="15" customHeight="1" x14ac:dyDescent="0.2">
      <c r="B36" t="s">
        <v>81</v>
      </c>
      <c r="C36" s="12">
        <v>23</v>
      </c>
      <c r="D36" s="8">
        <v>2.12</v>
      </c>
      <c r="E36" s="12">
        <v>11</v>
      </c>
      <c r="F36" s="8">
        <v>1.66</v>
      </c>
      <c r="G36" s="12">
        <v>12</v>
      </c>
      <c r="H36" s="8">
        <v>2.92</v>
      </c>
      <c r="I36" s="12">
        <v>0</v>
      </c>
    </row>
    <row r="37" spans="2:9" ht="15" customHeight="1" x14ac:dyDescent="0.2">
      <c r="B37" t="s">
        <v>80</v>
      </c>
      <c r="C37" s="12">
        <v>18</v>
      </c>
      <c r="D37" s="8">
        <v>1.66</v>
      </c>
      <c r="E37" s="12">
        <v>13</v>
      </c>
      <c r="F37" s="8">
        <v>1.96</v>
      </c>
      <c r="G37" s="12">
        <v>5</v>
      </c>
      <c r="H37" s="8">
        <v>1.22</v>
      </c>
      <c r="I37" s="12">
        <v>0</v>
      </c>
    </row>
    <row r="38" spans="2:9" ht="15" customHeight="1" x14ac:dyDescent="0.2">
      <c r="B38" t="s">
        <v>72</v>
      </c>
      <c r="C38" s="12">
        <v>17</v>
      </c>
      <c r="D38" s="8">
        <v>1.57</v>
      </c>
      <c r="E38" s="12">
        <v>9</v>
      </c>
      <c r="F38" s="8">
        <v>1.36</v>
      </c>
      <c r="G38" s="12">
        <v>8</v>
      </c>
      <c r="H38" s="8">
        <v>1.95</v>
      </c>
      <c r="I38" s="12">
        <v>0</v>
      </c>
    </row>
    <row r="39" spans="2:9" ht="15" customHeight="1" x14ac:dyDescent="0.2">
      <c r="B39" t="s">
        <v>96</v>
      </c>
      <c r="C39" s="12">
        <v>17</v>
      </c>
      <c r="D39" s="8">
        <v>1.57</v>
      </c>
      <c r="E39" s="12">
        <v>1</v>
      </c>
      <c r="F39" s="8">
        <v>0.15</v>
      </c>
      <c r="G39" s="12">
        <v>14</v>
      </c>
      <c r="H39" s="8">
        <v>3.41</v>
      </c>
      <c r="I39" s="12">
        <v>0</v>
      </c>
    </row>
    <row r="40" spans="2:9" ht="15" customHeight="1" x14ac:dyDescent="0.2">
      <c r="B40" t="s">
        <v>71</v>
      </c>
      <c r="C40" s="12">
        <v>16</v>
      </c>
      <c r="D40" s="8">
        <v>1.48</v>
      </c>
      <c r="E40" s="12">
        <v>12</v>
      </c>
      <c r="F40" s="8">
        <v>1.81</v>
      </c>
      <c r="G40" s="12">
        <v>4</v>
      </c>
      <c r="H40" s="8">
        <v>0.97</v>
      </c>
      <c r="I40" s="12">
        <v>0</v>
      </c>
    </row>
    <row r="41" spans="2:9" ht="15" customHeight="1" x14ac:dyDescent="0.2">
      <c r="B41" t="s">
        <v>74</v>
      </c>
      <c r="C41" s="12">
        <v>16</v>
      </c>
      <c r="D41" s="8">
        <v>1.48</v>
      </c>
      <c r="E41" s="12">
        <v>14</v>
      </c>
      <c r="F41" s="8">
        <v>2.11</v>
      </c>
      <c r="G41" s="12">
        <v>2</v>
      </c>
      <c r="H41" s="8">
        <v>0.49</v>
      </c>
      <c r="I41" s="12">
        <v>0</v>
      </c>
    </row>
    <row r="42" spans="2:9" ht="15" customHeight="1" x14ac:dyDescent="0.2">
      <c r="B42" t="s">
        <v>84</v>
      </c>
      <c r="C42" s="12">
        <v>14</v>
      </c>
      <c r="D42" s="8">
        <v>1.29</v>
      </c>
      <c r="E42" s="12">
        <v>7</v>
      </c>
      <c r="F42" s="8">
        <v>1.06</v>
      </c>
      <c r="G42" s="12">
        <v>7</v>
      </c>
      <c r="H42" s="8">
        <v>1.7</v>
      </c>
      <c r="I42" s="12">
        <v>0</v>
      </c>
    </row>
    <row r="43" spans="2:9" ht="15" customHeight="1" x14ac:dyDescent="0.2">
      <c r="B43" t="s">
        <v>73</v>
      </c>
      <c r="C43" s="12">
        <v>13</v>
      </c>
      <c r="D43" s="8">
        <v>1.2</v>
      </c>
      <c r="E43" s="12">
        <v>1</v>
      </c>
      <c r="F43" s="8">
        <v>0.15</v>
      </c>
      <c r="G43" s="12">
        <v>12</v>
      </c>
      <c r="H43" s="8">
        <v>2.92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67</v>
      </c>
      <c r="D47" s="8">
        <v>6.18</v>
      </c>
      <c r="E47" s="12">
        <v>62</v>
      </c>
      <c r="F47" s="8">
        <v>9.35</v>
      </c>
      <c r="G47" s="12">
        <v>5</v>
      </c>
      <c r="H47" s="8">
        <v>1.22</v>
      </c>
      <c r="I47" s="12">
        <v>0</v>
      </c>
    </row>
    <row r="48" spans="2:9" ht="15" customHeight="1" x14ac:dyDescent="0.2">
      <c r="B48" t="s">
        <v>124</v>
      </c>
      <c r="C48" s="12">
        <v>48</v>
      </c>
      <c r="D48" s="8">
        <v>4.43</v>
      </c>
      <c r="E48" s="12">
        <v>32</v>
      </c>
      <c r="F48" s="8">
        <v>4.83</v>
      </c>
      <c r="G48" s="12">
        <v>16</v>
      </c>
      <c r="H48" s="8">
        <v>3.89</v>
      </c>
      <c r="I48" s="12">
        <v>0</v>
      </c>
    </row>
    <row r="49" spans="2:9" ht="15" customHeight="1" x14ac:dyDescent="0.2">
      <c r="B49" t="s">
        <v>133</v>
      </c>
      <c r="C49" s="12">
        <v>43</v>
      </c>
      <c r="D49" s="8">
        <v>3.97</v>
      </c>
      <c r="E49" s="12">
        <v>41</v>
      </c>
      <c r="F49" s="8">
        <v>6.18</v>
      </c>
      <c r="G49" s="12">
        <v>2</v>
      </c>
      <c r="H49" s="8">
        <v>0.49</v>
      </c>
      <c r="I49" s="12">
        <v>0</v>
      </c>
    </row>
    <row r="50" spans="2:9" ht="15" customHeight="1" x14ac:dyDescent="0.2">
      <c r="B50" t="s">
        <v>137</v>
      </c>
      <c r="C50" s="12">
        <v>38</v>
      </c>
      <c r="D50" s="8">
        <v>3.51</v>
      </c>
      <c r="E50" s="12">
        <v>32</v>
      </c>
      <c r="F50" s="8">
        <v>4.83</v>
      </c>
      <c r="G50" s="12">
        <v>6</v>
      </c>
      <c r="H50" s="8">
        <v>1.46</v>
      </c>
      <c r="I50" s="12">
        <v>0</v>
      </c>
    </row>
    <row r="51" spans="2:9" ht="15" customHeight="1" x14ac:dyDescent="0.2">
      <c r="B51" t="s">
        <v>129</v>
      </c>
      <c r="C51" s="12">
        <v>35</v>
      </c>
      <c r="D51" s="8">
        <v>3.23</v>
      </c>
      <c r="E51" s="12">
        <v>31</v>
      </c>
      <c r="F51" s="8">
        <v>4.68</v>
      </c>
      <c r="G51" s="12">
        <v>4</v>
      </c>
      <c r="H51" s="8">
        <v>0.97</v>
      </c>
      <c r="I51" s="12">
        <v>0</v>
      </c>
    </row>
    <row r="52" spans="2:9" ht="15" customHeight="1" x14ac:dyDescent="0.2">
      <c r="B52" t="s">
        <v>136</v>
      </c>
      <c r="C52" s="12">
        <v>34</v>
      </c>
      <c r="D52" s="8">
        <v>3.14</v>
      </c>
      <c r="E52" s="12">
        <v>33</v>
      </c>
      <c r="F52" s="8">
        <v>4.9800000000000004</v>
      </c>
      <c r="G52" s="12">
        <v>1</v>
      </c>
      <c r="H52" s="8">
        <v>0.24</v>
      </c>
      <c r="I52" s="12">
        <v>0</v>
      </c>
    </row>
    <row r="53" spans="2:9" ht="15" customHeight="1" x14ac:dyDescent="0.2">
      <c r="B53" t="s">
        <v>131</v>
      </c>
      <c r="C53" s="12">
        <v>32</v>
      </c>
      <c r="D53" s="8">
        <v>2.95</v>
      </c>
      <c r="E53" s="12">
        <v>28</v>
      </c>
      <c r="F53" s="8">
        <v>4.22</v>
      </c>
      <c r="G53" s="12">
        <v>4</v>
      </c>
      <c r="H53" s="8">
        <v>0.97</v>
      </c>
      <c r="I53" s="12">
        <v>0</v>
      </c>
    </row>
    <row r="54" spans="2:9" ht="15" customHeight="1" x14ac:dyDescent="0.2">
      <c r="B54" t="s">
        <v>120</v>
      </c>
      <c r="C54" s="12">
        <v>29</v>
      </c>
      <c r="D54" s="8">
        <v>2.68</v>
      </c>
      <c r="E54" s="12">
        <v>23</v>
      </c>
      <c r="F54" s="8">
        <v>3.47</v>
      </c>
      <c r="G54" s="12">
        <v>6</v>
      </c>
      <c r="H54" s="8">
        <v>1.46</v>
      </c>
      <c r="I54" s="12">
        <v>0</v>
      </c>
    </row>
    <row r="55" spans="2:9" ht="15" customHeight="1" x14ac:dyDescent="0.2">
      <c r="B55" t="s">
        <v>118</v>
      </c>
      <c r="C55" s="12">
        <v>27</v>
      </c>
      <c r="D55" s="8">
        <v>2.4900000000000002</v>
      </c>
      <c r="E55" s="12">
        <v>8</v>
      </c>
      <c r="F55" s="8">
        <v>1.21</v>
      </c>
      <c r="G55" s="12">
        <v>19</v>
      </c>
      <c r="H55" s="8">
        <v>4.62</v>
      </c>
      <c r="I55" s="12">
        <v>0</v>
      </c>
    </row>
    <row r="56" spans="2:9" ht="15" customHeight="1" x14ac:dyDescent="0.2">
      <c r="B56" t="s">
        <v>132</v>
      </c>
      <c r="C56" s="12">
        <v>25</v>
      </c>
      <c r="D56" s="8">
        <v>2.31</v>
      </c>
      <c r="E56" s="12">
        <v>25</v>
      </c>
      <c r="F56" s="8">
        <v>3.77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24</v>
      </c>
      <c r="D57" s="8">
        <v>2.21</v>
      </c>
      <c r="E57" s="12">
        <v>14</v>
      </c>
      <c r="F57" s="8">
        <v>2.11</v>
      </c>
      <c r="G57" s="12">
        <v>10</v>
      </c>
      <c r="H57" s="8">
        <v>2.4300000000000002</v>
      </c>
      <c r="I57" s="12">
        <v>0</v>
      </c>
    </row>
    <row r="58" spans="2:9" ht="15" customHeight="1" x14ac:dyDescent="0.2">
      <c r="B58" t="s">
        <v>146</v>
      </c>
      <c r="C58" s="12">
        <v>22</v>
      </c>
      <c r="D58" s="8">
        <v>2.0299999999999998</v>
      </c>
      <c r="E58" s="12">
        <v>6</v>
      </c>
      <c r="F58" s="8">
        <v>0.9</v>
      </c>
      <c r="G58" s="12">
        <v>16</v>
      </c>
      <c r="H58" s="8">
        <v>3.89</v>
      </c>
      <c r="I58" s="12">
        <v>0</v>
      </c>
    </row>
    <row r="59" spans="2:9" ht="15" customHeight="1" x14ac:dyDescent="0.2">
      <c r="B59" t="s">
        <v>122</v>
      </c>
      <c r="C59" s="12">
        <v>22</v>
      </c>
      <c r="D59" s="8">
        <v>2.0299999999999998</v>
      </c>
      <c r="E59" s="12">
        <v>8</v>
      </c>
      <c r="F59" s="8">
        <v>1.21</v>
      </c>
      <c r="G59" s="12">
        <v>14</v>
      </c>
      <c r="H59" s="8">
        <v>3.41</v>
      </c>
      <c r="I59" s="12">
        <v>0</v>
      </c>
    </row>
    <row r="60" spans="2:9" ht="15" customHeight="1" x14ac:dyDescent="0.2">
      <c r="B60" t="s">
        <v>155</v>
      </c>
      <c r="C60" s="12">
        <v>21</v>
      </c>
      <c r="D60" s="8">
        <v>1.94</v>
      </c>
      <c r="E60" s="12">
        <v>10</v>
      </c>
      <c r="F60" s="8">
        <v>1.51</v>
      </c>
      <c r="G60" s="12">
        <v>11</v>
      </c>
      <c r="H60" s="8">
        <v>2.68</v>
      </c>
      <c r="I60" s="12">
        <v>0</v>
      </c>
    </row>
    <row r="61" spans="2:9" ht="15" customHeight="1" x14ac:dyDescent="0.2">
      <c r="B61" t="s">
        <v>123</v>
      </c>
      <c r="C61" s="12">
        <v>20</v>
      </c>
      <c r="D61" s="8">
        <v>1.85</v>
      </c>
      <c r="E61" s="12">
        <v>13</v>
      </c>
      <c r="F61" s="8">
        <v>1.96</v>
      </c>
      <c r="G61" s="12">
        <v>7</v>
      </c>
      <c r="H61" s="8">
        <v>1.7</v>
      </c>
      <c r="I61" s="12">
        <v>0</v>
      </c>
    </row>
    <row r="62" spans="2:9" ht="15" customHeight="1" x14ac:dyDescent="0.2">
      <c r="B62" t="s">
        <v>127</v>
      </c>
      <c r="C62" s="12">
        <v>18</v>
      </c>
      <c r="D62" s="8">
        <v>1.66</v>
      </c>
      <c r="E62" s="12">
        <v>11</v>
      </c>
      <c r="F62" s="8">
        <v>1.66</v>
      </c>
      <c r="G62" s="12">
        <v>7</v>
      </c>
      <c r="H62" s="8">
        <v>1.7</v>
      </c>
      <c r="I62" s="12">
        <v>0</v>
      </c>
    </row>
    <row r="63" spans="2:9" ht="15" customHeight="1" x14ac:dyDescent="0.2">
      <c r="B63" t="s">
        <v>119</v>
      </c>
      <c r="C63" s="12">
        <v>17</v>
      </c>
      <c r="D63" s="8">
        <v>1.57</v>
      </c>
      <c r="E63" s="12">
        <v>1</v>
      </c>
      <c r="F63" s="8">
        <v>0.15</v>
      </c>
      <c r="G63" s="12">
        <v>16</v>
      </c>
      <c r="H63" s="8">
        <v>3.89</v>
      </c>
      <c r="I63" s="12">
        <v>0</v>
      </c>
    </row>
    <row r="64" spans="2:9" ht="15" customHeight="1" x14ac:dyDescent="0.2">
      <c r="B64" t="s">
        <v>125</v>
      </c>
      <c r="C64" s="12">
        <v>17</v>
      </c>
      <c r="D64" s="8">
        <v>1.57</v>
      </c>
      <c r="E64" s="12">
        <v>9</v>
      </c>
      <c r="F64" s="8">
        <v>1.36</v>
      </c>
      <c r="G64" s="12">
        <v>8</v>
      </c>
      <c r="H64" s="8">
        <v>1.95</v>
      </c>
      <c r="I64" s="12">
        <v>0</v>
      </c>
    </row>
    <row r="65" spans="2:9" ht="15" customHeight="1" x14ac:dyDescent="0.2">
      <c r="B65" t="s">
        <v>126</v>
      </c>
      <c r="C65" s="12">
        <v>16</v>
      </c>
      <c r="D65" s="8">
        <v>1.48</v>
      </c>
      <c r="E65" s="12">
        <v>7</v>
      </c>
      <c r="F65" s="8">
        <v>1.06</v>
      </c>
      <c r="G65" s="12">
        <v>9</v>
      </c>
      <c r="H65" s="8">
        <v>2.19</v>
      </c>
      <c r="I65" s="12">
        <v>0</v>
      </c>
    </row>
    <row r="66" spans="2:9" ht="15" customHeight="1" x14ac:dyDescent="0.2">
      <c r="B66" t="s">
        <v>130</v>
      </c>
      <c r="C66" s="12">
        <v>16</v>
      </c>
      <c r="D66" s="8">
        <v>1.48</v>
      </c>
      <c r="E66" s="12">
        <v>7</v>
      </c>
      <c r="F66" s="8">
        <v>1.06</v>
      </c>
      <c r="G66" s="12">
        <v>9</v>
      </c>
      <c r="H66" s="8">
        <v>2.19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5787-FA36-4C09-BE48-881656D8F10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2</v>
      </c>
      <c r="D5" s="8">
        <v>7.0000000000000007E-2</v>
      </c>
      <c r="E5" s="12">
        <v>0</v>
      </c>
      <c r="F5" s="8">
        <v>0</v>
      </c>
      <c r="G5" s="12">
        <v>2</v>
      </c>
      <c r="H5" s="8">
        <v>0.18</v>
      </c>
      <c r="I5" s="12">
        <v>0</v>
      </c>
    </row>
    <row r="6" spans="2:9" ht="15" customHeight="1" x14ac:dyDescent="0.2">
      <c r="B6" t="s">
        <v>46</v>
      </c>
      <c r="C6" s="12">
        <v>507</v>
      </c>
      <c r="D6" s="8">
        <v>18.61</v>
      </c>
      <c r="E6" s="12">
        <v>202</v>
      </c>
      <c r="F6" s="8">
        <v>12.76</v>
      </c>
      <c r="G6" s="12">
        <v>305</v>
      </c>
      <c r="H6" s="8">
        <v>27.28</v>
      </c>
      <c r="I6" s="12">
        <v>0</v>
      </c>
    </row>
    <row r="7" spans="2:9" ht="15" customHeight="1" x14ac:dyDescent="0.2">
      <c r="B7" t="s">
        <v>47</v>
      </c>
      <c r="C7" s="12">
        <v>358</v>
      </c>
      <c r="D7" s="8">
        <v>13.14</v>
      </c>
      <c r="E7" s="12">
        <v>154</v>
      </c>
      <c r="F7" s="8">
        <v>9.73</v>
      </c>
      <c r="G7" s="12">
        <v>204</v>
      </c>
      <c r="H7" s="8">
        <v>18.25</v>
      </c>
      <c r="I7" s="12">
        <v>0</v>
      </c>
    </row>
    <row r="8" spans="2:9" ht="15" customHeight="1" x14ac:dyDescent="0.2">
      <c r="B8" t="s">
        <v>48</v>
      </c>
      <c r="C8" s="12">
        <v>13</v>
      </c>
      <c r="D8" s="8">
        <v>0.48</v>
      </c>
      <c r="E8" s="12">
        <v>0</v>
      </c>
      <c r="F8" s="8">
        <v>0</v>
      </c>
      <c r="G8" s="12">
        <v>13</v>
      </c>
      <c r="H8" s="8">
        <v>1.1599999999999999</v>
      </c>
      <c r="I8" s="12">
        <v>0</v>
      </c>
    </row>
    <row r="9" spans="2:9" ht="15" customHeight="1" x14ac:dyDescent="0.2">
      <c r="B9" t="s">
        <v>49</v>
      </c>
      <c r="C9" s="12">
        <v>15</v>
      </c>
      <c r="D9" s="8">
        <v>0.55000000000000004</v>
      </c>
      <c r="E9" s="12">
        <v>3</v>
      </c>
      <c r="F9" s="8">
        <v>0.19</v>
      </c>
      <c r="G9" s="12">
        <v>12</v>
      </c>
      <c r="H9" s="8">
        <v>1.07</v>
      </c>
      <c r="I9" s="12">
        <v>0</v>
      </c>
    </row>
    <row r="10" spans="2:9" ht="15" customHeight="1" x14ac:dyDescent="0.2">
      <c r="B10" t="s">
        <v>50</v>
      </c>
      <c r="C10" s="12">
        <v>24</v>
      </c>
      <c r="D10" s="8">
        <v>0.88</v>
      </c>
      <c r="E10" s="12">
        <v>1</v>
      </c>
      <c r="F10" s="8">
        <v>0.06</v>
      </c>
      <c r="G10" s="12">
        <v>23</v>
      </c>
      <c r="H10" s="8">
        <v>2.06</v>
      </c>
      <c r="I10" s="12">
        <v>0</v>
      </c>
    </row>
    <row r="11" spans="2:9" ht="15" customHeight="1" x14ac:dyDescent="0.2">
      <c r="B11" t="s">
        <v>51</v>
      </c>
      <c r="C11" s="12">
        <v>657</v>
      </c>
      <c r="D11" s="8">
        <v>24.11</v>
      </c>
      <c r="E11" s="12">
        <v>363</v>
      </c>
      <c r="F11" s="8">
        <v>22.93</v>
      </c>
      <c r="G11" s="12">
        <v>294</v>
      </c>
      <c r="H11" s="8">
        <v>26.3</v>
      </c>
      <c r="I11" s="12">
        <v>0</v>
      </c>
    </row>
    <row r="12" spans="2:9" ht="15" customHeight="1" x14ac:dyDescent="0.2">
      <c r="B12" t="s">
        <v>52</v>
      </c>
      <c r="C12" s="12">
        <v>23</v>
      </c>
      <c r="D12" s="8">
        <v>0.84</v>
      </c>
      <c r="E12" s="12">
        <v>7</v>
      </c>
      <c r="F12" s="8">
        <v>0.44</v>
      </c>
      <c r="G12" s="12">
        <v>16</v>
      </c>
      <c r="H12" s="8">
        <v>1.43</v>
      </c>
      <c r="I12" s="12">
        <v>0</v>
      </c>
    </row>
    <row r="13" spans="2:9" ht="15" customHeight="1" x14ac:dyDescent="0.2">
      <c r="B13" t="s">
        <v>53</v>
      </c>
      <c r="C13" s="12">
        <v>158</v>
      </c>
      <c r="D13" s="8">
        <v>5.8</v>
      </c>
      <c r="E13" s="12">
        <v>96</v>
      </c>
      <c r="F13" s="8">
        <v>6.06</v>
      </c>
      <c r="G13" s="12">
        <v>62</v>
      </c>
      <c r="H13" s="8">
        <v>5.55</v>
      </c>
      <c r="I13" s="12">
        <v>0</v>
      </c>
    </row>
    <row r="14" spans="2:9" ht="15" customHeight="1" x14ac:dyDescent="0.2">
      <c r="B14" t="s">
        <v>54</v>
      </c>
      <c r="C14" s="12">
        <v>90</v>
      </c>
      <c r="D14" s="8">
        <v>3.3</v>
      </c>
      <c r="E14" s="12">
        <v>60</v>
      </c>
      <c r="F14" s="8">
        <v>3.79</v>
      </c>
      <c r="G14" s="12">
        <v>28</v>
      </c>
      <c r="H14" s="8">
        <v>2.5</v>
      </c>
      <c r="I14" s="12">
        <v>0</v>
      </c>
    </row>
    <row r="15" spans="2:9" ht="15" customHeight="1" x14ac:dyDescent="0.2">
      <c r="B15" t="s">
        <v>55</v>
      </c>
      <c r="C15" s="12">
        <v>247</v>
      </c>
      <c r="D15" s="8">
        <v>9.06</v>
      </c>
      <c r="E15" s="12">
        <v>202</v>
      </c>
      <c r="F15" s="8">
        <v>12.76</v>
      </c>
      <c r="G15" s="12">
        <v>44</v>
      </c>
      <c r="H15" s="8">
        <v>3.94</v>
      </c>
      <c r="I15" s="12">
        <v>0</v>
      </c>
    </row>
    <row r="16" spans="2:9" ht="15" customHeight="1" x14ac:dyDescent="0.2">
      <c r="B16" t="s">
        <v>56</v>
      </c>
      <c r="C16" s="12">
        <v>340</v>
      </c>
      <c r="D16" s="8">
        <v>12.48</v>
      </c>
      <c r="E16" s="12">
        <v>296</v>
      </c>
      <c r="F16" s="8">
        <v>18.7</v>
      </c>
      <c r="G16" s="12">
        <v>41</v>
      </c>
      <c r="H16" s="8">
        <v>3.67</v>
      </c>
      <c r="I16" s="12">
        <v>0</v>
      </c>
    </row>
    <row r="17" spans="2:9" ht="15" customHeight="1" x14ac:dyDescent="0.2">
      <c r="B17" t="s">
        <v>57</v>
      </c>
      <c r="C17" s="12">
        <v>76</v>
      </c>
      <c r="D17" s="8">
        <v>2.79</v>
      </c>
      <c r="E17" s="12">
        <v>50</v>
      </c>
      <c r="F17" s="8">
        <v>3.16</v>
      </c>
      <c r="G17" s="12">
        <v>11</v>
      </c>
      <c r="H17" s="8">
        <v>0.98</v>
      </c>
      <c r="I17" s="12">
        <v>0</v>
      </c>
    </row>
    <row r="18" spans="2:9" ht="15" customHeight="1" x14ac:dyDescent="0.2">
      <c r="B18" t="s">
        <v>58</v>
      </c>
      <c r="C18" s="12">
        <v>93</v>
      </c>
      <c r="D18" s="8">
        <v>3.41</v>
      </c>
      <c r="E18" s="12">
        <v>72</v>
      </c>
      <c r="F18" s="8">
        <v>4.55</v>
      </c>
      <c r="G18" s="12">
        <v>20</v>
      </c>
      <c r="H18" s="8">
        <v>1.79</v>
      </c>
      <c r="I18" s="12">
        <v>0</v>
      </c>
    </row>
    <row r="19" spans="2:9" ht="15" customHeight="1" x14ac:dyDescent="0.2">
      <c r="B19" t="s">
        <v>59</v>
      </c>
      <c r="C19" s="12">
        <v>122</v>
      </c>
      <c r="D19" s="8">
        <v>4.4800000000000004</v>
      </c>
      <c r="E19" s="12">
        <v>77</v>
      </c>
      <c r="F19" s="8">
        <v>4.8600000000000003</v>
      </c>
      <c r="G19" s="12">
        <v>43</v>
      </c>
      <c r="H19" s="8">
        <v>3.85</v>
      </c>
      <c r="I19" s="12">
        <v>1</v>
      </c>
    </row>
    <row r="20" spans="2:9" ht="15" customHeight="1" x14ac:dyDescent="0.2">
      <c r="B20" s="9" t="s">
        <v>195</v>
      </c>
      <c r="C20" s="12">
        <f>SUM(LTBL_08227[総数／事業所数])</f>
        <v>2725</v>
      </c>
      <c r="E20" s="12">
        <f>SUBTOTAL(109,LTBL_08227[個人／事業所数])</f>
        <v>1583</v>
      </c>
      <c r="G20" s="12">
        <f>SUBTOTAL(109,LTBL_08227[法人／事業所数])</f>
        <v>1118</v>
      </c>
      <c r="I20" s="12">
        <f>SUBTOTAL(109,LTBL_08227[法人以外の団体／事業所数])</f>
        <v>1</v>
      </c>
    </row>
    <row r="21" spans="2:9" ht="15" customHeight="1" x14ac:dyDescent="0.2">
      <c r="E21" s="11">
        <f>LTBL_08227[[#Totals],[個人／事業所数]]/LTBL_08227[[#Totals],[総数／事業所数]]</f>
        <v>0.58091743119266059</v>
      </c>
      <c r="G21" s="11">
        <f>LTBL_08227[[#Totals],[法人／事業所数]]/LTBL_08227[[#Totals],[総数／事業所数]]</f>
        <v>0.41027522935779814</v>
      </c>
      <c r="I21" s="11">
        <f>LTBL_08227[[#Totals],[法人以外の団体／事業所数]]/LTBL_08227[[#Totals],[総数／事業所数]]</f>
        <v>3.6697247706422018E-4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298</v>
      </c>
      <c r="D24" s="8">
        <v>10.94</v>
      </c>
      <c r="E24" s="12">
        <v>275</v>
      </c>
      <c r="F24" s="8">
        <v>17.37</v>
      </c>
      <c r="G24" s="12">
        <v>22</v>
      </c>
      <c r="H24" s="8">
        <v>1.97</v>
      </c>
      <c r="I24" s="12">
        <v>0</v>
      </c>
    </row>
    <row r="25" spans="2:9" ht="15" customHeight="1" x14ac:dyDescent="0.2">
      <c r="B25" t="s">
        <v>68</v>
      </c>
      <c r="C25" s="12">
        <v>232</v>
      </c>
      <c r="D25" s="8">
        <v>8.51</v>
      </c>
      <c r="E25" s="12">
        <v>93</v>
      </c>
      <c r="F25" s="8">
        <v>5.87</v>
      </c>
      <c r="G25" s="12">
        <v>139</v>
      </c>
      <c r="H25" s="8">
        <v>12.43</v>
      </c>
      <c r="I25" s="12">
        <v>0</v>
      </c>
    </row>
    <row r="26" spans="2:9" ht="15" customHeight="1" x14ac:dyDescent="0.2">
      <c r="B26" t="s">
        <v>82</v>
      </c>
      <c r="C26" s="12">
        <v>229</v>
      </c>
      <c r="D26" s="8">
        <v>8.4</v>
      </c>
      <c r="E26" s="12">
        <v>192</v>
      </c>
      <c r="F26" s="8">
        <v>12.13</v>
      </c>
      <c r="G26" s="12">
        <v>37</v>
      </c>
      <c r="H26" s="8">
        <v>3.31</v>
      </c>
      <c r="I26" s="12">
        <v>0</v>
      </c>
    </row>
    <row r="27" spans="2:9" ht="15" customHeight="1" x14ac:dyDescent="0.2">
      <c r="B27" t="s">
        <v>77</v>
      </c>
      <c r="C27" s="12">
        <v>193</v>
      </c>
      <c r="D27" s="8">
        <v>7.08</v>
      </c>
      <c r="E27" s="12">
        <v>109</v>
      </c>
      <c r="F27" s="8">
        <v>6.89</v>
      </c>
      <c r="G27" s="12">
        <v>84</v>
      </c>
      <c r="H27" s="8">
        <v>7.51</v>
      </c>
      <c r="I27" s="12">
        <v>0</v>
      </c>
    </row>
    <row r="28" spans="2:9" ht="15" customHeight="1" x14ac:dyDescent="0.2">
      <c r="B28" t="s">
        <v>69</v>
      </c>
      <c r="C28" s="12">
        <v>155</v>
      </c>
      <c r="D28" s="8">
        <v>5.69</v>
      </c>
      <c r="E28" s="12">
        <v>76</v>
      </c>
      <c r="F28" s="8">
        <v>4.8</v>
      </c>
      <c r="G28" s="12">
        <v>79</v>
      </c>
      <c r="H28" s="8">
        <v>7.07</v>
      </c>
      <c r="I28" s="12">
        <v>0</v>
      </c>
    </row>
    <row r="29" spans="2:9" ht="15" customHeight="1" x14ac:dyDescent="0.2">
      <c r="B29" t="s">
        <v>79</v>
      </c>
      <c r="C29" s="12">
        <v>126</v>
      </c>
      <c r="D29" s="8">
        <v>4.62</v>
      </c>
      <c r="E29" s="12">
        <v>83</v>
      </c>
      <c r="F29" s="8">
        <v>5.24</v>
      </c>
      <c r="G29" s="12">
        <v>43</v>
      </c>
      <c r="H29" s="8">
        <v>3.85</v>
      </c>
      <c r="I29" s="12">
        <v>0</v>
      </c>
    </row>
    <row r="30" spans="2:9" ht="15" customHeight="1" x14ac:dyDescent="0.2">
      <c r="B30" t="s">
        <v>75</v>
      </c>
      <c r="C30" s="12">
        <v>122</v>
      </c>
      <c r="D30" s="8">
        <v>4.4800000000000004</v>
      </c>
      <c r="E30" s="12">
        <v>91</v>
      </c>
      <c r="F30" s="8">
        <v>5.75</v>
      </c>
      <c r="G30" s="12">
        <v>31</v>
      </c>
      <c r="H30" s="8">
        <v>2.77</v>
      </c>
      <c r="I30" s="12">
        <v>0</v>
      </c>
    </row>
    <row r="31" spans="2:9" ht="15" customHeight="1" x14ac:dyDescent="0.2">
      <c r="B31" t="s">
        <v>70</v>
      </c>
      <c r="C31" s="12">
        <v>120</v>
      </c>
      <c r="D31" s="8">
        <v>4.4000000000000004</v>
      </c>
      <c r="E31" s="12">
        <v>33</v>
      </c>
      <c r="F31" s="8">
        <v>2.08</v>
      </c>
      <c r="G31" s="12">
        <v>87</v>
      </c>
      <c r="H31" s="8">
        <v>7.78</v>
      </c>
      <c r="I31" s="12">
        <v>0</v>
      </c>
    </row>
    <row r="32" spans="2:9" ht="15" customHeight="1" x14ac:dyDescent="0.2">
      <c r="B32" t="s">
        <v>76</v>
      </c>
      <c r="C32" s="12">
        <v>114</v>
      </c>
      <c r="D32" s="8">
        <v>4.18</v>
      </c>
      <c r="E32" s="12">
        <v>78</v>
      </c>
      <c r="F32" s="8">
        <v>4.93</v>
      </c>
      <c r="G32" s="12">
        <v>36</v>
      </c>
      <c r="H32" s="8">
        <v>3.22</v>
      </c>
      <c r="I32" s="12">
        <v>0</v>
      </c>
    </row>
    <row r="33" spans="2:9" ht="15" customHeight="1" x14ac:dyDescent="0.2">
      <c r="B33" t="s">
        <v>71</v>
      </c>
      <c r="C33" s="12">
        <v>80</v>
      </c>
      <c r="D33" s="8">
        <v>2.94</v>
      </c>
      <c r="E33" s="12">
        <v>38</v>
      </c>
      <c r="F33" s="8">
        <v>2.4</v>
      </c>
      <c r="G33" s="12">
        <v>42</v>
      </c>
      <c r="H33" s="8">
        <v>3.76</v>
      </c>
      <c r="I33" s="12">
        <v>0</v>
      </c>
    </row>
    <row r="34" spans="2:9" ht="15" customHeight="1" x14ac:dyDescent="0.2">
      <c r="B34" t="s">
        <v>87</v>
      </c>
      <c r="C34" s="12">
        <v>78</v>
      </c>
      <c r="D34" s="8">
        <v>2.86</v>
      </c>
      <c r="E34" s="12">
        <v>69</v>
      </c>
      <c r="F34" s="8">
        <v>4.3600000000000003</v>
      </c>
      <c r="G34" s="12">
        <v>9</v>
      </c>
      <c r="H34" s="8">
        <v>0.81</v>
      </c>
      <c r="I34" s="12">
        <v>0</v>
      </c>
    </row>
    <row r="35" spans="2:9" ht="15" customHeight="1" x14ac:dyDescent="0.2">
      <c r="B35" t="s">
        <v>85</v>
      </c>
      <c r="C35" s="12">
        <v>76</v>
      </c>
      <c r="D35" s="8">
        <v>2.79</v>
      </c>
      <c r="E35" s="12">
        <v>50</v>
      </c>
      <c r="F35" s="8">
        <v>3.16</v>
      </c>
      <c r="G35" s="12">
        <v>11</v>
      </c>
      <c r="H35" s="8">
        <v>0.98</v>
      </c>
      <c r="I35" s="12">
        <v>0</v>
      </c>
    </row>
    <row r="36" spans="2:9" ht="15" customHeight="1" x14ac:dyDescent="0.2">
      <c r="B36" t="s">
        <v>86</v>
      </c>
      <c r="C36" s="12">
        <v>75</v>
      </c>
      <c r="D36" s="8">
        <v>2.75</v>
      </c>
      <c r="E36" s="12">
        <v>71</v>
      </c>
      <c r="F36" s="8">
        <v>4.49</v>
      </c>
      <c r="G36" s="12">
        <v>4</v>
      </c>
      <c r="H36" s="8">
        <v>0.36</v>
      </c>
      <c r="I36" s="12">
        <v>0</v>
      </c>
    </row>
    <row r="37" spans="2:9" ht="15" customHeight="1" x14ac:dyDescent="0.2">
      <c r="B37" t="s">
        <v>74</v>
      </c>
      <c r="C37" s="12">
        <v>53</v>
      </c>
      <c r="D37" s="8">
        <v>1.94</v>
      </c>
      <c r="E37" s="12">
        <v>29</v>
      </c>
      <c r="F37" s="8">
        <v>1.83</v>
      </c>
      <c r="G37" s="12">
        <v>24</v>
      </c>
      <c r="H37" s="8">
        <v>2.15</v>
      </c>
      <c r="I37" s="12">
        <v>0</v>
      </c>
    </row>
    <row r="38" spans="2:9" ht="15" customHeight="1" x14ac:dyDescent="0.2">
      <c r="B38" t="s">
        <v>81</v>
      </c>
      <c r="C38" s="12">
        <v>46</v>
      </c>
      <c r="D38" s="8">
        <v>1.69</v>
      </c>
      <c r="E38" s="12">
        <v>23</v>
      </c>
      <c r="F38" s="8">
        <v>1.45</v>
      </c>
      <c r="G38" s="12">
        <v>21</v>
      </c>
      <c r="H38" s="8">
        <v>1.88</v>
      </c>
      <c r="I38" s="12">
        <v>0</v>
      </c>
    </row>
    <row r="39" spans="2:9" ht="15" customHeight="1" x14ac:dyDescent="0.2">
      <c r="B39" t="s">
        <v>80</v>
      </c>
      <c r="C39" s="12">
        <v>43</v>
      </c>
      <c r="D39" s="8">
        <v>1.58</v>
      </c>
      <c r="E39" s="12">
        <v>37</v>
      </c>
      <c r="F39" s="8">
        <v>2.34</v>
      </c>
      <c r="G39" s="12">
        <v>6</v>
      </c>
      <c r="H39" s="8">
        <v>0.54</v>
      </c>
      <c r="I39" s="12">
        <v>0</v>
      </c>
    </row>
    <row r="40" spans="2:9" ht="15" customHeight="1" x14ac:dyDescent="0.2">
      <c r="B40" t="s">
        <v>92</v>
      </c>
      <c r="C40" s="12">
        <v>41</v>
      </c>
      <c r="D40" s="8">
        <v>1.5</v>
      </c>
      <c r="E40" s="12">
        <v>12</v>
      </c>
      <c r="F40" s="8">
        <v>0.76</v>
      </c>
      <c r="G40" s="12">
        <v>29</v>
      </c>
      <c r="H40" s="8">
        <v>2.59</v>
      </c>
      <c r="I40" s="12">
        <v>0</v>
      </c>
    </row>
    <row r="41" spans="2:9" ht="15" customHeight="1" x14ac:dyDescent="0.2">
      <c r="B41" t="s">
        <v>72</v>
      </c>
      <c r="C41" s="12">
        <v>39</v>
      </c>
      <c r="D41" s="8">
        <v>1.43</v>
      </c>
      <c r="E41" s="12">
        <v>8</v>
      </c>
      <c r="F41" s="8">
        <v>0.51</v>
      </c>
      <c r="G41" s="12">
        <v>31</v>
      </c>
      <c r="H41" s="8">
        <v>2.77</v>
      </c>
      <c r="I41" s="12">
        <v>0</v>
      </c>
    </row>
    <row r="42" spans="2:9" ht="15" customHeight="1" x14ac:dyDescent="0.2">
      <c r="B42" t="s">
        <v>101</v>
      </c>
      <c r="C42" s="12">
        <v>38</v>
      </c>
      <c r="D42" s="8">
        <v>1.39</v>
      </c>
      <c r="E42" s="12">
        <v>24</v>
      </c>
      <c r="F42" s="8">
        <v>1.52</v>
      </c>
      <c r="G42" s="12">
        <v>14</v>
      </c>
      <c r="H42" s="8">
        <v>1.25</v>
      </c>
      <c r="I42" s="12">
        <v>0</v>
      </c>
    </row>
    <row r="43" spans="2:9" ht="15" customHeight="1" x14ac:dyDescent="0.2">
      <c r="B43" t="s">
        <v>93</v>
      </c>
      <c r="C43" s="12">
        <v>36</v>
      </c>
      <c r="D43" s="8">
        <v>1.32</v>
      </c>
      <c r="E43" s="12">
        <v>11</v>
      </c>
      <c r="F43" s="8">
        <v>0.69</v>
      </c>
      <c r="G43" s="12">
        <v>25</v>
      </c>
      <c r="H43" s="8">
        <v>2.2400000000000002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142</v>
      </c>
      <c r="D47" s="8">
        <v>5.21</v>
      </c>
      <c r="E47" s="12">
        <v>135</v>
      </c>
      <c r="F47" s="8">
        <v>8.5299999999999994</v>
      </c>
      <c r="G47" s="12">
        <v>7</v>
      </c>
      <c r="H47" s="8">
        <v>0.63</v>
      </c>
      <c r="I47" s="12">
        <v>0</v>
      </c>
    </row>
    <row r="48" spans="2:9" ht="15" customHeight="1" x14ac:dyDescent="0.2">
      <c r="B48" t="s">
        <v>133</v>
      </c>
      <c r="C48" s="12">
        <v>125</v>
      </c>
      <c r="D48" s="8">
        <v>4.59</v>
      </c>
      <c r="E48" s="12">
        <v>122</v>
      </c>
      <c r="F48" s="8">
        <v>7.71</v>
      </c>
      <c r="G48" s="12">
        <v>3</v>
      </c>
      <c r="H48" s="8">
        <v>0.27</v>
      </c>
      <c r="I48" s="12">
        <v>0</v>
      </c>
    </row>
    <row r="49" spans="2:9" ht="15" customHeight="1" x14ac:dyDescent="0.2">
      <c r="B49" t="s">
        <v>129</v>
      </c>
      <c r="C49" s="12">
        <v>96</v>
      </c>
      <c r="D49" s="8">
        <v>3.52</v>
      </c>
      <c r="E49" s="12">
        <v>76</v>
      </c>
      <c r="F49" s="8">
        <v>4.8</v>
      </c>
      <c r="G49" s="12">
        <v>20</v>
      </c>
      <c r="H49" s="8">
        <v>1.79</v>
      </c>
      <c r="I49" s="12">
        <v>0</v>
      </c>
    </row>
    <row r="50" spans="2:9" ht="15" customHeight="1" x14ac:dyDescent="0.2">
      <c r="B50" t="s">
        <v>120</v>
      </c>
      <c r="C50" s="12">
        <v>81</v>
      </c>
      <c r="D50" s="8">
        <v>2.97</v>
      </c>
      <c r="E50" s="12">
        <v>59</v>
      </c>
      <c r="F50" s="8">
        <v>3.73</v>
      </c>
      <c r="G50" s="12">
        <v>22</v>
      </c>
      <c r="H50" s="8">
        <v>1.97</v>
      </c>
      <c r="I50" s="12">
        <v>0</v>
      </c>
    </row>
    <row r="51" spans="2:9" ht="15" customHeight="1" x14ac:dyDescent="0.2">
      <c r="B51" t="s">
        <v>137</v>
      </c>
      <c r="C51" s="12">
        <v>78</v>
      </c>
      <c r="D51" s="8">
        <v>2.86</v>
      </c>
      <c r="E51" s="12">
        <v>69</v>
      </c>
      <c r="F51" s="8">
        <v>4.3600000000000003</v>
      </c>
      <c r="G51" s="12">
        <v>9</v>
      </c>
      <c r="H51" s="8">
        <v>0.81</v>
      </c>
      <c r="I51" s="12">
        <v>0</v>
      </c>
    </row>
    <row r="52" spans="2:9" ht="15" customHeight="1" x14ac:dyDescent="0.2">
      <c r="B52" t="s">
        <v>124</v>
      </c>
      <c r="C52" s="12">
        <v>77</v>
      </c>
      <c r="D52" s="8">
        <v>2.83</v>
      </c>
      <c r="E52" s="12">
        <v>50</v>
      </c>
      <c r="F52" s="8">
        <v>3.16</v>
      </c>
      <c r="G52" s="12">
        <v>27</v>
      </c>
      <c r="H52" s="8">
        <v>2.42</v>
      </c>
      <c r="I52" s="12">
        <v>0</v>
      </c>
    </row>
    <row r="53" spans="2:9" ht="15" customHeight="1" x14ac:dyDescent="0.2">
      <c r="B53" t="s">
        <v>121</v>
      </c>
      <c r="C53" s="12">
        <v>72</v>
      </c>
      <c r="D53" s="8">
        <v>2.64</v>
      </c>
      <c r="E53" s="12">
        <v>20</v>
      </c>
      <c r="F53" s="8">
        <v>1.26</v>
      </c>
      <c r="G53" s="12">
        <v>52</v>
      </c>
      <c r="H53" s="8">
        <v>4.6500000000000004</v>
      </c>
      <c r="I53" s="12">
        <v>0</v>
      </c>
    </row>
    <row r="54" spans="2:9" ht="15" customHeight="1" x14ac:dyDescent="0.2">
      <c r="B54" t="s">
        <v>118</v>
      </c>
      <c r="C54" s="12">
        <v>68</v>
      </c>
      <c r="D54" s="8">
        <v>2.5</v>
      </c>
      <c r="E54" s="12">
        <v>10</v>
      </c>
      <c r="F54" s="8">
        <v>0.63</v>
      </c>
      <c r="G54" s="12">
        <v>58</v>
      </c>
      <c r="H54" s="8">
        <v>5.19</v>
      </c>
      <c r="I54" s="12">
        <v>0</v>
      </c>
    </row>
    <row r="55" spans="2:9" ht="15" customHeight="1" x14ac:dyDescent="0.2">
      <c r="B55" t="s">
        <v>131</v>
      </c>
      <c r="C55" s="12">
        <v>66</v>
      </c>
      <c r="D55" s="8">
        <v>2.42</v>
      </c>
      <c r="E55" s="12">
        <v>52</v>
      </c>
      <c r="F55" s="8">
        <v>3.28</v>
      </c>
      <c r="G55" s="12">
        <v>14</v>
      </c>
      <c r="H55" s="8">
        <v>1.25</v>
      </c>
      <c r="I55" s="12">
        <v>0</v>
      </c>
    </row>
    <row r="56" spans="2:9" ht="15" customHeight="1" x14ac:dyDescent="0.2">
      <c r="B56" t="s">
        <v>132</v>
      </c>
      <c r="C56" s="12">
        <v>57</v>
      </c>
      <c r="D56" s="8">
        <v>2.09</v>
      </c>
      <c r="E56" s="12">
        <v>52</v>
      </c>
      <c r="F56" s="8">
        <v>3.28</v>
      </c>
      <c r="G56" s="12">
        <v>5</v>
      </c>
      <c r="H56" s="8">
        <v>0.45</v>
      </c>
      <c r="I56" s="12">
        <v>0</v>
      </c>
    </row>
    <row r="57" spans="2:9" ht="15" customHeight="1" x14ac:dyDescent="0.2">
      <c r="B57" t="s">
        <v>119</v>
      </c>
      <c r="C57" s="12">
        <v>54</v>
      </c>
      <c r="D57" s="8">
        <v>1.98</v>
      </c>
      <c r="E57" s="12">
        <v>16</v>
      </c>
      <c r="F57" s="8">
        <v>1.01</v>
      </c>
      <c r="G57" s="12">
        <v>38</v>
      </c>
      <c r="H57" s="8">
        <v>3.4</v>
      </c>
      <c r="I57" s="12">
        <v>0</v>
      </c>
    </row>
    <row r="58" spans="2:9" ht="15" customHeight="1" x14ac:dyDescent="0.2">
      <c r="B58" t="s">
        <v>123</v>
      </c>
      <c r="C58" s="12">
        <v>47</v>
      </c>
      <c r="D58" s="8">
        <v>1.72</v>
      </c>
      <c r="E58" s="12">
        <v>33</v>
      </c>
      <c r="F58" s="8">
        <v>2.08</v>
      </c>
      <c r="G58" s="12">
        <v>14</v>
      </c>
      <c r="H58" s="8">
        <v>1.25</v>
      </c>
      <c r="I58" s="12">
        <v>0</v>
      </c>
    </row>
    <row r="59" spans="2:9" ht="15" customHeight="1" x14ac:dyDescent="0.2">
      <c r="B59" t="s">
        <v>126</v>
      </c>
      <c r="C59" s="12">
        <v>47</v>
      </c>
      <c r="D59" s="8">
        <v>1.72</v>
      </c>
      <c r="E59" s="12">
        <v>22</v>
      </c>
      <c r="F59" s="8">
        <v>1.39</v>
      </c>
      <c r="G59" s="12">
        <v>25</v>
      </c>
      <c r="H59" s="8">
        <v>2.2400000000000002</v>
      </c>
      <c r="I59" s="12">
        <v>0</v>
      </c>
    </row>
    <row r="60" spans="2:9" ht="15" customHeight="1" x14ac:dyDescent="0.2">
      <c r="B60" t="s">
        <v>136</v>
      </c>
      <c r="C60" s="12">
        <v>46</v>
      </c>
      <c r="D60" s="8">
        <v>1.69</v>
      </c>
      <c r="E60" s="12">
        <v>44</v>
      </c>
      <c r="F60" s="8">
        <v>2.78</v>
      </c>
      <c r="G60" s="12">
        <v>2</v>
      </c>
      <c r="H60" s="8">
        <v>0.18</v>
      </c>
      <c r="I60" s="12">
        <v>0</v>
      </c>
    </row>
    <row r="61" spans="2:9" ht="15" customHeight="1" x14ac:dyDescent="0.2">
      <c r="B61" t="s">
        <v>127</v>
      </c>
      <c r="C61" s="12">
        <v>44</v>
      </c>
      <c r="D61" s="8">
        <v>1.61</v>
      </c>
      <c r="E61" s="12">
        <v>35</v>
      </c>
      <c r="F61" s="8">
        <v>2.21</v>
      </c>
      <c r="G61" s="12">
        <v>9</v>
      </c>
      <c r="H61" s="8">
        <v>0.81</v>
      </c>
      <c r="I61" s="12">
        <v>0</v>
      </c>
    </row>
    <row r="62" spans="2:9" ht="15" customHeight="1" x14ac:dyDescent="0.2">
      <c r="B62" t="s">
        <v>150</v>
      </c>
      <c r="C62" s="12">
        <v>36</v>
      </c>
      <c r="D62" s="8">
        <v>1.32</v>
      </c>
      <c r="E62" s="12">
        <v>17</v>
      </c>
      <c r="F62" s="8">
        <v>1.07</v>
      </c>
      <c r="G62" s="12">
        <v>19</v>
      </c>
      <c r="H62" s="8">
        <v>1.7</v>
      </c>
      <c r="I62" s="12">
        <v>0</v>
      </c>
    </row>
    <row r="63" spans="2:9" ht="15" customHeight="1" x14ac:dyDescent="0.2">
      <c r="B63" t="s">
        <v>135</v>
      </c>
      <c r="C63" s="12">
        <v>35</v>
      </c>
      <c r="D63" s="8">
        <v>1.28</v>
      </c>
      <c r="E63" s="12">
        <v>32</v>
      </c>
      <c r="F63" s="8">
        <v>2.02</v>
      </c>
      <c r="G63" s="12">
        <v>3</v>
      </c>
      <c r="H63" s="8">
        <v>0.27</v>
      </c>
      <c r="I63" s="12">
        <v>0</v>
      </c>
    </row>
    <row r="64" spans="2:9" ht="15" customHeight="1" x14ac:dyDescent="0.2">
      <c r="B64" t="s">
        <v>122</v>
      </c>
      <c r="C64" s="12">
        <v>34</v>
      </c>
      <c r="D64" s="8">
        <v>1.25</v>
      </c>
      <c r="E64" s="12">
        <v>11</v>
      </c>
      <c r="F64" s="8">
        <v>0.69</v>
      </c>
      <c r="G64" s="12">
        <v>23</v>
      </c>
      <c r="H64" s="8">
        <v>2.06</v>
      </c>
      <c r="I64" s="12">
        <v>0</v>
      </c>
    </row>
    <row r="65" spans="2:9" ht="15" customHeight="1" x14ac:dyDescent="0.2">
      <c r="B65" t="s">
        <v>125</v>
      </c>
      <c r="C65" s="12">
        <v>32</v>
      </c>
      <c r="D65" s="8">
        <v>1.17</v>
      </c>
      <c r="E65" s="12">
        <v>8</v>
      </c>
      <c r="F65" s="8">
        <v>0.51</v>
      </c>
      <c r="G65" s="12">
        <v>24</v>
      </c>
      <c r="H65" s="8">
        <v>2.15</v>
      </c>
      <c r="I65" s="12">
        <v>0</v>
      </c>
    </row>
    <row r="66" spans="2:9" ht="15" customHeight="1" x14ac:dyDescent="0.2">
      <c r="B66" t="s">
        <v>163</v>
      </c>
      <c r="C66" s="12">
        <v>30</v>
      </c>
      <c r="D66" s="8">
        <v>1.1000000000000001</v>
      </c>
      <c r="E66" s="12">
        <v>21</v>
      </c>
      <c r="F66" s="8">
        <v>1.33</v>
      </c>
      <c r="G66" s="12">
        <v>9</v>
      </c>
      <c r="H66" s="8">
        <v>0.81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035E-3DA4-4AF2-BAF8-68F9BB3E286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417</v>
      </c>
      <c r="D6" s="8">
        <v>25.77</v>
      </c>
      <c r="E6" s="12">
        <v>209</v>
      </c>
      <c r="F6" s="8">
        <v>22.42</v>
      </c>
      <c r="G6" s="12">
        <v>208</v>
      </c>
      <c r="H6" s="8">
        <v>30.86</v>
      </c>
      <c r="I6" s="12">
        <v>0</v>
      </c>
    </row>
    <row r="7" spans="2:9" ht="15" customHeight="1" x14ac:dyDescent="0.2">
      <c r="B7" t="s">
        <v>47</v>
      </c>
      <c r="C7" s="12">
        <v>249</v>
      </c>
      <c r="D7" s="8">
        <v>15.39</v>
      </c>
      <c r="E7" s="12">
        <v>101</v>
      </c>
      <c r="F7" s="8">
        <v>10.84</v>
      </c>
      <c r="G7" s="12">
        <v>148</v>
      </c>
      <c r="H7" s="8">
        <v>21.96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0.12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49</v>
      </c>
      <c r="C9" s="12">
        <v>2</v>
      </c>
      <c r="D9" s="8">
        <v>0.12</v>
      </c>
      <c r="E9" s="12">
        <v>0</v>
      </c>
      <c r="F9" s="8">
        <v>0</v>
      </c>
      <c r="G9" s="12">
        <v>2</v>
      </c>
      <c r="H9" s="8">
        <v>0.3</v>
      </c>
      <c r="I9" s="12">
        <v>0</v>
      </c>
    </row>
    <row r="10" spans="2:9" ht="15" customHeight="1" x14ac:dyDescent="0.2">
      <c r="B10" t="s">
        <v>50</v>
      </c>
      <c r="C10" s="12">
        <v>24</v>
      </c>
      <c r="D10" s="8">
        <v>1.48</v>
      </c>
      <c r="E10" s="12">
        <v>3</v>
      </c>
      <c r="F10" s="8">
        <v>0.32</v>
      </c>
      <c r="G10" s="12">
        <v>21</v>
      </c>
      <c r="H10" s="8">
        <v>3.12</v>
      </c>
      <c r="I10" s="12">
        <v>0</v>
      </c>
    </row>
    <row r="11" spans="2:9" ht="15" customHeight="1" x14ac:dyDescent="0.2">
      <c r="B11" t="s">
        <v>51</v>
      </c>
      <c r="C11" s="12">
        <v>333</v>
      </c>
      <c r="D11" s="8">
        <v>20.58</v>
      </c>
      <c r="E11" s="12">
        <v>176</v>
      </c>
      <c r="F11" s="8">
        <v>18.88</v>
      </c>
      <c r="G11" s="12">
        <v>156</v>
      </c>
      <c r="H11" s="8">
        <v>23.15</v>
      </c>
      <c r="I11" s="12">
        <v>1</v>
      </c>
    </row>
    <row r="12" spans="2:9" ht="15" customHeight="1" x14ac:dyDescent="0.2">
      <c r="B12" t="s">
        <v>52</v>
      </c>
      <c r="C12" s="12">
        <v>9</v>
      </c>
      <c r="D12" s="8">
        <v>0.56000000000000005</v>
      </c>
      <c r="E12" s="12">
        <v>0</v>
      </c>
      <c r="F12" s="8">
        <v>0</v>
      </c>
      <c r="G12" s="12">
        <v>9</v>
      </c>
      <c r="H12" s="8">
        <v>1.34</v>
      </c>
      <c r="I12" s="12">
        <v>0</v>
      </c>
    </row>
    <row r="13" spans="2:9" ht="15" customHeight="1" x14ac:dyDescent="0.2">
      <c r="B13" t="s">
        <v>53</v>
      </c>
      <c r="C13" s="12">
        <v>83</v>
      </c>
      <c r="D13" s="8">
        <v>5.13</v>
      </c>
      <c r="E13" s="12">
        <v>45</v>
      </c>
      <c r="F13" s="8">
        <v>4.83</v>
      </c>
      <c r="G13" s="12">
        <v>38</v>
      </c>
      <c r="H13" s="8">
        <v>5.64</v>
      </c>
      <c r="I13" s="12">
        <v>0</v>
      </c>
    </row>
    <row r="14" spans="2:9" ht="15" customHeight="1" x14ac:dyDescent="0.2">
      <c r="B14" t="s">
        <v>54</v>
      </c>
      <c r="C14" s="12">
        <v>46</v>
      </c>
      <c r="D14" s="8">
        <v>2.84</v>
      </c>
      <c r="E14" s="12">
        <v>35</v>
      </c>
      <c r="F14" s="8">
        <v>3.76</v>
      </c>
      <c r="G14" s="12">
        <v>11</v>
      </c>
      <c r="H14" s="8">
        <v>1.63</v>
      </c>
      <c r="I14" s="12">
        <v>0</v>
      </c>
    </row>
    <row r="15" spans="2:9" ht="15" customHeight="1" x14ac:dyDescent="0.2">
      <c r="B15" t="s">
        <v>55</v>
      </c>
      <c r="C15" s="12">
        <v>122</v>
      </c>
      <c r="D15" s="8">
        <v>7.54</v>
      </c>
      <c r="E15" s="12">
        <v>105</v>
      </c>
      <c r="F15" s="8">
        <v>11.27</v>
      </c>
      <c r="G15" s="12">
        <v>17</v>
      </c>
      <c r="H15" s="8">
        <v>2.52</v>
      </c>
      <c r="I15" s="12">
        <v>0</v>
      </c>
    </row>
    <row r="16" spans="2:9" ht="15" customHeight="1" x14ac:dyDescent="0.2">
      <c r="B16" t="s">
        <v>56</v>
      </c>
      <c r="C16" s="12">
        <v>172</v>
      </c>
      <c r="D16" s="8">
        <v>10.63</v>
      </c>
      <c r="E16" s="12">
        <v>148</v>
      </c>
      <c r="F16" s="8">
        <v>15.88</v>
      </c>
      <c r="G16" s="12">
        <v>23</v>
      </c>
      <c r="H16" s="8">
        <v>3.41</v>
      </c>
      <c r="I16" s="12">
        <v>0</v>
      </c>
    </row>
    <row r="17" spans="2:9" ht="15" customHeight="1" x14ac:dyDescent="0.2">
      <c r="B17" t="s">
        <v>57</v>
      </c>
      <c r="C17" s="12">
        <v>25</v>
      </c>
      <c r="D17" s="8">
        <v>1.55</v>
      </c>
      <c r="E17" s="12">
        <v>20</v>
      </c>
      <c r="F17" s="8">
        <v>2.15</v>
      </c>
      <c r="G17" s="12">
        <v>2</v>
      </c>
      <c r="H17" s="8">
        <v>0.3</v>
      </c>
      <c r="I17" s="12">
        <v>0</v>
      </c>
    </row>
    <row r="18" spans="2:9" ht="15" customHeight="1" x14ac:dyDescent="0.2">
      <c r="B18" t="s">
        <v>58</v>
      </c>
      <c r="C18" s="12">
        <v>60</v>
      </c>
      <c r="D18" s="8">
        <v>3.71</v>
      </c>
      <c r="E18" s="12">
        <v>40</v>
      </c>
      <c r="F18" s="8">
        <v>4.29</v>
      </c>
      <c r="G18" s="12">
        <v>14</v>
      </c>
      <c r="H18" s="8">
        <v>2.08</v>
      </c>
      <c r="I18" s="12">
        <v>0</v>
      </c>
    </row>
    <row r="19" spans="2:9" ht="15" customHeight="1" x14ac:dyDescent="0.2">
      <c r="B19" t="s">
        <v>59</v>
      </c>
      <c r="C19" s="12">
        <v>74</v>
      </c>
      <c r="D19" s="8">
        <v>4.57</v>
      </c>
      <c r="E19" s="12">
        <v>50</v>
      </c>
      <c r="F19" s="8">
        <v>5.36</v>
      </c>
      <c r="G19" s="12">
        <v>23</v>
      </c>
      <c r="H19" s="8">
        <v>3.41</v>
      </c>
      <c r="I19" s="12">
        <v>1</v>
      </c>
    </row>
    <row r="20" spans="2:9" ht="15" customHeight="1" x14ac:dyDescent="0.2">
      <c r="B20" s="9" t="s">
        <v>195</v>
      </c>
      <c r="C20" s="12">
        <f>SUM(LTBL_08228[総数／事業所数])</f>
        <v>1618</v>
      </c>
      <c r="E20" s="12">
        <f>SUBTOTAL(109,LTBL_08228[個人／事業所数])</f>
        <v>932</v>
      </c>
      <c r="G20" s="12">
        <f>SUBTOTAL(109,LTBL_08228[法人／事業所数])</f>
        <v>674</v>
      </c>
      <c r="I20" s="12">
        <f>SUBTOTAL(109,LTBL_08228[法人以外の団体／事業所数])</f>
        <v>2</v>
      </c>
    </row>
    <row r="21" spans="2:9" ht="15" customHeight="1" x14ac:dyDescent="0.2">
      <c r="E21" s="11">
        <f>LTBL_08228[[#Totals],[個人／事業所数]]/LTBL_08228[[#Totals],[総数／事業所数]]</f>
        <v>0.57601977750309019</v>
      </c>
      <c r="G21" s="11">
        <f>LTBL_08228[[#Totals],[法人／事業所数]]/LTBL_08228[[#Totals],[総数／事業所数]]</f>
        <v>0.41656365883807167</v>
      </c>
      <c r="I21" s="11">
        <f>LTBL_08228[[#Totals],[法人以外の団体／事業所数]]/LTBL_08228[[#Totals],[総数／事業所数]]</f>
        <v>1.2360939431396785E-3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68</v>
      </c>
      <c r="C24" s="12">
        <v>183</v>
      </c>
      <c r="D24" s="8">
        <v>11.31</v>
      </c>
      <c r="E24" s="12">
        <v>83</v>
      </c>
      <c r="F24" s="8">
        <v>8.91</v>
      </c>
      <c r="G24" s="12">
        <v>100</v>
      </c>
      <c r="H24" s="8">
        <v>14.84</v>
      </c>
      <c r="I24" s="12">
        <v>0</v>
      </c>
    </row>
    <row r="25" spans="2:9" ht="15" customHeight="1" x14ac:dyDescent="0.2">
      <c r="B25" t="s">
        <v>69</v>
      </c>
      <c r="C25" s="12">
        <v>160</v>
      </c>
      <c r="D25" s="8">
        <v>9.89</v>
      </c>
      <c r="E25" s="12">
        <v>94</v>
      </c>
      <c r="F25" s="8">
        <v>10.09</v>
      </c>
      <c r="G25" s="12">
        <v>66</v>
      </c>
      <c r="H25" s="8">
        <v>9.7899999999999991</v>
      </c>
      <c r="I25" s="12">
        <v>0</v>
      </c>
    </row>
    <row r="26" spans="2:9" ht="15" customHeight="1" x14ac:dyDescent="0.2">
      <c r="B26" t="s">
        <v>83</v>
      </c>
      <c r="C26" s="12">
        <v>152</v>
      </c>
      <c r="D26" s="8">
        <v>9.39</v>
      </c>
      <c r="E26" s="12">
        <v>140</v>
      </c>
      <c r="F26" s="8">
        <v>15.02</v>
      </c>
      <c r="G26" s="12">
        <v>12</v>
      </c>
      <c r="H26" s="8">
        <v>1.78</v>
      </c>
      <c r="I26" s="12">
        <v>0</v>
      </c>
    </row>
    <row r="27" spans="2:9" ht="15" customHeight="1" x14ac:dyDescent="0.2">
      <c r="B27" t="s">
        <v>77</v>
      </c>
      <c r="C27" s="12">
        <v>111</v>
      </c>
      <c r="D27" s="8">
        <v>6.86</v>
      </c>
      <c r="E27" s="12">
        <v>62</v>
      </c>
      <c r="F27" s="8">
        <v>6.65</v>
      </c>
      <c r="G27" s="12">
        <v>48</v>
      </c>
      <c r="H27" s="8">
        <v>7.12</v>
      </c>
      <c r="I27" s="12">
        <v>1</v>
      </c>
    </row>
    <row r="28" spans="2:9" ht="15" customHeight="1" x14ac:dyDescent="0.2">
      <c r="B28" t="s">
        <v>82</v>
      </c>
      <c r="C28" s="12">
        <v>111</v>
      </c>
      <c r="D28" s="8">
        <v>6.86</v>
      </c>
      <c r="E28" s="12">
        <v>99</v>
      </c>
      <c r="F28" s="8">
        <v>10.62</v>
      </c>
      <c r="G28" s="12">
        <v>12</v>
      </c>
      <c r="H28" s="8">
        <v>1.78</v>
      </c>
      <c r="I28" s="12">
        <v>0</v>
      </c>
    </row>
    <row r="29" spans="2:9" ht="15" customHeight="1" x14ac:dyDescent="0.2">
      <c r="B29" t="s">
        <v>70</v>
      </c>
      <c r="C29" s="12">
        <v>74</v>
      </c>
      <c r="D29" s="8">
        <v>4.57</v>
      </c>
      <c r="E29" s="12">
        <v>32</v>
      </c>
      <c r="F29" s="8">
        <v>3.43</v>
      </c>
      <c r="G29" s="12">
        <v>42</v>
      </c>
      <c r="H29" s="8">
        <v>6.23</v>
      </c>
      <c r="I29" s="12">
        <v>0</v>
      </c>
    </row>
    <row r="30" spans="2:9" ht="15" customHeight="1" x14ac:dyDescent="0.2">
      <c r="B30" t="s">
        <v>79</v>
      </c>
      <c r="C30" s="12">
        <v>63</v>
      </c>
      <c r="D30" s="8">
        <v>3.89</v>
      </c>
      <c r="E30" s="12">
        <v>41</v>
      </c>
      <c r="F30" s="8">
        <v>4.4000000000000004</v>
      </c>
      <c r="G30" s="12">
        <v>22</v>
      </c>
      <c r="H30" s="8">
        <v>3.26</v>
      </c>
      <c r="I30" s="12">
        <v>0</v>
      </c>
    </row>
    <row r="31" spans="2:9" ht="15" customHeight="1" x14ac:dyDescent="0.2">
      <c r="B31" t="s">
        <v>75</v>
      </c>
      <c r="C31" s="12">
        <v>62</v>
      </c>
      <c r="D31" s="8">
        <v>3.83</v>
      </c>
      <c r="E31" s="12">
        <v>46</v>
      </c>
      <c r="F31" s="8">
        <v>4.9400000000000004</v>
      </c>
      <c r="G31" s="12">
        <v>16</v>
      </c>
      <c r="H31" s="8">
        <v>2.37</v>
      </c>
      <c r="I31" s="12">
        <v>0</v>
      </c>
    </row>
    <row r="32" spans="2:9" ht="15" customHeight="1" x14ac:dyDescent="0.2">
      <c r="B32" t="s">
        <v>76</v>
      </c>
      <c r="C32" s="12">
        <v>55</v>
      </c>
      <c r="D32" s="8">
        <v>3.4</v>
      </c>
      <c r="E32" s="12">
        <v>38</v>
      </c>
      <c r="F32" s="8">
        <v>4.08</v>
      </c>
      <c r="G32" s="12">
        <v>17</v>
      </c>
      <c r="H32" s="8">
        <v>2.52</v>
      </c>
      <c r="I32" s="12">
        <v>0</v>
      </c>
    </row>
    <row r="33" spans="2:9" ht="15" customHeight="1" x14ac:dyDescent="0.2">
      <c r="B33" t="s">
        <v>87</v>
      </c>
      <c r="C33" s="12">
        <v>52</v>
      </c>
      <c r="D33" s="8">
        <v>3.21</v>
      </c>
      <c r="E33" s="12">
        <v>43</v>
      </c>
      <c r="F33" s="8">
        <v>4.6100000000000003</v>
      </c>
      <c r="G33" s="12">
        <v>9</v>
      </c>
      <c r="H33" s="8">
        <v>1.34</v>
      </c>
      <c r="I33" s="12">
        <v>0</v>
      </c>
    </row>
    <row r="34" spans="2:9" ht="15" customHeight="1" x14ac:dyDescent="0.2">
      <c r="B34" t="s">
        <v>86</v>
      </c>
      <c r="C34" s="12">
        <v>45</v>
      </c>
      <c r="D34" s="8">
        <v>2.78</v>
      </c>
      <c r="E34" s="12">
        <v>40</v>
      </c>
      <c r="F34" s="8">
        <v>4.29</v>
      </c>
      <c r="G34" s="12">
        <v>5</v>
      </c>
      <c r="H34" s="8">
        <v>0.74</v>
      </c>
      <c r="I34" s="12">
        <v>0</v>
      </c>
    </row>
    <row r="35" spans="2:9" ht="15" customHeight="1" x14ac:dyDescent="0.2">
      <c r="B35" t="s">
        <v>71</v>
      </c>
      <c r="C35" s="12">
        <v>43</v>
      </c>
      <c r="D35" s="8">
        <v>2.66</v>
      </c>
      <c r="E35" s="12">
        <v>17</v>
      </c>
      <c r="F35" s="8">
        <v>1.82</v>
      </c>
      <c r="G35" s="12">
        <v>26</v>
      </c>
      <c r="H35" s="8">
        <v>3.86</v>
      </c>
      <c r="I35" s="12">
        <v>0</v>
      </c>
    </row>
    <row r="36" spans="2:9" ht="15" customHeight="1" x14ac:dyDescent="0.2">
      <c r="B36" t="s">
        <v>91</v>
      </c>
      <c r="C36" s="12">
        <v>30</v>
      </c>
      <c r="D36" s="8">
        <v>1.85</v>
      </c>
      <c r="E36" s="12">
        <v>12</v>
      </c>
      <c r="F36" s="8">
        <v>1.29</v>
      </c>
      <c r="G36" s="12">
        <v>18</v>
      </c>
      <c r="H36" s="8">
        <v>2.67</v>
      </c>
      <c r="I36" s="12">
        <v>0</v>
      </c>
    </row>
    <row r="37" spans="2:9" ht="15" customHeight="1" x14ac:dyDescent="0.2">
      <c r="B37" t="s">
        <v>74</v>
      </c>
      <c r="C37" s="12">
        <v>28</v>
      </c>
      <c r="D37" s="8">
        <v>1.73</v>
      </c>
      <c r="E37" s="12">
        <v>18</v>
      </c>
      <c r="F37" s="8">
        <v>1.93</v>
      </c>
      <c r="G37" s="12">
        <v>10</v>
      </c>
      <c r="H37" s="8">
        <v>1.48</v>
      </c>
      <c r="I37" s="12">
        <v>0</v>
      </c>
    </row>
    <row r="38" spans="2:9" ht="15" customHeight="1" x14ac:dyDescent="0.2">
      <c r="B38" t="s">
        <v>85</v>
      </c>
      <c r="C38" s="12">
        <v>25</v>
      </c>
      <c r="D38" s="8">
        <v>1.55</v>
      </c>
      <c r="E38" s="12">
        <v>20</v>
      </c>
      <c r="F38" s="8">
        <v>2.15</v>
      </c>
      <c r="G38" s="12">
        <v>2</v>
      </c>
      <c r="H38" s="8">
        <v>0.3</v>
      </c>
      <c r="I38" s="12">
        <v>0</v>
      </c>
    </row>
    <row r="39" spans="2:9" ht="15" customHeight="1" x14ac:dyDescent="0.2">
      <c r="B39" t="s">
        <v>94</v>
      </c>
      <c r="C39" s="12">
        <v>24</v>
      </c>
      <c r="D39" s="8">
        <v>1.48</v>
      </c>
      <c r="E39" s="12">
        <v>17</v>
      </c>
      <c r="F39" s="8">
        <v>1.82</v>
      </c>
      <c r="G39" s="12">
        <v>7</v>
      </c>
      <c r="H39" s="8">
        <v>1.04</v>
      </c>
      <c r="I39" s="12">
        <v>0</v>
      </c>
    </row>
    <row r="40" spans="2:9" ht="15" customHeight="1" x14ac:dyDescent="0.2">
      <c r="B40" t="s">
        <v>72</v>
      </c>
      <c r="C40" s="12">
        <v>24</v>
      </c>
      <c r="D40" s="8">
        <v>1.48</v>
      </c>
      <c r="E40" s="12">
        <v>4</v>
      </c>
      <c r="F40" s="8">
        <v>0.43</v>
      </c>
      <c r="G40" s="12">
        <v>20</v>
      </c>
      <c r="H40" s="8">
        <v>2.97</v>
      </c>
      <c r="I40" s="12">
        <v>0</v>
      </c>
    </row>
    <row r="41" spans="2:9" ht="15" customHeight="1" x14ac:dyDescent="0.2">
      <c r="B41" t="s">
        <v>73</v>
      </c>
      <c r="C41" s="12">
        <v>24</v>
      </c>
      <c r="D41" s="8">
        <v>1.48</v>
      </c>
      <c r="E41" s="12">
        <v>2</v>
      </c>
      <c r="F41" s="8">
        <v>0.21</v>
      </c>
      <c r="G41" s="12">
        <v>22</v>
      </c>
      <c r="H41" s="8">
        <v>3.26</v>
      </c>
      <c r="I41" s="12">
        <v>0</v>
      </c>
    </row>
    <row r="42" spans="2:9" ht="15" customHeight="1" x14ac:dyDescent="0.2">
      <c r="B42" t="s">
        <v>81</v>
      </c>
      <c r="C42" s="12">
        <v>23</v>
      </c>
      <c r="D42" s="8">
        <v>1.42</v>
      </c>
      <c r="E42" s="12">
        <v>14</v>
      </c>
      <c r="F42" s="8">
        <v>1.5</v>
      </c>
      <c r="G42" s="12">
        <v>9</v>
      </c>
      <c r="H42" s="8">
        <v>1.34</v>
      </c>
      <c r="I42" s="12">
        <v>0</v>
      </c>
    </row>
    <row r="43" spans="2:9" ht="15" customHeight="1" x14ac:dyDescent="0.2">
      <c r="B43" t="s">
        <v>80</v>
      </c>
      <c r="C43" s="12">
        <v>22</v>
      </c>
      <c r="D43" s="8">
        <v>1.36</v>
      </c>
      <c r="E43" s="12">
        <v>21</v>
      </c>
      <c r="F43" s="8">
        <v>2.25</v>
      </c>
      <c r="G43" s="12">
        <v>1</v>
      </c>
      <c r="H43" s="8">
        <v>0.15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120</v>
      </c>
      <c r="C47" s="12">
        <v>84</v>
      </c>
      <c r="D47" s="8">
        <v>5.19</v>
      </c>
      <c r="E47" s="12">
        <v>64</v>
      </c>
      <c r="F47" s="8">
        <v>6.87</v>
      </c>
      <c r="G47" s="12">
        <v>20</v>
      </c>
      <c r="H47" s="8">
        <v>2.97</v>
      </c>
      <c r="I47" s="12">
        <v>0</v>
      </c>
    </row>
    <row r="48" spans="2:9" ht="15" customHeight="1" x14ac:dyDescent="0.2">
      <c r="B48" t="s">
        <v>134</v>
      </c>
      <c r="C48" s="12">
        <v>71</v>
      </c>
      <c r="D48" s="8">
        <v>4.3899999999999997</v>
      </c>
      <c r="E48" s="12">
        <v>67</v>
      </c>
      <c r="F48" s="8">
        <v>7.19</v>
      </c>
      <c r="G48" s="12">
        <v>4</v>
      </c>
      <c r="H48" s="8">
        <v>0.59</v>
      </c>
      <c r="I48" s="12">
        <v>0</v>
      </c>
    </row>
    <row r="49" spans="2:9" ht="15" customHeight="1" x14ac:dyDescent="0.2">
      <c r="B49" t="s">
        <v>133</v>
      </c>
      <c r="C49" s="12">
        <v>61</v>
      </c>
      <c r="D49" s="8">
        <v>3.77</v>
      </c>
      <c r="E49" s="12">
        <v>59</v>
      </c>
      <c r="F49" s="8">
        <v>6.33</v>
      </c>
      <c r="G49" s="12">
        <v>2</v>
      </c>
      <c r="H49" s="8">
        <v>0.3</v>
      </c>
      <c r="I49" s="12">
        <v>0</v>
      </c>
    </row>
    <row r="50" spans="2:9" ht="15" customHeight="1" x14ac:dyDescent="0.2">
      <c r="B50" t="s">
        <v>137</v>
      </c>
      <c r="C50" s="12">
        <v>52</v>
      </c>
      <c r="D50" s="8">
        <v>3.21</v>
      </c>
      <c r="E50" s="12">
        <v>43</v>
      </c>
      <c r="F50" s="8">
        <v>4.6100000000000003</v>
      </c>
      <c r="G50" s="12">
        <v>9</v>
      </c>
      <c r="H50" s="8">
        <v>1.34</v>
      </c>
      <c r="I50" s="12">
        <v>0</v>
      </c>
    </row>
    <row r="51" spans="2:9" ht="15" customHeight="1" x14ac:dyDescent="0.2">
      <c r="B51" t="s">
        <v>118</v>
      </c>
      <c r="C51" s="12">
        <v>50</v>
      </c>
      <c r="D51" s="8">
        <v>3.09</v>
      </c>
      <c r="E51" s="12">
        <v>6</v>
      </c>
      <c r="F51" s="8">
        <v>0.64</v>
      </c>
      <c r="G51" s="12">
        <v>44</v>
      </c>
      <c r="H51" s="8">
        <v>6.53</v>
      </c>
      <c r="I51" s="12">
        <v>0</v>
      </c>
    </row>
    <row r="52" spans="2:9" ht="15" customHeight="1" x14ac:dyDescent="0.2">
      <c r="B52" t="s">
        <v>129</v>
      </c>
      <c r="C52" s="12">
        <v>50</v>
      </c>
      <c r="D52" s="8">
        <v>3.09</v>
      </c>
      <c r="E52" s="12">
        <v>40</v>
      </c>
      <c r="F52" s="8">
        <v>4.29</v>
      </c>
      <c r="G52" s="12">
        <v>10</v>
      </c>
      <c r="H52" s="8">
        <v>1.48</v>
      </c>
      <c r="I52" s="12">
        <v>0</v>
      </c>
    </row>
    <row r="53" spans="2:9" ht="15" customHeight="1" x14ac:dyDescent="0.2">
      <c r="B53" t="s">
        <v>121</v>
      </c>
      <c r="C53" s="12">
        <v>47</v>
      </c>
      <c r="D53" s="8">
        <v>2.9</v>
      </c>
      <c r="E53" s="12">
        <v>21</v>
      </c>
      <c r="F53" s="8">
        <v>2.25</v>
      </c>
      <c r="G53" s="12">
        <v>26</v>
      </c>
      <c r="H53" s="8">
        <v>3.86</v>
      </c>
      <c r="I53" s="12">
        <v>0</v>
      </c>
    </row>
    <row r="54" spans="2:9" ht="15" customHeight="1" x14ac:dyDescent="0.2">
      <c r="B54" t="s">
        <v>124</v>
      </c>
      <c r="C54" s="12">
        <v>41</v>
      </c>
      <c r="D54" s="8">
        <v>2.5299999999999998</v>
      </c>
      <c r="E54" s="12">
        <v>29</v>
      </c>
      <c r="F54" s="8">
        <v>3.11</v>
      </c>
      <c r="G54" s="12">
        <v>12</v>
      </c>
      <c r="H54" s="8">
        <v>1.78</v>
      </c>
      <c r="I54" s="12">
        <v>0</v>
      </c>
    </row>
    <row r="55" spans="2:9" ht="15" customHeight="1" x14ac:dyDescent="0.2">
      <c r="B55" t="s">
        <v>119</v>
      </c>
      <c r="C55" s="12">
        <v>31</v>
      </c>
      <c r="D55" s="8">
        <v>1.92</v>
      </c>
      <c r="E55" s="12">
        <v>9</v>
      </c>
      <c r="F55" s="8">
        <v>0.97</v>
      </c>
      <c r="G55" s="12">
        <v>22</v>
      </c>
      <c r="H55" s="8">
        <v>3.26</v>
      </c>
      <c r="I55" s="12">
        <v>0</v>
      </c>
    </row>
    <row r="56" spans="2:9" ht="15" customHeight="1" x14ac:dyDescent="0.2">
      <c r="B56" t="s">
        <v>123</v>
      </c>
      <c r="C56" s="12">
        <v>31</v>
      </c>
      <c r="D56" s="8">
        <v>1.92</v>
      </c>
      <c r="E56" s="12">
        <v>20</v>
      </c>
      <c r="F56" s="8">
        <v>2.15</v>
      </c>
      <c r="G56" s="12">
        <v>11</v>
      </c>
      <c r="H56" s="8">
        <v>1.63</v>
      </c>
      <c r="I56" s="12">
        <v>0</v>
      </c>
    </row>
    <row r="57" spans="2:9" ht="15" customHeight="1" x14ac:dyDescent="0.2">
      <c r="B57" t="s">
        <v>131</v>
      </c>
      <c r="C57" s="12">
        <v>31</v>
      </c>
      <c r="D57" s="8">
        <v>1.92</v>
      </c>
      <c r="E57" s="12">
        <v>24</v>
      </c>
      <c r="F57" s="8">
        <v>2.58</v>
      </c>
      <c r="G57" s="12">
        <v>7</v>
      </c>
      <c r="H57" s="8">
        <v>1.04</v>
      </c>
      <c r="I57" s="12">
        <v>0</v>
      </c>
    </row>
    <row r="58" spans="2:9" ht="15" customHeight="1" x14ac:dyDescent="0.2">
      <c r="B58" t="s">
        <v>153</v>
      </c>
      <c r="C58" s="12">
        <v>30</v>
      </c>
      <c r="D58" s="8">
        <v>1.85</v>
      </c>
      <c r="E58" s="12">
        <v>17</v>
      </c>
      <c r="F58" s="8">
        <v>1.82</v>
      </c>
      <c r="G58" s="12">
        <v>13</v>
      </c>
      <c r="H58" s="8">
        <v>1.93</v>
      </c>
      <c r="I58" s="12">
        <v>0</v>
      </c>
    </row>
    <row r="59" spans="2:9" ht="15" customHeight="1" x14ac:dyDescent="0.2">
      <c r="B59" t="s">
        <v>132</v>
      </c>
      <c r="C59" s="12">
        <v>30</v>
      </c>
      <c r="D59" s="8">
        <v>1.85</v>
      </c>
      <c r="E59" s="12">
        <v>30</v>
      </c>
      <c r="F59" s="8">
        <v>3.22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146</v>
      </c>
      <c r="C60" s="12">
        <v>29</v>
      </c>
      <c r="D60" s="8">
        <v>1.79</v>
      </c>
      <c r="E60" s="12">
        <v>10</v>
      </c>
      <c r="F60" s="8">
        <v>1.07</v>
      </c>
      <c r="G60" s="12">
        <v>19</v>
      </c>
      <c r="H60" s="8">
        <v>2.82</v>
      </c>
      <c r="I60" s="12">
        <v>0</v>
      </c>
    </row>
    <row r="61" spans="2:9" ht="15" customHeight="1" x14ac:dyDescent="0.2">
      <c r="B61" t="s">
        <v>126</v>
      </c>
      <c r="C61" s="12">
        <v>28</v>
      </c>
      <c r="D61" s="8">
        <v>1.73</v>
      </c>
      <c r="E61" s="12">
        <v>10</v>
      </c>
      <c r="F61" s="8">
        <v>1.07</v>
      </c>
      <c r="G61" s="12">
        <v>18</v>
      </c>
      <c r="H61" s="8">
        <v>2.67</v>
      </c>
      <c r="I61" s="12">
        <v>0</v>
      </c>
    </row>
    <row r="62" spans="2:9" ht="15" customHeight="1" x14ac:dyDescent="0.2">
      <c r="B62" t="s">
        <v>136</v>
      </c>
      <c r="C62" s="12">
        <v>28</v>
      </c>
      <c r="D62" s="8">
        <v>1.73</v>
      </c>
      <c r="E62" s="12">
        <v>25</v>
      </c>
      <c r="F62" s="8">
        <v>2.68</v>
      </c>
      <c r="G62" s="12">
        <v>3</v>
      </c>
      <c r="H62" s="8">
        <v>0.45</v>
      </c>
      <c r="I62" s="12">
        <v>0</v>
      </c>
    </row>
    <row r="63" spans="2:9" ht="15" customHeight="1" x14ac:dyDescent="0.2">
      <c r="B63" t="s">
        <v>145</v>
      </c>
      <c r="C63" s="12">
        <v>25</v>
      </c>
      <c r="D63" s="8">
        <v>1.55</v>
      </c>
      <c r="E63" s="12">
        <v>19</v>
      </c>
      <c r="F63" s="8">
        <v>2.04</v>
      </c>
      <c r="G63" s="12">
        <v>6</v>
      </c>
      <c r="H63" s="8">
        <v>0.89</v>
      </c>
      <c r="I63" s="12">
        <v>0</v>
      </c>
    </row>
    <row r="64" spans="2:9" ht="15" customHeight="1" x14ac:dyDescent="0.2">
      <c r="B64" t="s">
        <v>122</v>
      </c>
      <c r="C64" s="12">
        <v>22</v>
      </c>
      <c r="D64" s="8">
        <v>1.36</v>
      </c>
      <c r="E64" s="12">
        <v>11</v>
      </c>
      <c r="F64" s="8">
        <v>1.18</v>
      </c>
      <c r="G64" s="12">
        <v>11</v>
      </c>
      <c r="H64" s="8">
        <v>1.63</v>
      </c>
      <c r="I64" s="12">
        <v>0</v>
      </c>
    </row>
    <row r="65" spans="2:9" ht="15" customHeight="1" x14ac:dyDescent="0.2">
      <c r="B65" t="s">
        <v>168</v>
      </c>
      <c r="C65" s="12">
        <v>20</v>
      </c>
      <c r="D65" s="8">
        <v>1.24</v>
      </c>
      <c r="E65" s="12">
        <v>18</v>
      </c>
      <c r="F65" s="8">
        <v>1.93</v>
      </c>
      <c r="G65" s="12">
        <v>2</v>
      </c>
      <c r="H65" s="8">
        <v>0.3</v>
      </c>
      <c r="I65" s="12">
        <v>0</v>
      </c>
    </row>
    <row r="66" spans="2:9" ht="15" customHeight="1" x14ac:dyDescent="0.2">
      <c r="B66" t="s">
        <v>127</v>
      </c>
      <c r="C66" s="12">
        <v>20</v>
      </c>
      <c r="D66" s="8">
        <v>1.24</v>
      </c>
      <c r="E66" s="12">
        <v>9</v>
      </c>
      <c r="F66" s="8">
        <v>0.97</v>
      </c>
      <c r="G66" s="12">
        <v>10</v>
      </c>
      <c r="H66" s="8">
        <v>1.48</v>
      </c>
      <c r="I66" s="12">
        <v>1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E6517-E8C1-4A7A-807C-FEBDEB22DC45}">
  <sheetPr>
    <pageSetUpPr fitToPage="1"/>
  </sheetPr>
  <dimension ref="A1:I103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116</v>
      </c>
      <c r="B1" s="3" t="s">
        <v>117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83</v>
      </c>
      <c r="C3" s="4">
        <v>7185</v>
      </c>
      <c r="D3" s="8">
        <v>11.27</v>
      </c>
      <c r="E3" s="4">
        <v>6282</v>
      </c>
      <c r="F3" s="8">
        <v>18.05</v>
      </c>
      <c r="G3" s="4">
        <v>902</v>
      </c>
      <c r="H3" s="8">
        <v>3.17</v>
      </c>
      <c r="I3" s="4">
        <v>0</v>
      </c>
    </row>
    <row r="4" spans="1:9" x14ac:dyDescent="0.2">
      <c r="A4" s="2">
        <v>2</v>
      </c>
      <c r="B4" s="1" t="s">
        <v>82</v>
      </c>
      <c r="C4" s="4">
        <v>5699</v>
      </c>
      <c r="D4" s="8">
        <v>8.94</v>
      </c>
      <c r="E4" s="4">
        <v>4907</v>
      </c>
      <c r="F4" s="8">
        <v>14.1</v>
      </c>
      <c r="G4" s="4">
        <v>792</v>
      </c>
      <c r="H4" s="8">
        <v>2.78</v>
      </c>
      <c r="I4" s="4">
        <v>0</v>
      </c>
    </row>
    <row r="5" spans="1:9" x14ac:dyDescent="0.2">
      <c r="A5" s="2">
        <v>3</v>
      </c>
      <c r="B5" s="1" t="s">
        <v>68</v>
      </c>
      <c r="C5" s="4">
        <v>5015</v>
      </c>
      <c r="D5" s="8">
        <v>7.87</v>
      </c>
      <c r="E5" s="4">
        <v>1867</v>
      </c>
      <c r="F5" s="8">
        <v>5.36</v>
      </c>
      <c r="G5" s="4">
        <v>3148</v>
      </c>
      <c r="H5" s="8">
        <v>11.06</v>
      </c>
      <c r="I5" s="4">
        <v>0</v>
      </c>
    </row>
    <row r="6" spans="1:9" x14ac:dyDescent="0.2">
      <c r="A6" s="2">
        <v>4</v>
      </c>
      <c r="B6" s="1" t="s">
        <v>77</v>
      </c>
      <c r="C6" s="4">
        <v>4363</v>
      </c>
      <c r="D6" s="8">
        <v>6.85</v>
      </c>
      <c r="E6" s="4">
        <v>2294</v>
      </c>
      <c r="F6" s="8">
        <v>6.59</v>
      </c>
      <c r="G6" s="4">
        <v>2066</v>
      </c>
      <c r="H6" s="8">
        <v>7.26</v>
      </c>
      <c r="I6" s="4">
        <v>3</v>
      </c>
    </row>
    <row r="7" spans="1:9" x14ac:dyDescent="0.2">
      <c r="A7" s="2">
        <v>5</v>
      </c>
      <c r="B7" s="1" t="s">
        <v>69</v>
      </c>
      <c r="C7" s="4">
        <v>3921</v>
      </c>
      <c r="D7" s="8">
        <v>6.15</v>
      </c>
      <c r="E7" s="4">
        <v>2033</v>
      </c>
      <c r="F7" s="8">
        <v>5.84</v>
      </c>
      <c r="G7" s="4">
        <v>1887</v>
      </c>
      <c r="H7" s="8">
        <v>6.63</v>
      </c>
      <c r="I7" s="4">
        <v>1</v>
      </c>
    </row>
    <row r="8" spans="1:9" x14ac:dyDescent="0.2">
      <c r="A8" s="2">
        <v>6</v>
      </c>
      <c r="B8" s="1" t="s">
        <v>79</v>
      </c>
      <c r="C8" s="4">
        <v>3757</v>
      </c>
      <c r="D8" s="8">
        <v>5.9</v>
      </c>
      <c r="E8" s="4">
        <v>1927</v>
      </c>
      <c r="F8" s="8">
        <v>5.54</v>
      </c>
      <c r="G8" s="4">
        <v>1821</v>
      </c>
      <c r="H8" s="8">
        <v>6.4</v>
      </c>
      <c r="I8" s="4">
        <v>3</v>
      </c>
    </row>
    <row r="9" spans="1:9" x14ac:dyDescent="0.2">
      <c r="A9" s="2">
        <v>7</v>
      </c>
      <c r="B9" s="1" t="s">
        <v>75</v>
      </c>
      <c r="C9" s="4">
        <v>3004</v>
      </c>
      <c r="D9" s="8">
        <v>4.71</v>
      </c>
      <c r="E9" s="4">
        <v>2271</v>
      </c>
      <c r="F9" s="8">
        <v>6.53</v>
      </c>
      <c r="G9" s="4">
        <v>725</v>
      </c>
      <c r="H9" s="8">
        <v>2.5499999999999998</v>
      </c>
      <c r="I9" s="4">
        <v>7</v>
      </c>
    </row>
    <row r="10" spans="1:9" x14ac:dyDescent="0.2">
      <c r="A10" s="2">
        <v>8</v>
      </c>
      <c r="B10" s="1" t="s">
        <v>70</v>
      </c>
      <c r="C10" s="4">
        <v>2779</v>
      </c>
      <c r="D10" s="8">
        <v>4.3600000000000003</v>
      </c>
      <c r="E10" s="4">
        <v>849</v>
      </c>
      <c r="F10" s="8">
        <v>2.44</v>
      </c>
      <c r="G10" s="4">
        <v>1930</v>
      </c>
      <c r="H10" s="8">
        <v>6.78</v>
      </c>
      <c r="I10" s="4">
        <v>0</v>
      </c>
    </row>
    <row r="11" spans="1:9" x14ac:dyDescent="0.2">
      <c r="A11" s="2">
        <v>9</v>
      </c>
      <c r="B11" s="1" t="s">
        <v>76</v>
      </c>
      <c r="C11" s="4">
        <v>2206</v>
      </c>
      <c r="D11" s="8">
        <v>3.46</v>
      </c>
      <c r="E11" s="4">
        <v>1357</v>
      </c>
      <c r="F11" s="8">
        <v>3.9</v>
      </c>
      <c r="G11" s="4">
        <v>848</v>
      </c>
      <c r="H11" s="8">
        <v>2.98</v>
      </c>
      <c r="I11" s="4">
        <v>1</v>
      </c>
    </row>
    <row r="12" spans="1:9" x14ac:dyDescent="0.2">
      <c r="A12" s="2">
        <v>10</v>
      </c>
      <c r="B12" s="1" t="s">
        <v>85</v>
      </c>
      <c r="C12" s="4">
        <v>2029</v>
      </c>
      <c r="D12" s="8">
        <v>3.18</v>
      </c>
      <c r="E12" s="4">
        <v>1373</v>
      </c>
      <c r="F12" s="8">
        <v>3.95</v>
      </c>
      <c r="G12" s="4">
        <v>487</v>
      </c>
      <c r="H12" s="8">
        <v>1.71</v>
      </c>
      <c r="I12" s="4">
        <v>4</v>
      </c>
    </row>
    <row r="13" spans="1:9" x14ac:dyDescent="0.2">
      <c r="A13" s="2">
        <v>11</v>
      </c>
      <c r="B13" s="1" t="s">
        <v>86</v>
      </c>
      <c r="C13" s="4">
        <v>1998</v>
      </c>
      <c r="D13" s="8">
        <v>3.14</v>
      </c>
      <c r="E13" s="4">
        <v>1785</v>
      </c>
      <c r="F13" s="8">
        <v>5.13</v>
      </c>
      <c r="G13" s="4">
        <v>209</v>
      </c>
      <c r="H13" s="8">
        <v>0.73</v>
      </c>
      <c r="I13" s="4">
        <v>1</v>
      </c>
    </row>
    <row r="14" spans="1:9" x14ac:dyDescent="0.2">
      <c r="A14" s="2">
        <v>12</v>
      </c>
      <c r="B14" s="1" t="s">
        <v>87</v>
      </c>
      <c r="C14" s="4">
        <v>1569</v>
      </c>
      <c r="D14" s="8">
        <v>2.46</v>
      </c>
      <c r="E14" s="4">
        <v>1273</v>
      </c>
      <c r="F14" s="8">
        <v>3.66</v>
      </c>
      <c r="G14" s="4">
        <v>296</v>
      </c>
      <c r="H14" s="8">
        <v>1.04</v>
      </c>
      <c r="I14" s="4">
        <v>0</v>
      </c>
    </row>
    <row r="15" spans="1:9" x14ac:dyDescent="0.2">
      <c r="A15" s="2">
        <v>13</v>
      </c>
      <c r="B15" s="1" t="s">
        <v>81</v>
      </c>
      <c r="C15" s="4">
        <v>1386</v>
      </c>
      <c r="D15" s="8">
        <v>2.17</v>
      </c>
      <c r="E15" s="4">
        <v>541</v>
      </c>
      <c r="F15" s="8">
        <v>1.55</v>
      </c>
      <c r="G15" s="4">
        <v>814</v>
      </c>
      <c r="H15" s="8">
        <v>2.86</v>
      </c>
      <c r="I15" s="4">
        <v>0</v>
      </c>
    </row>
    <row r="16" spans="1:9" x14ac:dyDescent="0.2">
      <c r="A16" s="2">
        <v>14</v>
      </c>
      <c r="B16" s="1" t="s">
        <v>80</v>
      </c>
      <c r="C16" s="4">
        <v>1373</v>
      </c>
      <c r="D16" s="8">
        <v>2.15</v>
      </c>
      <c r="E16" s="4">
        <v>912</v>
      </c>
      <c r="F16" s="8">
        <v>2.62</v>
      </c>
      <c r="G16" s="4">
        <v>459</v>
      </c>
      <c r="H16" s="8">
        <v>1.61</v>
      </c>
      <c r="I16" s="4">
        <v>2</v>
      </c>
    </row>
    <row r="17" spans="1:9" x14ac:dyDescent="0.2">
      <c r="A17" s="2">
        <v>15</v>
      </c>
      <c r="B17" s="1" t="s">
        <v>74</v>
      </c>
      <c r="C17" s="4">
        <v>1305</v>
      </c>
      <c r="D17" s="8">
        <v>2.0499999999999998</v>
      </c>
      <c r="E17" s="4">
        <v>625</v>
      </c>
      <c r="F17" s="8">
        <v>1.8</v>
      </c>
      <c r="G17" s="4">
        <v>680</v>
      </c>
      <c r="H17" s="8">
        <v>2.39</v>
      </c>
      <c r="I17" s="4">
        <v>0</v>
      </c>
    </row>
    <row r="18" spans="1:9" x14ac:dyDescent="0.2">
      <c r="A18" s="2">
        <v>16</v>
      </c>
      <c r="B18" s="1" t="s">
        <v>72</v>
      </c>
      <c r="C18" s="4">
        <v>904</v>
      </c>
      <c r="D18" s="8">
        <v>1.42</v>
      </c>
      <c r="E18" s="4">
        <v>175</v>
      </c>
      <c r="F18" s="8">
        <v>0.5</v>
      </c>
      <c r="G18" s="4">
        <v>729</v>
      </c>
      <c r="H18" s="8">
        <v>2.56</v>
      </c>
      <c r="I18" s="4">
        <v>0</v>
      </c>
    </row>
    <row r="19" spans="1:9" x14ac:dyDescent="0.2">
      <c r="A19" s="2">
        <v>17</v>
      </c>
      <c r="B19" s="1" t="s">
        <v>73</v>
      </c>
      <c r="C19" s="4">
        <v>856</v>
      </c>
      <c r="D19" s="8">
        <v>1.34</v>
      </c>
      <c r="E19" s="4">
        <v>84</v>
      </c>
      <c r="F19" s="8">
        <v>0.24</v>
      </c>
      <c r="G19" s="4">
        <v>772</v>
      </c>
      <c r="H19" s="8">
        <v>2.71</v>
      </c>
      <c r="I19" s="4">
        <v>0</v>
      </c>
    </row>
    <row r="20" spans="1:9" x14ac:dyDescent="0.2">
      <c r="A20" s="2">
        <v>18</v>
      </c>
      <c r="B20" s="1" t="s">
        <v>71</v>
      </c>
      <c r="C20" s="4">
        <v>809</v>
      </c>
      <c r="D20" s="8">
        <v>1.27</v>
      </c>
      <c r="E20" s="4">
        <v>312</v>
      </c>
      <c r="F20" s="8">
        <v>0.9</v>
      </c>
      <c r="G20" s="4">
        <v>497</v>
      </c>
      <c r="H20" s="8">
        <v>1.75</v>
      </c>
      <c r="I20" s="4">
        <v>0</v>
      </c>
    </row>
    <row r="21" spans="1:9" x14ac:dyDescent="0.2">
      <c r="A21" s="2">
        <v>19</v>
      </c>
      <c r="B21" s="1" t="s">
        <v>84</v>
      </c>
      <c r="C21" s="4">
        <v>790</v>
      </c>
      <c r="D21" s="8">
        <v>1.24</v>
      </c>
      <c r="E21" s="4">
        <v>347</v>
      </c>
      <c r="F21" s="8">
        <v>1</v>
      </c>
      <c r="G21" s="4">
        <v>428</v>
      </c>
      <c r="H21" s="8">
        <v>1.5</v>
      </c>
      <c r="I21" s="4">
        <v>1</v>
      </c>
    </row>
    <row r="22" spans="1:9" x14ac:dyDescent="0.2">
      <c r="A22" s="2">
        <v>20</v>
      </c>
      <c r="B22" s="1" t="s">
        <v>78</v>
      </c>
      <c r="C22" s="4">
        <v>767</v>
      </c>
      <c r="D22" s="8">
        <v>1.2</v>
      </c>
      <c r="E22" s="4">
        <v>104</v>
      </c>
      <c r="F22" s="8">
        <v>0.3</v>
      </c>
      <c r="G22" s="4">
        <v>663</v>
      </c>
      <c r="H22" s="8">
        <v>2.33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83</v>
      </c>
      <c r="C25" s="4">
        <v>705</v>
      </c>
      <c r="D25" s="8">
        <v>10.8</v>
      </c>
      <c r="E25" s="4">
        <v>559</v>
      </c>
      <c r="F25" s="8">
        <v>17.96</v>
      </c>
      <c r="G25" s="4">
        <v>146</v>
      </c>
      <c r="H25" s="8">
        <v>4.33</v>
      </c>
      <c r="I25" s="4">
        <v>0</v>
      </c>
    </row>
    <row r="26" spans="1:9" x14ac:dyDescent="0.2">
      <c r="A26" s="2">
        <v>2</v>
      </c>
      <c r="B26" s="1" t="s">
        <v>82</v>
      </c>
      <c r="C26" s="4">
        <v>694</v>
      </c>
      <c r="D26" s="8">
        <v>10.64</v>
      </c>
      <c r="E26" s="4">
        <v>595</v>
      </c>
      <c r="F26" s="8">
        <v>19.12</v>
      </c>
      <c r="G26" s="4">
        <v>99</v>
      </c>
      <c r="H26" s="8">
        <v>2.94</v>
      </c>
      <c r="I26" s="4">
        <v>0</v>
      </c>
    </row>
    <row r="27" spans="1:9" x14ac:dyDescent="0.2">
      <c r="A27" s="2">
        <v>3</v>
      </c>
      <c r="B27" s="1" t="s">
        <v>79</v>
      </c>
      <c r="C27" s="4">
        <v>627</v>
      </c>
      <c r="D27" s="8">
        <v>9.61</v>
      </c>
      <c r="E27" s="4">
        <v>311</v>
      </c>
      <c r="F27" s="8">
        <v>9.99</v>
      </c>
      <c r="G27" s="4">
        <v>315</v>
      </c>
      <c r="H27" s="8">
        <v>9.35</v>
      </c>
      <c r="I27" s="4">
        <v>1</v>
      </c>
    </row>
    <row r="28" spans="1:9" x14ac:dyDescent="0.2">
      <c r="A28" s="2">
        <v>4</v>
      </c>
      <c r="B28" s="1" t="s">
        <v>77</v>
      </c>
      <c r="C28" s="4">
        <v>410</v>
      </c>
      <c r="D28" s="8">
        <v>6.28</v>
      </c>
      <c r="E28" s="4">
        <v>173</v>
      </c>
      <c r="F28" s="8">
        <v>5.56</v>
      </c>
      <c r="G28" s="4">
        <v>236</v>
      </c>
      <c r="H28" s="8">
        <v>7</v>
      </c>
      <c r="I28" s="4">
        <v>1</v>
      </c>
    </row>
    <row r="29" spans="1:9" x14ac:dyDescent="0.2">
      <c r="A29" s="2">
        <v>5</v>
      </c>
      <c r="B29" s="1" t="s">
        <v>68</v>
      </c>
      <c r="C29" s="4">
        <v>382</v>
      </c>
      <c r="D29" s="8">
        <v>5.85</v>
      </c>
      <c r="E29" s="4">
        <v>75</v>
      </c>
      <c r="F29" s="8">
        <v>2.41</v>
      </c>
      <c r="G29" s="4">
        <v>307</v>
      </c>
      <c r="H29" s="8">
        <v>9.11</v>
      </c>
      <c r="I29" s="4">
        <v>0</v>
      </c>
    </row>
    <row r="30" spans="1:9" x14ac:dyDescent="0.2">
      <c r="A30" s="2">
        <v>6</v>
      </c>
      <c r="B30" s="1" t="s">
        <v>69</v>
      </c>
      <c r="C30" s="4">
        <v>286</v>
      </c>
      <c r="D30" s="8">
        <v>4.38</v>
      </c>
      <c r="E30" s="4">
        <v>99</v>
      </c>
      <c r="F30" s="8">
        <v>3.18</v>
      </c>
      <c r="G30" s="4">
        <v>186</v>
      </c>
      <c r="H30" s="8">
        <v>5.52</v>
      </c>
      <c r="I30" s="4">
        <v>1</v>
      </c>
    </row>
    <row r="31" spans="1:9" x14ac:dyDescent="0.2">
      <c r="A31" s="2">
        <v>7</v>
      </c>
      <c r="B31" s="1" t="s">
        <v>75</v>
      </c>
      <c r="C31" s="4">
        <v>263</v>
      </c>
      <c r="D31" s="8">
        <v>4.03</v>
      </c>
      <c r="E31" s="4">
        <v>159</v>
      </c>
      <c r="F31" s="8">
        <v>5.1100000000000003</v>
      </c>
      <c r="G31" s="4">
        <v>104</v>
      </c>
      <c r="H31" s="8">
        <v>3.09</v>
      </c>
      <c r="I31" s="4">
        <v>0</v>
      </c>
    </row>
    <row r="32" spans="1:9" x14ac:dyDescent="0.2">
      <c r="A32" s="2">
        <v>8</v>
      </c>
      <c r="B32" s="1" t="s">
        <v>85</v>
      </c>
      <c r="C32" s="4">
        <v>246</v>
      </c>
      <c r="D32" s="8">
        <v>3.77</v>
      </c>
      <c r="E32" s="4">
        <v>159</v>
      </c>
      <c r="F32" s="8">
        <v>5.1100000000000003</v>
      </c>
      <c r="G32" s="4">
        <v>58</v>
      </c>
      <c r="H32" s="8">
        <v>1.72</v>
      </c>
      <c r="I32" s="4">
        <v>1</v>
      </c>
    </row>
    <row r="33" spans="1:9" x14ac:dyDescent="0.2">
      <c r="A33" s="2">
        <v>9</v>
      </c>
      <c r="B33" s="1" t="s">
        <v>80</v>
      </c>
      <c r="C33" s="4">
        <v>238</v>
      </c>
      <c r="D33" s="8">
        <v>3.65</v>
      </c>
      <c r="E33" s="4">
        <v>147</v>
      </c>
      <c r="F33" s="8">
        <v>4.72</v>
      </c>
      <c r="G33" s="4">
        <v>91</v>
      </c>
      <c r="H33" s="8">
        <v>2.7</v>
      </c>
      <c r="I33" s="4">
        <v>0</v>
      </c>
    </row>
    <row r="34" spans="1:9" x14ac:dyDescent="0.2">
      <c r="A34" s="2">
        <v>10</v>
      </c>
      <c r="B34" s="1" t="s">
        <v>86</v>
      </c>
      <c r="C34" s="4">
        <v>228</v>
      </c>
      <c r="D34" s="8">
        <v>3.49</v>
      </c>
      <c r="E34" s="4">
        <v>203</v>
      </c>
      <c r="F34" s="8">
        <v>6.52</v>
      </c>
      <c r="G34" s="4">
        <v>25</v>
      </c>
      <c r="H34" s="8">
        <v>0.74</v>
      </c>
      <c r="I34" s="4">
        <v>0</v>
      </c>
    </row>
    <row r="35" spans="1:9" x14ac:dyDescent="0.2">
      <c r="A35" s="2">
        <v>11</v>
      </c>
      <c r="B35" s="1" t="s">
        <v>70</v>
      </c>
      <c r="C35" s="4">
        <v>215</v>
      </c>
      <c r="D35" s="8">
        <v>3.3</v>
      </c>
      <c r="E35" s="4">
        <v>44</v>
      </c>
      <c r="F35" s="8">
        <v>1.41</v>
      </c>
      <c r="G35" s="4">
        <v>171</v>
      </c>
      <c r="H35" s="8">
        <v>5.07</v>
      </c>
      <c r="I35" s="4">
        <v>0</v>
      </c>
    </row>
    <row r="36" spans="1:9" x14ac:dyDescent="0.2">
      <c r="A36" s="2">
        <v>12</v>
      </c>
      <c r="B36" s="1" t="s">
        <v>81</v>
      </c>
      <c r="C36" s="4">
        <v>207</v>
      </c>
      <c r="D36" s="8">
        <v>3.17</v>
      </c>
      <c r="E36" s="4">
        <v>63</v>
      </c>
      <c r="F36" s="8">
        <v>2.02</v>
      </c>
      <c r="G36" s="4">
        <v>141</v>
      </c>
      <c r="H36" s="8">
        <v>4.18</v>
      </c>
      <c r="I36" s="4">
        <v>0</v>
      </c>
    </row>
    <row r="37" spans="1:9" x14ac:dyDescent="0.2">
      <c r="A37" s="2">
        <v>13</v>
      </c>
      <c r="B37" s="1" t="s">
        <v>76</v>
      </c>
      <c r="C37" s="4">
        <v>196</v>
      </c>
      <c r="D37" s="8">
        <v>3</v>
      </c>
      <c r="E37" s="4">
        <v>115</v>
      </c>
      <c r="F37" s="8">
        <v>3.7</v>
      </c>
      <c r="G37" s="4">
        <v>81</v>
      </c>
      <c r="H37" s="8">
        <v>2.4</v>
      </c>
      <c r="I37" s="4">
        <v>0</v>
      </c>
    </row>
    <row r="38" spans="1:9" x14ac:dyDescent="0.2">
      <c r="A38" s="2">
        <v>14</v>
      </c>
      <c r="B38" s="1" t="s">
        <v>74</v>
      </c>
      <c r="C38" s="4">
        <v>151</v>
      </c>
      <c r="D38" s="8">
        <v>2.31</v>
      </c>
      <c r="E38" s="4">
        <v>45</v>
      </c>
      <c r="F38" s="8">
        <v>1.45</v>
      </c>
      <c r="G38" s="4">
        <v>106</v>
      </c>
      <c r="H38" s="8">
        <v>3.15</v>
      </c>
      <c r="I38" s="4">
        <v>0</v>
      </c>
    </row>
    <row r="39" spans="1:9" x14ac:dyDescent="0.2">
      <c r="A39" s="2">
        <v>15</v>
      </c>
      <c r="B39" s="1" t="s">
        <v>87</v>
      </c>
      <c r="C39" s="4">
        <v>139</v>
      </c>
      <c r="D39" s="8">
        <v>2.13</v>
      </c>
      <c r="E39" s="4">
        <v>100</v>
      </c>
      <c r="F39" s="8">
        <v>3.21</v>
      </c>
      <c r="G39" s="4">
        <v>39</v>
      </c>
      <c r="H39" s="8">
        <v>1.1599999999999999</v>
      </c>
      <c r="I39" s="4">
        <v>0</v>
      </c>
    </row>
    <row r="40" spans="1:9" x14ac:dyDescent="0.2">
      <c r="A40" s="2">
        <v>16</v>
      </c>
      <c r="B40" s="1" t="s">
        <v>73</v>
      </c>
      <c r="C40" s="4">
        <v>136</v>
      </c>
      <c r="D40" s="8">
        <v>2.08</v>
      </c>
      <c r="E40" s="4">
        <v>6</v>
      </c>
      <c r="F40" s="8">
        <v>0.19</v>
      </c>
      <c r="G40" s="4">
        <v>130</v>
      </c>
      <c r="H40" s="8">
        <v>3.86</v>
      </c>
      <c r="I40" s="4">
        <v>0</v>
      </c>
    </row>
    <row r="41" spans="1:9" x14ac:dyDescent="0.2">
      <c r="A41" s="2">
        <v>17</v>
      </c>
      <c r="B41" s="1" t="s">
        <v>78</v>
      </c>
      <c r="C41" s="4">
        <v>106</v>
      </c>
      <c r="D41" s="8">
        <v>1.62</v>
      </c>
      <c r="E41" s="4">
        <v>11</v>
      </c>
      <c r="F41" s="8">
        <v>0.35</v>
      </c>
      <c r="G41" s="4">
        <v>95</v>
      </c>
      <c r="H41" s="8">
        <v>2.82</v>
      </c>
      <c r="I41" s="4">
        <v>0</v>
      </c>
    </row>
    <row r="42" spans="1:9" x14ac:dyDescent="0.2">
      <c r="A42" s="2">
        <v>18</v>
      </c>
      <c r="B42" s="1" t="s">
        <v>88</v>
      </c>
      <c r="C42" s="4">
        <v>99</v>
      </c>
      <c r="D42" s="8">
        <v>1.52</v>
      </c>
      <c r="E42" s="4">
        <v>13</v>
      </c>
      <c r="F42" s="8">
        <v>0.42</v>
      </c>
      <c r="G42" s="4">
        <v>86</v>
      </c>
      <c r="H42" s="8">
        <v>2.5499999999999998</v>
      </c>
      <c r="I42" s="4">
        <v>0</v>
      </c>
    </row>
    <row r="43" spans="1:9" x14ac:dyDescent="0.2">
      <c r="A43" s="2">
        <v>19</v>
      </c>
      <c r="B43" s="1" t="s">
        <v>72</v>
      </c>
      <c r="C43" s="4">
        <v>98</v>
      </c>
      <c r="D43" s="8">
        <v>1.5</v>
      </c>
      <c r="E43" s="4">
        <v>8</v>
      </c>
      <c r="F43" s="8">
        <v>0.26</v>
      </c>
      <c r="G43" s="4">
        <v>90</v>
      </c>
      <c r="H43" s="8">
        <v>2.67</v>
      </c>
      <c r="I43" s="4">
        <v>0</v>
      </c>
    </row>
    <row r="44" spans="1:9" x14ac:dyDescent="0.2">
      <c r="A44" s="2">
        <v>20</v>
      </c>
      <c r="B44" s="1" t="s">
        <v>89</v>
      </c>
      <c r="C44" s="4">
        <v>90</v>
      </c>
      <c r="D44" s="8">
        <v>1.38</v>
      </c>
      <c r="E44" s="4">
        <v>6</v>
      </c>
      <c r="F44" s="8">
        <v>0.19</v>
      </c>
      <c r="G44" s="4">
        <v>83</v>
      </c>
      <c r="H44" s="8">
        <v>2.46</v>
      </c>
      <c r="I44" s="4">
        <v>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83</v>
      </c>
      <c r="C47" s="4">
        <v>500</v>
      </c>
      <c r="D47" s="8">
        <v>14.16</v>
      </c>
      <c r="E47" s="4">
        <v>450</v>
      </c>
      <c r="F47" s="8">
        <v>22.22</v>
      </c>
      <c r="G47" s="4">
        <v>50</v>
      </c>
      <c r="H47" s="8">
        <v>3.34</v>
      </c>
      <c r="I47" s="4">
        <v>0</v>
      </c>
    </row>
    <row r="48" spans="1:9" x14ac:dyDescent="0.2">
      <c r="A48" s="2">
        <v>2</v>
      </c>
      <c r="B48" s="1" t="s">
        <v>82</v>
      </c>
      <c r="C48" s="4">
        <v>423</v>
      </c>
      <c r="D48" s="8">
        <v>11.98</v>
      </c>
      <c r="E48" s="4">
        <v>380</v>
      </c>
      <c r="F48" s="8">
        <v>18.77</v>
      </c>
      <c r="G48" s="4">
        <v>43</v>
      </c>
      <c r="H48" s="8">
        <v>2.88</v>
      </c>
      <c r="I48" s="4">
        <v>0</v>
      </c>
    </row>
    <row r="49" spans="1:9" x14ac:dyDescent="0.2">
      <c r="A49" s="2">
        <v>3</v>
      </c>
      <c r="B49" s="1" t="s">
        <v>77</v>
      </c>
      <c r="C49" s="4">
        <v>251</v>
      </c>
      <c r="D49" s="8">
        <v>7.11</v>
      </c>
      <c r="E49" s="4">
        <v>137</v>
      </c>
      <c r="F49" s="8">
        <v>6.77</v>
      </c>
      <c r="G49" s="4">
        <v>114</v>
      </c>
      <c r="H49" s="8">
        <v>7.63</v>
      </c>
      <c r="I49" s="4">
        <v>0</v>
      </c>
    </row>
    <row r="50" spans="1:9" x14ac:dyDescent="0.2">
      <c r="A50" s="2">
        <v>4</v>
      </c>
      <c r="B50" s="1" t="s">
        <v>79</v>
      </c>
      <c r="C50" s="4">
        <v>192</v>
      </c>
      <c r="D50" s="8">
        <v>5.44</v>
      </c>
      <c r="E50" s="4">
        <v>103</v>
      </c>
      <c r="F50" s="8">
        <v>5.09</v>
      </c>
      <c r="G50" s="4">
        <v>89</v>
      </c>
      <c r="H50" s="8">
        <v>5.95</v>
      </c>
      <c r="I50" s="4">
        <v>0</v>
      </c>
    </row>
    <row r="51" spans="1:9" x14ac:dyDescent="0.2">
      <c r="A51" s="2">
        <v>5</v>
      </c>
      <c r="B51" s="1" t="s">
        <v>68</v>
      </c>
      <c r="C51" s="4">
        <v>188</v>
      </c>
      <c r="D51" s="8">
        <v>5.32</v>
      </c>
      <c r="E51" s="4">
        <v>70</v>
      </c>
      <c r="F51" s="8">
        <v>3.46</v>
      </c>
      <c r="G51" s="4">
        <v>118</v>
      </c>
      <c r="H51" s="8">
        <v>7.89</v>
      </c>
      <c r="I51" s="4">
        <v>0</v>
      </c>
    </row>
    <row r="52" spans="1:9" x14ac:dyDescent="0.2">
      <c r="A52" s="2">
        <v>6</v>
      </c>
      <c r="B52" s="1" t="s">
        <v>75</v>
      </c>
      <c r="C52" s="4">
        <v>176</v>
      </c>
      <c r="D52" s="8">
        <v>4.9800000000000004</v>
      </c>
      <c r="E52" s="4">
        <v>135</v>
      </c>
      <c r="F52" s="8">
        <v>6.67</v>
      </c>
      <c r="G52" s="4">
        <v>41</v>
      </c>
      <c r="H52" s="8">
        <v>2.74</v>
      </c>
      <c r="I52" s="4">
        <v>0</v>
      </c>
    </row>
    <row r="53" spans="1:9" x14ac:dyDescent="0.2">
      <c r="A53" s="2">
        <v>7</v>
      </c>
      <c r="B53" s="1" t="s">
        <v>69</v>
      </c>
      <c r="C53" s="4">
        <v>163</v>
      </c>
      <c r="D53" s="8">
        <v>4.62</v>
      </c>
      <c r="E53" s="4">
        <v>61</v>
      </c>
      <c r="F53" s="8">
        <v>3.01</v>
      </c>
      <c r="G53" s="4">
        <v>102</v>
      </c>
      <c r="H53" s="8">
        <v>6.82</v>
      </c>
      <c r="I53" s="4">
        <v>0</v>
      </c>
    </row>
    <row r="54" spans="1:9" x14ac:dyDescent="0.2">
      <c r="A54" s="2">
        <v>8</v>
      </c>
      <c r="B54" s="1" t="s">
        <v>70</v>
      </c>
      <c r="C54" s="4">
        <v>150</v>
      </c>
      <c r="D54" s="8">
        <v>4.25</v>
      </c>
      <c r="E54" s="4">
        <v>29</v>
      </c>
      <c r="F54" s="8">
        <v>1.43</v>
      </c>
      <c r="G54" s="4">
        <v>121</v>
      </c>
      <c r="H54" s="8">
        <v>8.09</v>
      </c>
      <c r="I54" s="4">
        <v>0</v>
      </c>
    </row>
    <row r="55" spans="1:9" x14ac:dyDescent="0.2">
      <c r="A55" s="2">
        <v>9</v>
      </c>
      <c r="B55" s="1" t="s">
        <v>85</v>
      </c>
      <c r="C55" s="4">
        <v>137</v>
      </c>
      <c r="D55" s="8">
        <v>3.88</v>
      </c>
      <c r="E55" s="4">
        <v>99</v>
      </c>
      <c r="F55" s="8">
        <v>4.8899999999999997</v>
      </c>
      <c r="G55" s="4">
        <v>36</v>
      </c>
      <c r="H55" s="8">
        <v>2.41</v>
      </c>
      <c r="I55" s="4">
        <v>0</v>
      </c>
    </row>
    <row r="56" spans="1:9" x14ac:dyDescent="0.2">
      <c r="A56" s="2">
        <v>10</v>
      </c>
      <c r="B56" s="1" t="s">
        <v>76</v>
      </c>
      <c r="C56" s="4">
        <v>127</v>
      </c>
      <c r="D56" s="8">
        <v>3.6</v>
      </c>
      <c r="E56" s="4">
        <v>74</v>
      </c>
      <c r="F56" s="8">
        <v>3.65</v>
      </c>
      <c r="G56" s="4">
        <v>53</v>
      </c>
      <c r="H56" s="8">
        <v>3.55</v>
      </c>
      <c r="I56" s="4">
        <v>0</v>
      </c>
    </row>
    <row r="57" spans="1:9" x14ac:dyDescent="0.2">
      <c r="A57" s="2">
        <v>11</v>
      </c>
      <c r="B57" s="1" t="s">
        <v>86</v>
      </c>
      <c r="C57" s="4">
        <v>118</v>
      </c>
      <c r="D57" s="8">
        <v>3.34</v>
      </c>
      <c r="E57" s="4">
        <v>108</v>
      </c>
      <c r="F57" s="8">
        <v>5.33</v>
      </c>
      <c r="G57" s="4">
        <v>10</v>
      </c>
      <c r="H57" s="8">
        <v>0.67</v>
      </c>
      <c r="I57" s="4">
        <v>0</v>
      </c>
    </row>
    <row r="58" spans="1:9" x14ac:dyDescent="0.2">
      <c r="A58" s="2">
        <v>12</v>
      </c>
      <c r="B58" s="1" t="s">
        <v>74</v>
      </c>
      <c r="C58" s="4">
        <v>81</v>
      </c>
      <c r="D58" s="8">
        <v>2.29</v>
      </c>
      <c r="E58" s="4">
        <v>41</v>
      </c>
      <c r="F58" s="8">
        <v>2.02</v>
      </c>
      <c r="G58" s="4">
        <v>40</v>
      </c>
      <c r="H58" s="8">
        <v>2.68</v>
      </c>
      <c r="I58" s="4">
        <v>0</v>
      </c>
    </row>
    <row r="59" spans="1:9" x14ac:dyDescent="0.2">
      <c r="A59" s="2">
        <v>13</v>
      </c>
      <c r="B59" s="1" t="s">
        <v>81</v>
      </c>
      <c r="C59" s="4">
        <v>78</v>
      </c>
      <c r="D59" s="8">
        <v>2.21</v>
      </c>
      <c r="E59" s="4">
        <v>31</v>
      </c>
      <c r="F59" s="8">
        <v>1.53</v>
      </c>
      <c r="G59" s="4">
        <v>46</v>
      </c>
      <c r="H59" s="8">
        <v>3.08</v>
      </c>
      <c r="I59" s="4">
        <v>0</v>
      </c>
    </row>
    <row r="60" spans="1:9" x14ac:dyDescent="0.2">
      <c r="A60" s="2">
        <v>14</v>
      </c>
      <c r="B60" s="1" t="s">
        <v>73</v>
      </c>
      <c r="C60" s="4">
        <v>61</v>
      </c>
      <c r="D60" s="8">
        <v>1.73</v>
      </c>
      <c r="E60" s="4">
        <v>1</v>
      </c>
      <c r="F60" s="8">
        <v>0.05</v>
      </c>
      <c r="G60" s="4">
        <v>60</v>
      </c>
      <c r="H60" s="8">
        <v>4.01</v>
      </c>
      <c r="I60" s="4">
        <v>0</v>
      </c>
    </row>
    <row r="61" spans="1:9" x14ac:dyDescent="0.2">
      <c r="A61" s="2">
        <v>15</v>
      </c>
      <c r="B61" s="1" t="s">
        <v>80</v>
      </c>
      <c r="C61" s="4">
        <v>57</v>
      </c>
      <c r="D61" s="8">
        <v>1.61</v>
      </c>
      <c r="E61" s="4">
        <v>48</v>
      </c>
      <c r="F61" s="8">
        <v>2.37</v>
      </c>
      <c r="G61" s="4">
        <v>9</v>
      </c>
      <c r="H61" s="8">
        <v>0.6</v>
      </c>
      <c r="I61" s="4">
        <v>0</v>
      </c>
    </row>
    <row r="62" spans="1:9" x14ac:dyDescent="0.2">
      <c r="A62" s="2">
        <v>16</v>
      </c>
      <c r="B62" s="1" t="s">
        <v>71</v>
      </c>
      <c r="C62" s="4">
        <v>54</v>
      </c>
      <c r="D62" s="8">
        <v>1.53</v>
      </c>
      <c r="E62" s="4">
        <v>18</v>
      </c>
      <c r="F62" s="8">
        <v>0.89</v>
      </c>
      <c r="G62" s="4">
        <v>36</v>
      </c>
      <c r="H62" s="8">
        <v>2.41</v>
      </c>
      <c r="I62" s="4">
        <v>0</v>
      </c>
    </row>
    <row r="63" spans="1:9" x14ac:dyDescent="0.2">
      <c r="A63" s="2">
        <v>17</v>
      </c>
      <c r="B63" s="1" t="s">
        <v>72</v>
      </c>
      <c r="C63" s="4">
        <v>51</v>
      </c>
      <c r="D63" s="8">
        <v>1.44</v>
      </c>
      <c r="E63" s="4">
        <v>13</v>
      </c>
      <c r="F63" s="8">
        <v>0.64</v>
      </c>
      <c r="G63" s="4">
        <v>38</v>
      </c>
      <c r="H63" s="8">
        <v>2.54</v>
      </c>
      <c r="I63" s="4">
        <v>0</v>
      </c>
    </row>
    <row r="64" spans="1:9" x14ac:dyDescent="0.2">
      <c r="A64" s="2">
        <v>18</v>
      </c>
      <c r="B64" s="1" t="s">
        <v>90</v>
      </c>
      <c r="C64" s="4">
        <v>49</v>
      </c>
      <c r="D64" s="8">
        <v>1.39</v>
      </c>
      <c r="E64" s="4">
        <v>10</v>
      </c>
      <c r="F64" s="8">
        <v>0.49</v>
      </c>
      <c r="G64" s="4">
        <v>39</v>
      </c>
      <c r="H64" s="8">
        <v>2.61</v>
      </c>
      <c r="I64" s="4">
        <v>0</v>
      </c>
    </row>
    <row r="65" spans="1:9" x14ac:dyDescent="0.2">
      <c r="A65" s="2">
        <v>19</v>
      </c>
      <c r="B65" s="1" t="s">
        <v>84</v>
      </c>
      <c r="C65" s="4">
        <v>48</v>
      </c>
      <c r="D65" s="8">
        <v>1.36</v>
      </c>
      <c r="E65" s="4">
        <v>23</v>
      </c>
      <c r="F65" s="8">
        <v>1.1399999999999999</v>
      </c>
      <c r="G65" s="4">
        <v>24</v>
      </c>
      <c r="H65" s="8">
        <v>1.61</v>
      </c>
      <c r="I65" s="4">
        <v>0</v>
      </c>
    </row>
    <row r="66" spans="1:9" x14ac:dyDescent="0.2">
      <c r="A66" s="2">
        <v>20</v>
      </c>
      <c r="B66" s="1" t="s">
        <v>87</v>
      </c>
      <c r="C66" s="4">
        <v>46</v>
      </c>
      <c r="D66" s="8">
        <v>1.3</v>
      </c>
      <c r="E66" s="4">
        <v>34</v>
      </c>
      <c r="F66" s="8">
        <v>1.68</v>
      </c>
      <c r="G66" s="4">
        <v>12</v>
      </c>
      <c r="H66" s="8">
        <v>0.8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83</v>
      </c>
      <c r="C69" s="4">
        <v>325</v>
      </c>
      <c r="D69" s="8">
        <v>10.33</v>
      </c>
      <c r="E69" s="4">
        <v>264</v>
      </c>
      <c r="F69" s="8">
        <v>17.27</v>
      </c>
      <c r="G69" s="4">
        <v>61</v>
      </c>
      <c r="H69" s="8">
        <v>3.8</v>
      </c>
      <c r="I69" s="4">
        <v>0</v>
      </c>
    </row>
    <row r="70" spans="1:9" x14ac:dyDescent="0.2">
      <c r="A70" s="2">
        <v>2</v>
      </c>
      <c r="B70" s="1" t="s">
        <v>82</v>
      </c>
      <c r="C70" s="4">
        <v>316</v>
      </c>
      <c r="D70" s="8">
        <v>10.039999999999999</v>
      </c>
      <c r="E70" s="4">
        <v>273</v>
      </c>
      <c r="F70" s="8">
        <v>17.850000000000001</v>
      </c>
      <c r="G70" s="4">
        <v>43</v>
      </c>
      <c r="H70" s="8">
        <v>2.68</v>
      </c>
      <c r="I70" s="4">
        <v>0</v>
      </c>
    </row>
    <row r="71" spans="1:9" x14ac:dyDescent="0.2">
      <c r="A71" s="2">
        <v>3</v>
      </c>
      <c r="B71" s="1" t="s">
        <v>79</v>
      </c>
      <c r="C71" s="4">
        <v>281</v>
      </c>
      <c r="D71" s="8">
        <v>8.93</v>
      </c>
      <c r="E71" s="4">
        <v>133</v>
      </c>
      <c r="F71" s="8">
        <v>8.6999999999999993</v>
      </c>
      <c r="G71" s="4">
        <v>148</v>
      </c>
      <c r="H71" s="8">
        <v>9.2200000000000006</v>
      </c>
      <c r="I71" s="4">
        <v>0</v>
      </c>
    </row>
    <row r="72" spans="1:9" x14ac:dyDescent="0.2">
      <c r="A72" s="2">
        <v>4</v>
      </c>
      <c r="B72" s="1" t="s">
        <v>77</v>
      </c>
      <c r="C72" s="4">
        <v>200</v>
      </c>
      <c r="D72" s="8">
        <v>6.36</v>
      </c>
      <c r="E72" s="4">
        <v>87</v>
      </c>
      <c r="F72" s="8">
        <v>5.69</v>
      </c>
      <c r="G72" s="4">
        <v>113</v>
      </c>
      <c r="H72" s="8">
        <v>7.04</v>
      </c>
      <c r="I72" s="4">
        <v>0</v>
      </c>
    </row>
    <row r="73" spans="1:9" x14ac:dyDescent="0.2">
      <c r="A73" s="2">
        <v>5</v>
      </c>
      <c r="B73" s="1" t="s">
        <v>68</v>
      </c>
      <c r="C73" s="4">
        <v>194</v>
      </c>
      <c r="D73" s="8">
        <v>6.16</v>
      </c>
      <c r="E73" s="4">
        <v>47</v>
      </c>
      <c r="F73" s="8">
        <v>3.07</v>
      </c>
      <c r="G73" s="4">
        <v>147</v>
      </c>
      <c r="H73" s="8">
        <v>9.16</v>
      </c>
      <c r="I73" s="4">
        <v>0</v>
      </c>
    </row>
    <row r="74" spans="1:9" x14ac:dyDescent="0.2">
      <c r="A74" s="2">
        <v>6</v>
      </c>
      <c r="B74" s="1" t="s">
        <v>69</v>
      </c>
      <c r="C74" s="4">
        <v>160</v>
      </c>
      <c r="D74" s="8">
        <v>5.08</v>
      </c>
      <c r="E74" s="4">
        <v>71</v>
      </c>
      <c r="F74" s="8">
        <v>4.6399999999999997</v>
      </c>
      <c r="G74" s="4">
        <v>89</v>
      </c>
      <c r="H74" s="8">
        <v>5.55</v>
      </c>
      <c r="I74" s="4">
        <v>0</v>
      </c>
    </row>
    <row r="75" spans="1:9" x14ac:dyDescent="0.2">
      <c r="A75" s="2">
        <v>7</v>
      </c>
      <c r="B75" s="1" t="s">
        <v>70</v>
      </c>
      <c r="C75" s="4">
        <v>138</v>
      </c>
      <c r="D75" s="8">
        <v>4.3899999999999997</v>
      </c>
      <c r="E75" s="4">
        <v>28</v>
      </c>
      <c r="F75" s="8">
        <v>1.83</v>
      </c>
      <c r="G75" s="4">
        <v>110</v>
      </c>
      <c r="H75" s="8">
        <v>6.85</v>
      </c>
      <c r="I75" s="4">
        <v>0</v>
      </c>
    </row>
    <row r="76" spans="1:9" x14ac:dyDescent="0.2">
      <c r="A76" s="2">
        <v>8</v>
      </c>
      <c r="B76" s="1" t="s">
        <v>86</v>
      </c>
      <c r="C76" s="4">
        <v>123</v>
      </c>
      <c r="D76" s="8">
        <v>3.91</v>
      </c>
      <c r="E76" s="4">
        <v>103</v>
      </c>
      <c r="F76" s="8">
        <v>6.74</v>
      </c>
      <c r="G76" s="4">
        <v>20</v>
      </c>
      <c r="H76" s="8">
        <v>1.25</v>
      </c>
      <c r="I76" s="4">
        <v>0</v>
      </c>
    </row>
    <row r="77" spans="1:9" x14ac:dyDescent="0.2">
      <c r="A77" s="2">
        <v>9</v>
      </c>
      <c r="B77" s="1" t="s">
        <v>76</v>
      </c>
      <c r="C77" s="4">
        <v>118</v>
      </c>
      <c r="D77" s="8">
        <v>3.75</v>
      </c>
      <c r="E77" s="4">
        <v>62</v>
      </c>
      <c r="F77" s="8">
        <v>4.05</v>
      </c>
      <c r="G77" s="4">
        <v>56</v>
      </c>
      <c r="H77" s="8">
        <v>3.49</v>
      </c>
      <c r="I77" s="4">
        <v>0</v>
      </c>
    </row>
    <row r="78" spans="1:9" x14ac:dyDescent="0.2">
      <c r="A78" s="2">
        <v>10</v>
      </c>
      <c r="B78" s="1" t="s">
        <v>75</v>
      </c>
      <c r="C78" s="4">
        <v>109</v>
      </c>
      <c r="D78" s="8">
        <v>3.46</v>
      </c>
      <c r="E78" s="4">
        <v>70</v>
      </c>
      <c r="F78" s="8">
        <v>4.58</v>
      </c>
      <c r="G78" s="4">
        <v>39</v>
      </c>
      <c r="H78" s="8">
        <v>2.4300000000000002</v>
      </c>
      <c r="I78" s="4">
        <v>0</v>
      </c>
    </row>
    <row r="79" spans="1:9" x14ac:dyDescent="0.2">
      <c r="A79" s="2">
        <v>11</v>
      </c>
      <c r="B79" s="1" t="s">
        <v>80</v>
      </c>
      <c r="C79" s="4">
        <v>90</v>
      </c>
      <c r="D79" s="8">
        <v>2.86</v>
      </c>
      <c r="E79" s="4">
        <v>51</v>
      </c>
      <c r="F79" s="8">
        <v>3.34</v>
      </c>
      <c r="G79" s="4">
        <v>39</v>
      </c>
      <c r="H79" s="8">
        <v>2.4300000000000002</v>
      </c>
      <c r="I79" s="4">
        <v>0</v>
      </c>
    </row>
    <row r="80" spans="1:9" x14ac:dyDescent="0.2">
      <c r="A80" s="2">
        <v>12</v>
      </c>
      <c r="B80" s="1" t="s">
        <v>85</v>
      </c>
      <c r="C80" s="4">
        <v>80</v>
      </c>
      <c r="D80" s="8">
        <v>2.54</v>
      </c>
      <c r="E80" s="4">
        <v>54</v>
      </c>
      <c r="F80" s="8">
        <v>3.53</v>
      </c>
      <c r="G80" s="4">
        <v>22</v>
      </c>
      <c r="H80" s="8">
        <v>1.37</v>
      </c>
      <c r="I80" s="4">
        <v>0</v>
      </c>
    </row>
    <row r="81" spans="1:9" x14ac:dyDescent="0.2">
      <c r="A81" s="2">
        <v>13</v>
      </c>
      <c r="B81" s="1" t="s">
        <v>81</v>
      </c>
      <c r="C81" s="4">
        <v>79</v>
      </c>
      <c r="D81" s="8">
        <v>2.5099999999999998</v>
      </c>
      <c r="E81" s="4">
        <v>29</v>
      </c>
      <c r="F81" s="8">
        <v>1.9</v>
      </c>
      <c r="G81" s="4">
        <v>48</v>
      </c>
      <c r="H81" s="8">
        <v>2.99</v>
      </c>
      <c r="I81" s="4">
        <v>0</v>
      </c>
    </row>
    <row r="82" spans="1:9" x14ac:dyDescent="0.2">
      <c r="A82" s="2">
        <v>13</v>
      </c>
      <c r="B82" s="1" t="s">
        <v>87</v>
      </c>
      <c r="C82" s="4">
        <v>79</v>
      </c>
      <c r="D82" s="8">
        <v>2.5099999999999998</v>
      </c>
      <c r="E82" s="4">
        <v>58</v>
      </c>
      <c r="F82" s="8">
        <v>3.79</v>
      </c>
      <c r="G82" s="4">
        <v>21</v>
      </c>
      <c r="H82" s="8">
        <v>1.31</v>
      </c>
      <c r="I82" s="4">
        <v>0</v>
      </c>
    </row>
    <row r="83" spans="1:9" x14ac:dyDescent="0.2">
      <c r="A83" s="2">
        <v>15</v>
      </c>
      <c r="B83" s="1" t="s">
        <v>73</v>
      </c>
      <c r="C83" s="4">
        <v>74</v>
      </c>
      <c r="D83" s="8">
        <v>2.35</v>
      </c>
      <c r="E83" s="4">
        <v>6</v>
      </c>
      <c r="F83" s="8">
        <v>0.39</v>
      </c>
      <c r="G83" s="4">
        <v>68</v>
      </c>
      <c r="H83" s="8">
        <v>4.24</v>
      </c>
      <c r="I83" s="4">
        <v>0</v>
      </c>
    </row>
    <row r="84" spans="1:9" x14ac:dyDescent="0.2">
      <c r="A84" s="2">
        <v>16</v>
      </c>
      <c r="B84" s="1" t="s">
        <v>74</v>
      </c>
      <c r="C84" s="4">
        <v>69</v>
      </c>
      <c r="D84" s="8">
        <v>2.19</v>
      </c>
      <c r="E84" s="4">
        <v>29</v>
      </c>
      <c r="F84" s="8">
        <v>1.9</v>
      </c>
      <c r="G84" s="4">
        <v>40</v>
      </c>
      <c r="H84" s="8">
        <v>2.4900000000000002</v>
      </c>
      <c r="I84" s="4">
        <v>0</v>
      </c>
    </row>
    <row r="85" spans="1:9" x14ac:dyDescent="0.2">
      <c r="A85" s="2">
        <v>17</v>
      </c>
      <c r="B85" s="1" t="s">
        <v>78</v>
      </c>
      <c r="C85" s="4">
        <v>54</v>
      </c>
      <c r="D85" s="8">
        <v>1.72</v>
      </c>
      <c r="E85" s="4">
        <v>5</v>
      </c>
      <c r="F85" s="8">
        <v>0.33</v>
      </c>
      <c r="G85" s="4">
        <v>49</v>
      </c>
      <c r="H85" s="8">
        <v>3.05</v>
      </c>
      <c r="I85" s="4">
        <v>0</v>
      </c>
    </row>
    <row r="86" spans="1:9" x14ac:dyDescent="0.2">
      <c r="A86" s="2">
        <v>18</v>
      </c>
      <c r="B86" s="1" t="s">
        <v>72</v>
      </c>
      <c r="C86" s="4">
        <v>50</v>
      </c>
      <c r="D86" s="8">
        <v>1.59</v>
      </c>
      <c r="E86" s="4">
        <v>3</v>
      </c>
      <c r="F86" s="8">
        <v>0.2</v>
      </c>
      <c r="G86" s="4">
        <v>47</v>
      </c>
      <c r="H86" s="8">
        <v>2.93</v>
      </c>
      <c r="I86" s="4">
        <v>0</v>
      </c>
    </row>
    <row r="87" spans="1:9" x14ac:dyDescent="0.2">
      <c r="A87" s="2">
        <v>19</v>
      </c>
      <c r="B87" s="1" t="s">
        <v>88</v>
      </c>
      <c r="C87" s="4">
        <v>47</v>
      </c>
      <c r="D87" s="8">
        <v>1.49</v>
      </c>
      <c r="E87" s="4">
        <v>10</v>
      </c>
      <c r="F87" s="8">
        <v>0.65</v>
      </c>
      <c r="G87" s="4">
        <v>37</v>
      </c>
      <c r="H87" s="8">
        <v>2.31</v>
      </c>
      <c r="I87" s="4">
        <v>0</v>
      </c>
    </row>
    <row r="88" spans="1:9" x14ac:dyDescent="0.2">
      <c r="A88" s="2">
        <v>20</v>
      </c>
      <c r="B88" s="1" t="s">
        <v>84</v>
      </c>
      <c r="C88" s="4">
        <v>46</v>
      </c>
      <c r="D88" s="8">
        <v>1.46</v>
      </c>
      <c r="E88" s="4">
        <v>21</v>
      </c>
      <c r="F88" s="8">
        <v>1.37</v>
      </c>
      <c r="G88" s="4">
        <v>24</v>
      </c>
      <c r="H88" s="8">
        <v>1.5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83</v>
      </c>
      <c r="C91" s="4">
        <v>418</v>
      </c>
      <c r="D91" s="8">
        <v>11.72</v>
      </c>
      <c r="E91" s="4">
        <v>364</v>
      </c>
      <c r="F91" s="8">
        <v>18.63</v>
      </c>
      <c r="G91" s="4">
        <v>54</v>
      </c>
      <c r="H91" s="8">
        <v>3.4</v>
      </c>
      <c r="I91" s="4">
        <v>0</v>
      </c>
    </row>
    <row r="92" spans="1:9" x14ac:dyDescent="0.2">
      <c r="A92" s="2">
        <v>2</v>
      </c>
      <c r="B92" s="1" t="s">
        <v>82</v>
      </c>
      <c r="C92" s="4">
        <v>354</v>
      </c>
      <c r="D92" s="8">
        <v>9.92</v>
      </c>
      <c r="E92" s="4">
        <v>298</v>
      </c>
      <c r="F92" s="8">
        <v>15.25</v>
      </c>
      <c r="G92" s="4">
        <v>56</v>
      </c>
      <c r="H92" s="8">
        <v>3.53</v>
      </c>
      <c r="I92" s="4">
        <v>0</v>
      </c>
    </row>
    <row r="93" spans="1:9" x14ac:dyDescent="0.2">
      <c r="A93" s="2">
        <v>3</v>
      </c>
      <c r="B93" s="1" t="s">
        <v>79</v>
      </c>
      <c r="C93" s="4">
        <v>260</v>
      </c>
      <c r="D93" s="8">
        <v>7.29</v>
      </c>
      <c r="E93" s="4">
        <v>163</v>
      </c>
      <c r="F93" s="8">
        <v>8.34</v>
      </c>
      <c r="G93" s="4">
        <v>97</v>
      </c>
      <c r="H93" s="8">
        <v>6.11</v>
      </c>
      <c r="I93" s="4">
        <v>0</v>
      </c>
    </row>
    <row r="94" spans="1:9" x14ac:dyDescent="0.2">
      <c r="A94" s="2">
        <v>4</v>
      </c>
      <c r="B94" s="1" t="s">
        <v>68</v>
      </c>
      <c r="C94" s="4">
        <v>256</v>
      </c>
      <c r="D94" s="8">
        <v>7.18</v>
      </c>
      <c r="E94" s="4">
        <v>96</v>
      </c>
      <c r="F94" s="8">
        <v>4.91</v>
      </c>
      <c r="G94" s="4">
        <v>160</v>
      </c>
      <c r="H94" s="8">
        <v>10.08</v>
      </c>
      <c r="I94" s="4">
        <v>0</v>
      </c>
    </row>
    <row r="95" spans="1:9" x14ac:dyDescent="0.2">
      <c r="A95" s="2">
        <v>5</v>
      </c>
      <c r="B95" s="1" t="s">
        <v>77</v>
      </c>
      <c r="C95" s="4">
        <v>244</v>
      </c>
      <c r="D95" s="8">
        <v>6.84</v>
      </c>
      <c r="E95" s="4">
        <v>133</v>
      </c>
      <c r="F95" s="8">
        <v>6.81</v>
      </c>
      <c r="G95" s="4">
        <v>111</v>
      </c>
      <c r="H95" s="8">
        <v>6.99</v>
      </c>
      <c r="I95" s="4">
        <v>0</v>
      </c>
    </row>
    <row r="96" spans="1:9" x14ac:dyDescent="0.2">
      <c r="A96" s="2">
        <v>6</v>
      </c>
      <c r="B96" s="1" t="s">
        <v>69</v>
      </c>
      <c r="C96" s="4">
        <v>243</v>
      </c>
      <c r="D96" s="8">
        <v>6.81</v>
      </c>
      <c r="E96" s="4">
        <v>122</v>
      </c>
      <c r="F96" s="8">
        <v>6.24</v>
      </c>
      <c r="G96" s="4">
        <v>121</v>
      </c>
      <c r="H96" s="8">
        <v>7.62</v>
      </c>
      <c r="I96" s="4">
        <v>0</v>
      </c>
    </row>
    <row r="97" spans="1:9" x14ac:dyDescent="0.2">
      <c r="A97" s="2">
        <v>7</v>
      </c>
      <c r="B97" s="1" t="s">
        <v>70</v>
      </c>
      <c r="C97" s="4">
        <v>162</v>
      </c>
      <c r="D97" s="8">
        <v>4.54</v>
      </c>
      <c r="E97" s="4">
        <v>52</v>
      </c>
      <c r="F97" s="8">
        <v>2.66</v>
      </c>
      <c r="G97" s="4">
        <v>110</v>
      </c>
      <c r="H97" s="8">
        <v>6.93</v>
      </c>
      <c r="I97" s="4">
        <v>0</v>
      </c>
    </row>
    <row r="98" spans="1:9" x14ac:dyDescent="0.2">
      <c r="A98" s="2">
        <v>8</v>
      </c>
      <c r="B98" s="1" t="s">
        <v>75</v>
      </c>
      <c r="C98" s="4">
        <v>149</v>
      </c>
      <c r="D98" s="8">
        <v>4.18</v>
      </c>
      <c r="E98" s="4">
        <v>106</v>
      </c>
      <c r="F98" s="8">
        <v>5.42</v>
      </c>
      <c r="G98" s="4">
        <v>43</v>
      </c>
      <c r="H98" s="8">
        <v>2.71</v>
      </c>
      <c r="I98" s="4">
        <v>0</v>
      </c>
    </row>
    <row r="99" spans="1:9" x14ac:dyDescent="0.2">
      <c r="A99" s="2">
        <v>9</v>
      </c>
      <c r="B99" s="1" t="s">
        <v>76</v>
      </c>
      <c r="C99" s="4">
        <v>119</v>
      </c>
      <c r="D99" s="8">
        <v>3.34</v>
      </c>
      <c r="E99" s="4">
        <v>63</v>
      </c>
      <c r="F99" s="8">
        <v>3.22</v>
      </c>
      <c r="G99" s="4">
        <v>56</v>
      </c>
      <c r="H99" s="8">
        <v>3.53</v>
      </c>
      <c r="I99" s="4">
        <v>0</v>
      </c>
    </row>
    <row r="100" spans="1:9" x14ac:dyDescent="0.2">
      <c r="A100" s="2">
        <v>10</v>
      </c>
      <c r="B100" s="1" t="s">
        <v>85</v>
      </c>
      <c r="C100" s="4">
        <v>108</v>
      </c>
      <c r="D100" s="8">
        <v>3.03</v>
      </c>
      <c r="E100" s="4">
        <v>72</v>
      </c>
      <c r="F100" s="8">
        <v>3.68</v>
      </c>
      <c r="G100" s="4">
        <v>22</v>
      </c>
      <c r="H100" s="8">
        <v>1.39</v>
      </c>
      <c r="I100" s="4">
        <v>0</v>
      </c>
    </row>
    <row r="101" spans="1:9" x14ac:dyDescent="0.2">
      <c r="A101" s="2">
        <v>11</v>
      </c>
      <c r="B101" s="1" t="s">
        <v>86</v>
      </c>
      <c r="C101" s="4">
        <v>107</v>
      </c>
      <c r="D101" s="8">
        <v>3</v>
      </c>
      <c r="E101" s="4">
        <v>99</v>
      </c>
      <c r="F101" s="8">
        <v>5.07</v>
      </c>
      <c r="G101" s="4">
        <v>8</v>
      </c>
      <c r="H101" s="8">
        <v>0.5</v>
      </c>
      <c r="I101" s="4">
        <v>0</v>
      </c>
    </row>
    <row r="102" spans="1:9" x14ac:dyDescent="0.2">
      <c r="A102" s="2">
        <v>12</v>
      </c>
      <c r="B102" s="1" t="s">
        <v>71</v>
      </c>
      <c r="C102" s="4">
        <v>76</v>
      </c>
      <c r="D102" s="8">
        <v>2.13</v>
      </c>
      <c r="E102" s="4">
        <v>22</v>
      </c>
      <c r="F102" s="8">
        <v>1.1299999999999999</v>
      </c>
      <c r="G102" s="4">
        <v>54</v>
      </c>
      <c r="H102" s="8">
        <v>3.4</v>
      </c>
      <c r="I102" s="4">
        <v>0</v>
      </c>
    </row>
    <row r="103" spans="1:9" x14ac:dyDescent="0.2">
      <c r="A103" s="2">
        <v>13</v>
      </c>
      <c r="B103" s="1" t="s">
        <v>74</v>
      </c>
      <c r="C103" s="4">
        <v>69</v>
      </c>
      <c r="D103" s="8">
        <v>1.93</v>
      </c>
      <c r="E103" s="4">
        <v>34</v>
      </c>
      <c r="F103" s="8">
        <v>1.74</v>
      </c>
      <c r="G103" s="4">
        <v>35</v>
      </c>
      <c r="H103" s="8">
        <v>2.21</v>
      </c>
      <c r="I103" s="4">
        <v>0</v>
      </c>
    </row>
    <row r="104" spans="1:9" x14ac:dyDescent="0.2">
      <c r="A104" s="2">
        <v>14</v>
      </c>
      <c r="B104" s="1" t="s">
        <v>80</v>
      </c>
      <c r="C104" s="4">
        <v>63</v>
      </c>
      <c r="D104" s="8">
        <v>1.77</v>
      </c>
      <c r="E104" s="4">
        <v>43</v>
      </c>
      <c r="F104" s="8">
        <v>2.2000000000000002</v>
      </c>
      <c r="G104" s="4">
        <v>20</v>
      </c>
      <c r="H104" s="8">
        <v>1.26</v>
      </c>
      <c r="I104" s="4">
        <v>0</v>
      </c>
    </row>
    <row r="105" spans="1:9" x14ac:dyDescent="0.2">
      <c r="A105" s="2">
        <v>15</v>
      </c>
      <c r="B105" s="1" t="s">
        <v>81</v>
      </c>
      <c r="C105" s="4">
        <v>60</v>
      </c>
      <c r="D105" s="8">
        <v>1.68</v>
      </c>
      <c r="E105" s="4">
        <v>31</v>
      </c>
      <c r="F105" s="8">
        <v>1.59</v>
      </c>
      <c r="G105" s="4">
        <v>28</v>
      </c>
      <c r="H105" s="8">
        <v>1.76</v>
      </c>
      <c r="I105" s="4">
        <v>0</v>
      </c>
    </row>
    <row r="106" spans="1:9" x14ac:dyDescent="0.2">
      <c r="A106" s="2">
        <v>16</v>
      </c>
      <c r="B106" s="1" t="s">
        <v>92</v>
      </c>
      <c r="C106" s="4">
        <v>56</v>
      </c>
      <c r="D106" s="8">
        <v>1.57</v>
      </c>
      <c r="E106" s="4">
        <v>21</v>
      </c>
      <c r="F106" s="8">
        <v>1.07</v>
      </c>
      <c r="G106" s="4">
        <v>35</v>
      </c>
      <c r="H106" s="8">
        <v>2.21</v>
      </c>
      <c r="I106" s="4">
        <v>0</v>
      </c>
    </row>
    <row r="107" spans="1:9" x14ac:dyDescent="0.2">
      <c r="A107" s="2">
        <v>17</v>
      </c>
      <c r="B107" s="1" t="s">
        <v>87</v>
      </c>
      <c r="C107" s="4">
        <v>53</v>
      </c>
      <c r="D107" s="8">
        <v>1.49</v>
      </c>
      <c r="E107" s="4">
        <v>40</v>
      </c>
      <c r="F107" s="8">
        <v>2.0499999999999998</v>
      </c>
      <c r="G107" s="4">
        <v>13</v>
      </c>
      <c r="H107" s="8">
        <v>0.82</v>
      </c>
      <c r="I107" s="4">
        <v>0</v>
      </c>
    </row>
    <row r="108" spans="1:9" x14ac:dyDescent="0.2">
      <c r="A108" s="2">
        <v>18</v>
      </c>
      <c r="B108" s="1" t="s">
        <v>72</v>
      </c>
      <c r="C108" s="4">
        <v>46</v>
      </c>
      <c r="D108" s="8">
        <v>1.29</v>
      </c>
      <c r="E108" s="4">
        <v>6</v>
      </c>
      <c r="F108" s="8">
        <v>0.31</v>
      </c>
      <c r="G108" s="4">
        <v>40</v>
      </c>
      <c r="H108" s="8">
        <v>2.52</v>
      </c>
      <c r="I108" s="4">
        <v>0</v>
      </c>
    </row>
    <row r="109" spans="1:9" x14ac:dyDescent="0.2">
      <c r="A109" s="2">
        <v>19</v>
      </c>
      <c r="B109" s="1" t="s">
        <v>91</v>
      </c>
      <c r="C109" s="4">
        <v>37</v>
      </c>
      <c r="D109" s="8">
        <v>1.04</v>
      </c>
      <c r="E109" s="4">
        <v>12</v>
      </c>
      <c r="F109" s="8">
        <v>0.61</v>
      </c>
      <c r="G109" s="4">
        <v>25</v>
      </c>
      <c r="H109" s="8">
        <v>1.58</v>
      </c>
      <c r="I109" s="4">
        <v>0</v>
      </c>
    </row>
    <row r="110" spans="1:9" x14ac:dyDescent="0.2">
      <c r="A110" s="2">
        <v>19</v>
      </c>
      <c r="B110" s="1" t="s">
        <v>93</v>
      </c>
      <c r="C110" s="4">
        <v>37</v>
      </c>
      <c r="D110" s="8">
        <v>1.04</v>
      </c>
      <c r="E110" s="4">
        <v>6</v>
      </c>
      <c r="F110" s="8">
        <v>0.31</v>
      </c>
      <c r="G110" s="4">
        <v>30</v>
      </c>
      <c r="H110" s="8">
        <v>1.89</v>
      </c>
      <c r="I110" s="4">
        <v>1</v>
      </c>
    </row>
    <row r="111" spans="1:9" x14ac:dyDescent="0.2">
      <c r="A111" s="2">
        <v>19</v>
      </c>
      <c r="B111" s="1" t="s">
        <v>73</v>
      </c>
      <c r="C111" s="4">
        <v>37</v>
      </c>
      <c r="D111" s="8">
        <v>1.04</v>
      </c>
      <c r="E111" s="4">
        <v>8</v>
      </c>
      <c r="F111" s="8">
        <v>0.41</v>
      </c>
      <c r="G111" s="4">
        <v>29</v>
      </c>
      <c r="H111" s="8">
        <v>1.83</v>
      </c>
      <c r="I111" s="4">
        <v>0</v>
      </c>
    </row>
    <row r="112" spans="1:9" x14ac:dyDescent="0.2">
      <c r="A112" s="2">
        <v>19</v>
      </c>
      <c r="B112" s="1" t="s">
        <v>84</v>
      </c>
      <c r="C112" s="4">
        <v>37</v>
      </c>
      <c r="D112" s="8">
        <v>1.04</v>
      </c>
      <c r="E112" s="4">
        <v>21</v>
      </c>
      <c r="F112" s="8">
        <v>1.07</v>
      </c>
      <c r="G112" s="4">
        <v>16</v>
      </c>
      <c r="H112" s="8">
        <v>1.01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83</v>
      </c>
      <c r="C115" s="4">
        <v>209</v>
      </c>
      <c r="D115" s="8">
        <v>11.85</v>
      </c>
      <c r="E115" s="4">
        <v>183</v>
      </c>
      <c r="F115" s="8">
        <v>17.72</v>
      </c>
      <c r="G115" s="4">
        <v>26</v>
      </c>
      <c r="H115" s="8">
        <v>3.59</v>
      </c>
      <c r="I115" s="4">
        <v>0</v>
      </c>
    </row>
    <row r="116" spans="1:9" x14ac:dyDescent="0.2">
      <c r="A116" s="2">
        <v>2</v>
      </c>
      <c r="B116" s="1" t="s">
        <v>68</v>
      </c>
      <c r="C116" s="4">
        <v>148</v>
      </c>
      <c r="D116" s="8">
        <v>8.39</v>
      </c>
      <c r="E116" s="4">
        <v>62</v>
      </c>
      <c r="F116" s="8">
        <v>6</v>
      </c>
      <c r="G116" s="4">
        <v>86</v>
      </c>
      <c r="H116" s="8">
        <v>11.86</v>
      </c>
      <c r="I116" s="4">
        <v>0</v>
      </c>
    </row>
    <row r="117" spans="1:9" x14ac:dyDescent="0.2">
      <c r="A117" s="2">
        <v>3</v>
      </c>
      <c r="B117" s="1" t="s">
        <v>82</v>
      </c>
      <c r="C117" s="4">
        <v>145</v>
      </c>
      <c r="D117" s="8">
        <v>8.2200000000000006</v>
      </c>
      <c r="E117" s="4">
        <v>129</v>
      </c>
      <c r="F117" s="8">
        <v>12.49</v>
      </c>
      <c r="G117" s="4">
        <v>16</v>
      </c>
      <c r="H117" s="8">
        <v>2.21</v>
      </c>
      <c r="I117" s="4">
        <v>0</v>
      </c>
    </row>
    <row r="118" spans="1:9" x14ac:dyDescent="0.2">
      <c r="A118" s="2">
        <v>4</v>
      </c>
      <c r="B118" s="1" t="s">
        <v>69</v>
      </c>
      <c r="C118" s="4">
        <v>132</v>
      </c>
      <c r="D118" s="8">
        <v>7.49</v>
      </c>
      <c r="E118" s="4">
        <v>87</v>
      </c>
      <c r="F118" s="8">
        <v>8.42</v>
      </c>
      <c r="G118" s="4">
        <v>45</v>
      </c>
      <c r="H118" s="8">
        <v>6.21</v>
      </c>
      <c r="I118" s="4">
        <v>0</v>
      </c>
    </row>
    <row r="119" spans="1:9" x14ac:dyDescent="0.2">
      <c r="A119" s="2">
        <v>5</v>
      </c>
      <c r="B119" s="1" t="s">
        <v>77</v>
      </c>
      <c r="C119" s="4">
        <v>118</v>
      </c>
      <c r="D119" s="8">
        <v>6.69</v>
      </c>
      <c r="E119" s="4">
        <v>72</v>
      </c>
      <c r="F119" s="8">
        <v>6.97</v>
      </c>
      <c r="G119" s="4">
        <v>46</v>
      </c>
      <c r="H119" s="8">
        <v>6.34</v>
      </c>
      <c r="I119" s="4">
        <v>0</v>
      </c>
    </row>
    <row r="120" spans="1:9" x14ac:dyDescent="0.2">
      <c r="A120" s="2">
        <v>6</v>
      </c>
      <c r="B120" s="1" t="s">
        <v>79</v>
      </c>
      <c r="C120" s="4">
        <v>91</v>
      </c>
      <c r="D120" s="8">
        <v>5.16</v>
      </c>
      <c r="E120" s="4">
        <v>30</v>
      </c>
      <c r="F120" s="8">
        <v>2.9</v>
      </c>
      <c r="G120" s="4">
        <v>60</v>
      </c>
      <c r="H120" s="8">
        <v>8.2799999999999994</v>
      </c>
      <c r="I120" s="4">
        <v>0</v>
      </c>
    </row>
    <row r="121" spans="1:9" x14ac:dyDescent="0.2">
      <c r="A121" s="2">
        <v>7</v>
      </c>
      <c r="B121" s="1" t="s">
        <v>75</v>
      </c>
      <c r="C121" s="4">
        <v>88</v>
      </c>
      <c r="D121" s="8">
        <v>4.99</v>
      </c>
      <c r="E121" s="4">
        <v>69</v>
      </c>
      <c r="F121" s="8">
        <v>6.68</v>
      </c>
      <c r="G121" s="4">
        <v>19</v>
      </c>
      <c r="H121" s="8">
        <v>2.62</v>
      </c>
      <c r="I121" s="4">
        <v>0</v>
      </c>
    </row>
    <row r="122" spans="1:9" x14ac:dyDescent="0.2">
      <c r="A122" s="2">
        <v>8</v>
      </c>
      <c r="B122" s="1" t="s">
        <v>70</v>
      </c>
      <c r="C122" s="4">
        <v>68</v>
      </c>
      <c r="D122" s="8">
        <v>3.86</v>
      </c>
      <c r="E122" s="4">
        <v>32</v>
      </c>
      <c r="F122" s="8">
        <v>3.1</v>
      </c>
      <c r="G122" s="4">
        <v>36</v>
      </c>
      <c r="H122" s="8">
        <v>4.97</v>
      </c>
      <c r="I122" s="4">
        <v>0</v>
      </c>
    </row>
    <row r="123" spans="1:9" x14ac:dyDescent="0.2">
      <c r="A123" s="2">
        <v>9</v>
      </c>
      <c r="B123" s="1" t="s">
        <v>76</v>
      </c>
      <c r="C123" s="4">
        <v>65</v>
      </c>
      <c r="D123" s="8">
        <v>3.69</v>
      </c>
      <c r="E123" s="4">
        <v>37</v>
      </c>
      <c r="F123" s="8">
        <v>3.58</v>
      </c>
      <c r="G123" s="4">
        <v>28</v>
      </c>
      <c r="H123" s="8">
        <v>3.86</v>
      </c>
      <c r="I123" s="4">
        <v>0</v>
      </c>
    </row>
    <row r="124" spans="1:9" x14ac:dyDescent="0.2">
      <c r="A124" s="2">
        <v>10</v>
      </c>
      <c r="B124" s="1" t="s">
        <v>87</v>
      </c>
      <c r="C124" s="4">
        <v>55</v>
      </c>
      <c r="D124" s="8">
        <v>3.12</v>
      </c>
      <c r="E124" s="4">
        <v>44</v>
      </c>
      <c r="F124" s="8">
        <v>4.26</v>
      </c>
      <c r="G124" s="4">
        <v>11</v>
      </c>
      <c r="H124" s="8">
        <v>1.52</v>
      </c>
      <c r="I124" s="4">
        <v>0</v>
      </c>
    </row>
    <row r="125" spans="1:9" x14ac:dyDescent="0.2">
      <c r="A125" s="2">
        <v>11</v>
      </c>
      <c r="B125" s="1" t="s">
        <v>86</v>
      </c>
      <c r="C125" s="4">
        <v>51</v>
      </c>
      <c r="D125" s="8">
        <v>2.89</v>
      </c>
      <c r="E125" s="4">
        <v>50</v>
      </c>
      <c r="F125" s="8">
        <v>4.84</v>
      </c>
      <c r="G125" s="4">
        <v>1</v>
      </c>
      <c r="H125" s="8">
        <v>0.14000000000000001</v>
      </c>
      <c r="I125" s="4">
        <v>0</v>
      </c>
    </row>
    <row r="126" spans="1:9" x14ac:dyDescent="0.2">
      <c r="A126" s="2">
        <v>12</v>
      </c>
      <c r="B126" s="1" t="s">
        <v>85</v>
      </c>
      <c r="C126" s="4">
        <v>44</v>
      </c>
      <c r="D126" s="8">
        <v>2.5</v>
      </c>
      <c r="E126" s="4">
        <v>35</v>
      </c>
      <c r="F126" s="8">
        <v>3.39</v>
      </c>
      <c r="G126" s="4">
        <v>9</v>
      </c>
      <c r="H126" s="8">
        <v>1.24</v>
      </c>
      <c r="I126" s="4">
        <v>0</v>
      </c>
    </row>
    <row r="127" spans="1:9" x14ac:dyDescent="0.2">
      <c r="A127" s="2">
        <v>13</v>
      </c>
      <c r="B127" s="1" t="s">
        <v>80</v>
      </c>
      <c r="C127" s="4">
        <v>40</v>
      </c>
      <c r="D127" s="8">
        <v>2.27</v>
      </c>
      <c r="E127" s="4">
        <v>29</v>
      </c>
      <c r="F127" s="8">
        <v>2.81</v>
      </c>
      <c r="G127" s="4">
        <v>11</v>
      </c>
      <c r="H127" s="8">
        <v>1.52</v>
      </c>
      <c r="I127" s="4">
        <v>0</v>
      </c>
    </row>
    <row r="128" spans="1:9" x14ac:dyDescent="0.2">
      <c r="A128" s="2">
        <v>13</v>
      </c>
      <c r="B128" s="1" t="s">
        <v>81</v>
      </c>
      <c r="C128" s="4">
        <v>40</v>
      </c>
      <c r="D128" s="8">
        <v>2.27</v>
      </c>
      <c r="E128" s="4">
        <v>18</v>
      </c>
      <c r="F128" s="8">
        <v>1.74</v>
      </c>
      <c r="G128" s="4">
        <v>22</v>
      </c>
      <c r="H128" s="8">
        <v>3.03</v>
      </c>
      <c r="I128" s="4">
        <v>0</v>
      </c>
    </row>
    <row r="129" spans="1:9" x14ac:dyDescent="0.2">
      <c r="A129" s="2">
        <v>15</v>
      </c>
      <c r="B129" s="1" t="s">
        <v>94</v>
      </c>
      <c r="C129" s="4">
        <v>25</v>
      </c>
      <c r="D129" s="8">
        <v>1.42</v>
      </c>
      <c r="E129" s="4">
        <v>18</v>
      </c>
      <c r="F129" s="8">
        <v>1.74</v>
      </c>
      <c r="G129" s="4">
        <v>7</v>
      </c>
      <c r="H129" s="8">
        <v>0.97</v>
      </c>
      <c r="I129" s="4">
        <v>0</v>
      </c>
    </row>
    <row r="130" spans="1:9" x14ac:dyDescent="0.2">
      <c r="A130" s="2">
        <v>15</v>
      </c>
      <c r="B130" s="1" t="s">
        <v>74</v>
      </c>
      <c r="C130" s="4">
        <v>25</v>
      </c>
      <c r="D130" s="8">
        <v>1.42</v>
      </c>
      <c r="E130" s="4">
        <v>16</v>
      </c>
      <c r="F130" s="8">
        <v>1.55</v>
      </c>
      <c r="G130" s="4">
        <v>9</v>
      </c>
      <c r="H130" s="8">
        <v>1.24</v>
      </c>
      <c r="I130" s="4">
        <v>0</v>
      </c>
    </row>
    <row r="131" spans="1:9" x14ac:dyDescent="0.2">
      <c r="A131" s="2">
        <v>15</v>
      </c>
      <c r="B131" s="1" t="s">
        <v>78</v>
      </c>
      <c r="C131" s="4">
        <v>25</v>
      </c>
      <c r="D131" s="8">
        <v>1.42</v>
      </c>
      <c r="E131" s="4">
        <v>0</v>
      </c>
      <c r="F131" s="8">
        <v>0</v>
      </c>
      <c r="G131" s="4">
        <v>25</v>
      </c>
      <c r="H131" s="8">
        <v>3.45</v>
      </c>
      <c r="I131" s="4">
        <v>0</v>
      </c>
    </row>
    <row r="132" spans="1:9" x14ac:dyDescent="0.2">
      <c r="A132" s="2">
        <v>18</v>
      </c>
      <c r="B132" s="1" t="s">
        <v>84</v>
      </c>
      <c r="C132" s="4">
        <v>24</v>
      </c>
      <c r="D132" s="8">
        <v>1.36</v>
      </c>
      <c r="E132" s="4">
        <v>9</v>
      </c>
      <c r="F132" s="8">
        <v>0.87</v>
      </c>
      <c r="G132" s="4">
        <v>14</v>
      </c>
      <c r="H132" s="8">
        <v>1.93</v>
      </c>
      <c r="I132" s="4">
        <v>0</v>
      </c>
    </row>
    <row r="133" spans="1:9" x14ac:dyDescent="0.2">
      <c r="A133" s="2">
        <v>19</v>
      </c>
      <c r="B133" s="1" t="s">
        <v>96</v>
      </c>
      <c r="C133" s="4">
        <v>22</v>
      </c>
      <c r="D133" s="8">
        <v>1.25</v>
      </c>
      <c r="E133" s="4">
        <v>0</v>
      </c>
      <c r="F133" s="8">
        <v>0</v>
      </c>
      <c r="G133" s="4">
        <v>22</v>
      </c>
      <c r="H133" s="8">
        <v>3.03</v>
      </c>
      <c r="I133" s="4">
        <v>0</v>
      </c>
    </row>
    <row r="134" spans="1:9" x14ac:dyDescent="0.2">
      <c r="A134" s="2">
        <v>20</v>
      </c>
      <c r="B134" s="1" t="s">
        <v>95</v>
      </c>
      <c r="C134" s="4">
        <v>21</v>
      </c>
      <c r="D134" s="8">
        <v>1.19</v>
      </c>
      <c r="E134" s="4">
        <v>8</v>
      </c>
      <c r="F134" s="8">
        <v>0.77</v>
      </c>
      <c r="G134" s="4">
        <v>13</v>
      </c>
      <c r="H134" s="8">
        <v>1.79</v>
      </c>
      <c r="I134" s="4">
        <v>0</v>
      </c>
    </row>
    <row r="135" spans="1:9" x14ac:dyDescent="0.2">
      <c r="A135" s="2">
        <v>20</v>
      </c>
      <c r="B135" s="1" t="s">
        <v>71</v>
      </c>
      <c r="C135" s="4">
        <v>21</v>
      </c>
      <c r="D135" s="8">
        <v>1.19</v>
      </c>
      <c r="E135" s="4">
        <v>9</v>
      </c>
      <c r="F135" s="8">
        <v>0.87</v>
      </c>
      <c r="G135" s="4">
        <v>12</v>
      </c>
      <c r="H135" s="8">
        <v>1.66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83</v>
      </c>
      <c r="C138" s="4">
        <v>142</v>
      </c>
      <c r="D138" s="8">
        <v>10.43</v>
      </c>
      <c r="E138" s="4">
        <v>128</v>
      </c>
      <c r="F138" s="8">
        <v>17.18</v>
      </c>
      <c r="G138" s="4">
        <v>14</v>
      </c>
      <c r="H138" s="8">
        <v>2.2999999999999998</v>
      </c>
      <c r="I138" s="4">
        <v>0</v>
      </c>
    </row>
    <row r="139" spans="1:9" x14ac:dyDescent="0.2">
      <c r="A139" s="2">
        <v>2</v>
      </c>
      <c r="B139" s="1" t="s">
        <v>68</v>
      </c>
      <c r="C139" s="4">
        <v>120</v>
      </c>
      <c r="D139" s="8">
        <v>8.82</v>
      </c>
      <c r="E139" s="4">
        <v>60</v>
      </c>
      <c r="F139" s="8">
        <v>8.0500000000000007</v>
      </c>
      <c r="G139" s="4">
        <v>60</v>
      </c>
      <c r="H139" s="8">
        <v>9.85</v>
      </c>
      <c r="I139" s="4">
        <v>0</v>
      </c>
    </row>
    <row r="140" spans="1:9" x14ac:dyDescent="0.2">
      <c r="A140" s="2">
        <v>3</v>
      </c>
      <c r="B140" s="1" t="s">
        <v>82</v>
      </c>
      <c r="C140" s="4">
        <v>111</v>
      </c>
      <c r="D140" s="8">
        <v>8.16</v>
      </c>
      <c r="E140" s="4">
        <v>94</v>
      </c>
      <c r="F140" s="8">
        <v>12.62</v>
      </c>
      <c r="G140" s="4">
        <v>17</v>
      </c>
      <c r="H140" s="8">
        <v>2.79</v>
      </c>
      <c r="I140" s="4">
        <v>0</v>
      </c>
    </row>
    <row r="141" spans="1:9" x14ac:dyDescent="0.2">
      <c r="A141" s="2">
        <v>4</v>
      </c>
      <c r="B141" s="1" t="s">
        <v>77</v>
      </c>
      <c r="C141" s="4">
        <v>103</v>
      </c>
      <c r="D141" s="8">
        <v>7.57</v>
      </c>
      <c r="E141" s="4">
        <v>44</v>
      </c>
      <c r="F141" s="8">
        <v>5.91</v>
      </c>
      <c r="G141" s="4">
        <v>59</v>
      </c>
      <c r="H141" s="8">
        <v>9.69</v>
      </c>
      <c r="I141" s="4">
        <v>0</v>
      </c>
    </row>
    <row r="142" spans="1:9" x14ac:dyDescent="0.2">
      <c r="A142" s="2">
        <v>5</v>
      </c>
      <c r="B142" s="1" t="s">
        <v>69</v>
      </c>
      <c r="C142" s="4">
        <v>86</v>
      </c>
      <c r="D142" s="8">
        <v>6.32</v>
      </c>
      <c r="E142" s="4">
        <v>50</v>
      </c>
      <c r="F142" s="8">
        <v>6.71</v>
      </c>
      <c r="G142" s="4">
        <v>36</v>
      </c>
      <c r="H142" s="8">
        <v>5.91</v>
      </c>
      <c r="I142" s="4">
        <v>0</v>
      </c>
    </row>
    <row r="143" spans="1:9" x14ac:dyDescent="0.2">
      <c r="A143" s="2">
        <v>6</v>
      </c>
      <c r="B143" s="1" t="s">
        <v>79</v>
      </c>
      <c r="C143" s="4">
        <v>69</v>
      </c>
      <c r="D143" s="8">
        <v>5.07</v>
      </c>
      <c r="E143" s="4">
        <v>40</v>
      </c>
      <c r="F143" s="8">
        <v>5.37</v>
      </c>
      <c r="G143" s="4">
        <v>29</v>
      </c>
      <c r="H143" s="8">
        <v>4.76</v>
      </c>
      <c r="I143" s="4">
        <v>0</v>
      </c>
    </row>
    <row r="144" spans="1:9" x14ac:dyDescent="0.2">
      <c r="A144" s="2">
        <v>7</v>
      </c>
      <c r="B144" s="1" t="s">
        <v>70</v>
      </c>
      <c r="C144" s="4">
        <v>62</v>
      </c>
      <c r="D144" s="8">
        <v>4.5599999999999996</v>
      </c>
      <c r="E144" s="4">
        <v>18</v>
      </c>
      <c r="F144" s="8">
        <v>2.42</v>
      </c>
      <c r="G144" s="4">
        <v>44</v>
      </c>
      <c r="H144" s="8">
        <v>7.22</v>
      </c>
      <c r="I144" s="4">
        <v>0</v>
      </c>
    </row>
    <row r="145" spans="1:9" x14ac:dyDescent="0.2">
      <c r="A145" s="2">
        <v>8</v>
      </c>
      <c r="B145" s="1" t="s">
        <v>76</v>
      </c>
      <c r="C145" s="4">
        <v>55</v>
      </c>
      <c r="D145" s="8">
        <v>4.04</v>
      </c>
      <c r="E145" s="4">
        <v>31</v>
      </c>
      <c r="F145" s="8">
        <v>4.16</v>
      </c>
      <c r="G145" s="4">
        <v>24</v>
      </c>
      <c r="H145" s="8">
        <v>3.94</v>
      </c>
      <c r="I145" s="4">
        <v>0</v>
      </c>
    </row>
    <row r="146" spans="1:9" x14ac:dyDescent="0.2">
      <c r="A146" s="2">
        <v>9</v>
      </c>
      <c r="B146" s="1" t="s">
        <v>75</v>
      </c>
      <c r="C146" s="4">
        <v>51</v>
      </c>
      <c r="D146" s="8">
        <v>3.75</v>
      </c>
      <c r="E146" s="4">
        <v>41</v>
      </c>
      <c r="F146" s="8">
        <v>5.5</v>
      </c>
      <c r="G146" s="4">
        <v>9</v>
      </c>
      <c r="H146" s="8">
        <v>1.48</v>
      </c>
      <c r="I146" s="4">
        <v>1</v>
      </c>
    </row>
    <row r="147" spans="1:9" x14ac:dyDescent="0.2">
      <c r="A147" s="2">
        <v>10</v>
      </c>
      <c r="B147" s="1" t="s">
        <v>71</v>
      </c>
      <c r="C147" s="4">
        <v>35</v>
      </c>
      <c r="D147" s="8">
        <v>2.57</v>
      </c>
      <c r="E147" s="4">
        <v>9</v>
      </c>
      <c r="F147" s="8">
        <v>1.21</v>
      </c>
      <c r="G147" s="4">
        <v>26</v>
      </c>
      <c r="H147" s="8">
        <v>4.2699999999999996</v>
      </c>
      <c r="I147" s="4">
        <v>0</v>
      </c>
    </row>
    <row r="148" spans="1:9" x14ac:dyDescent="0.2">
      <c r="A148" s="2">
        <v>11</v>
      </c>
      <c r="B148" s="1" t="s">
        <v>74</v>
      </c>
      <c r="C148" s="4">
        <v>34</v>
      </c>
      <c r="D148" s="8">
        <v>2.5</v>
      </c>
      <c r="E148" s="4">
        <v>18</v>
      </c>
      <c r="F148" s="8">
        <v>2.42</v>
      </c>
      <c r="G148" s="4">
        <v>16</v>
      </c>
      <c r="H148" s="8">
        <v>2.63</v>
      </c>
      <c r="I148" s="4">
        <v>0</v>
      </c>
    </row>
    <row r="149" spans="1:9" x14ac:dyDescent="0.2">
      <c r="A149" s="2">
        <v>12</v>
      </c>
      <c r="B149" s="1" t="s">
        <v>86</v>
      </c>
      <c r="C149" s="4">
        <v>33</v>
      </c>
      <c r="D149" s="8">
        <v>2.42</v>
      </c>
      <c r="E149" s="4">
        <v>28</v>
      </c>
      <c r="F149" s="8">
        <v>3.76</v>
      </c>
      <c r="G149" s="4">
        <v>5</v>
      </c>
      <c r="H149" s="8">
        <v>0.82</v>
      </c>
      <c r="I149" s="4">
        <v>0</v>
      </c>
    </row>
    <row r="150" spans="1:9" x14ac:dyDescent="0.2">
      <c r="A150" s="2">
        <v>13</v>
      </c>
      <c r="B150" s="1" t="s">
        <v>85</v>
      </c>
      <c r="C150" s="4">
        <v>32</v>
      </c>
      <c r="D150" s="8">
        <v>2.35</v>
      </c>
      <c r="E150" s="4">
        <v>20</v>
      </c>
      <c r="F150" s="8">
        <v>2.68</v>
      </c>
      <c r="G150" s="4">
        <v>10</v>
      </c>
      <c r="H150" s="8">
        <v>1.64</v>
      </c>
      <c r="I150" s="4">
        <v>0</v>
      </c>
    </row>
    <row r="151" spans="1:9" x14ac:dyDescent="0.2">
      <c r="A151" s="2">
        <v>14</v>
      </c>
      <c r="B151" s="1" t="s">
        <v>81</v>
      </c>
      <c r="C151" s="4">
        <v>31</v>
      </c>
      <c r="D151" s="8">
        <v>2.2799999999999998</v>
      </c>
      <c r="E151" s="4">
        <v>9</v>
      </c>
      <c r="F151" s="8">
        <v>1.21</v>
      </c>
      <c r="G151" s="4">
        <v>22</v>
      </c>
      <c r="H151" s="8">
        <v>3.61</v>
      </c>
      <c r="I151" s="4">
        <v>0</v>
      </c>
    </row>
    <row r="152" spans="1:9" x14ac:dyDescent="0.2">
      <c r="A152" s="2">
        <v>15</v>
      </c>
      <c r="B152" s="1" t="s">
        <v>80</v>
      </c>
      <c r="C152" s="4">
        <v>30</v>
      </c>
      <c r="D152" s="8">
        <v>2.2000000000000002</v>
      </c>
      <c r="E152" s="4">
        <v>22</v>
      </c>
      <c r="F152" s="8">
        <v>2.95</v>
      </c>
      <c r="G152" s="4">
        <v>7</v>
      </c>
      <c r="H152" s="8">
        <v>1.1499999999999999</v>
      </c>
      <c r="I152" s="4">
        <v>1</v>
      </c>
    </row>
    <row r="153" spans="1:9" x14ac:dyDescent="0.2">
      <c r="A153" s="2">
        <v>16</v>
      </c>
      <c r="B153" s="1" t="s">
        <v>94</v>
      </c>
      <c r="C153" s="4">
        <v>28</v>
      </c>
      <c r="D153" s="8">
        <v>2.06</v>
      </c>
      <c r="E153" s="4">
        <v>24</v>
      </c>
      <c r="F153" s="8">
        <v>3.22</v>
      </c>
      <c r="G153" s="4">
        <v>4</v>
      </c>
      <c r="H153" s="8">
        <v>0.66</v>
      </c>
      <c r="I153" s="4">
        <v>0</v>
      </c>
    </row>
    <row r="154" spans="1:9" x14ac:dyDescent="0.2">
      <c r="A154" s="2">
        <v>17</v>
      </c>
      <c r="B154" s="1" t="s">
        <v>87</v>
      </c>
      <c r="C154" s="4">
        <v>26</v>
      </c>
      <c r="D154" s="8">
        <v>1.91</v>
      </c>
      <c r="E154" s="4">
        <v>22</v>
      </c>
      <c r="F154" s="8">
        <v>2.95</v>
      </c>
      <c r="G154" s="4">
        <v>4</v>
      </c>
      <c r="H154" s="8">
        <v>0.66</v>
      </c>
      <c r="I154" s="4">
        <v>0</v>
      </c>
    </row>
    <row r="155" spans="1:9" x14ac:dyDescent="0.2">
      <c r="A155" s="2">
        <v>18</v>
      </c>
      <c r="B155" s="1" t="s">
        <v>93</v>
      </c>
      <c r="C155" s="4">
        <v>20</v>
      </c>
      <c r="D155" s="8">
        <v>1.47</v>
      </c>
      <c r="E155" s="4">
        <v>9</v>
      </c>
      <c r="F155" s="8">
        <v>1.21</v>
      </c>
      <c r="G155" s="4">
        <v>11</v>
      </c>
      <c r="H155" s="8">
        <v>1.81</v>
      </c>
      <c r="I155" s="4">
        <v>0</v>
      </c>
    </row>
    <row r="156" spans="1:9" x14ac:dyDescent="0.2">
      <c r="A156" s="2">
        <v>18</v>
      </c>
      <c r="B156" s="1" t="s">
        <v>72</v>
      </c>
      <c r="C156" s="4">
        <v>20</v>
      </c>
      <c r="D156" s="8">
        <v>1.47</v>
      </c>
      <c r="E156" s="4">
        <v>2</v>
      </c>
      <c r="F156" s="8">
        <v>0.27</v>
      </c>
      <c r="G156" s="4">
        <v>18</v>
      </c>
      <c r="H156" s="8">
        <v>2.96</v>
      </c>
      <c r="I156" s="4">
        <v>0</v>
      </c>
    </row>
    <row r="157" spans="1:9" x14ac:dyDescent="0.2">
      <c r="A157" s="2">
        <v>20</v>
      </c>
      <c r="B157" s="1" t="s">
        <v>92</v>
      </c>
      <c r="C157" s="4">
        <v>18</v>
      </c>
      <c r="D157" s="8">
        <v>1.32</v>
      </c>
      <c r="E157" s="4">
        <v>2</v>
      </c>
      <c r="F157" s="8">
        <v>0.27</v>
      </c>
      <c r="G157" s="4">
        <v>16</v>
      </c>
      <c r="H157" s="8">
        <v>2.63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83</v>
      </c>
      <c r="C160" s="4">
        <v>163</v>
      </c>
      <c r="D160" s="8">
        <v>11.74</v>
      </c>
      <c r="E160" s="4">
        <v>138</v>
      </c>
      <c r="F160" s="8">
        <v>19.25</v>
      </c>
      <c r="G160" s="4">
        <v>25</v>
      </c>
      <c r="H160" s="8">
        <v>3.77</v>
      </c>
      <c r="I160" s="4">
        <v>0</v>
      </c>
    </row>
    <row r="161" spans="1:9" x14ac:dyDescent="0.2">
      <c r="A161" s="2">
        <v>2</v>
      </c>
      <c r="B161" s="1" t="s">
        <v>82</v>
      </c>
      <c r="C161" s="4">
        <v>149</v>
      </c>
      <c r="D161" s="8">
        <v>10.73</v>
      </c>
      <c r="E161" s="4">
        <v>130</v>
      </c>
      <c r="F161" s="8">
        <v>18.13</v>
      </c>
      <c r="G161" s="4">
        <v>19</v>
      </c>
      <c r="H161" s="8">
        <v>2.87</v>
      </c>
      <c r="I161" s="4">
        <v>0</v>
      </c>
    </row>
    <row r="162" spans="1:9" x14ac:dyDescent="0.2">
      <c r="A162" s="2">
        <v>3</v>
      </c>
      <c r="B162" s="1" t="s">
        <v>77</v>
      </c>
      <c r="C162" s="4">
        <v>103</v>
      </c>
      <c r="D162" s="8">
        <v>7.42</v>
      </c>
      <c r="E162" s="4">
        <v>44</v>
      </c>
      <c r="F162" s="8">
        <v>6.14</v>
      </c>
      <c r="G162" s="4">
        <v>59</v>
      </c>
      <c r="H162" s="8">
        <v>8.9</v>
      </c>
      <c r="I162" s="4">
        <v>0</v>
      </c>
    </row>
    <row r="163" spans="1:9" x14ac:dyDescent="0.2">
      <c r="A163" s="2">
        <v>4</v>
      </c>
      <c r="B163" s="1" t="s">
        <v>68</v>
      </c>
      <c r="C163" s="4">
        <v>93</v>
      </c>
      <c r="D163" s="8">
        <v>6.7</v>
      </c>
      <c r="E163" s="4">
        <v>25</v>
      </c>
      <c r="F163" s="8">
        <v>3.49</v>
      </c>
      <c r="G163" s="4">
        <v>68</v>
      </c>
      <c r="H163" s="8">
        <v>10.26</v>
      </c>
      <c r="I163" s="4">
        <v>0</v>
      </c>
    </row>
    <row r="164" spans="1:9" x14ac:dyDescent="0.2">
      <c r="A164" s="2">
        <v>5</v>
      </c>
      <c r="B164" s="1" t="s">
        <v>79</v>
      </c>
      <c r="C164" s="4">
        <v>91</v>
      </c>
      <c r="D164" s="8">
        <v>6.55</v>
      </c>
      <c r="E164" s="4">
        <v>55</v>
      </c>
      <c r="F164" s="8">
        <v>7.67</v>
      </c>
      <c r="G164" s="4">
        <v>36</v>
      </c>
      <c r="H164" s="8">
        <v>5.43</v>
      </c>
      <c r="I164" s="4">
        <v>0</v>
      </c>
    </row>
    <row r="165" spans="1:9" x14ac:dyDescent="0.2">
      <c r="A165" s="2">
        <v>6</v>
      </c>
      <c r="B165" s="1" t="s">
        <v>69</v>
      </c>
      <c r="C165" s="4">
        <v>70</v>
      </c>
      <c r="D165" s="8">
        <v>5.04</v>
      </c>
      <c r="E165" s="4">
        <v>28</v>
      </c>
      <c r="F165" s="8">
        <v>3.91</v>
      </c>
      <c r="G165" s="4">
        <v>42</v>
      </c>
      <c r="H165" s="8">
        <v>6.33</v>
      </c>
      <c r="I165" s="4">
        <v>0</v>
      </c>
    </row>
    <row r="166" spans="1:9" x14ac:dyDescent="0.2">
      <c r="A166" s="2">
        <v>7</v>
      </c>
      <c r="B166" s="1" t="s">
        <v>86</v>
      </c>
      <c r="C166" s="4">
        <v>67</v>
      </c>
      <c r="D166" s="8">
        <v>4.82</v>
      </c>
      <c r="E166" s="4">
        <v>61</v>
      </c>
      <c r="F166" s="8">
        <v>8.51</v>
      </c>
      <c r="G166" s="4">
        <v>6</v>
      </c>
      <c r="H166" s="8">
        <v>0.9</v>
      </c>
      <c r="I166" s="4">
        <v>0</v>
      </c>
    </row>
    <row r="167" spans="1:9" x14ac:dyDescent="0.2">
      <c r="A167" s="2">
        <v>8</v>
      </c>
      <c r="B167" s="1" t="s">
        <v>85</v>
      </c>
      <c r="C167" s="4">
        <v>59</v>
      </c>
      <c r="D167" s="8">
        <v>4.25</v>
      </c>
      <c r="E167" s="4">
        <v>41</v>
      </c>
      <c r="F167" s="8">
        <v>5.72</v>
      </c>
      <c r="G167" s="4">
        <v>17</v>
      </c>
      <c r="H167" s="8">
        <v>2.56</v>
      </c>
      <c r="I167" s="4">
        <v>0</v>
      </c>
    </row>
    <row r="168" spans="1:9" x14ac:dyDescent="0.2">
      <c r="A168" s="2">
        <v>9</v>
      </c>
      <c r="B168" s="1" t="s">
        <v>75</v>
      </c>
      <c r="C168" s="4">
        <v>57</v>
      </c>
      <c r="D168" s="8">
        <v>4.0999999999999996</v>
      </c>
      <c r="E168" s="4">
        <v>37</v>
      </c>
      <c r="F168" s="8">
        <v>5.16</v>
      </c>
      <c r="G168" s="4">
        <v>19</v>
      </c>
      <c r="H168" s="8">
        <v>2.87</v>
      </c>
      <c r="I168" s="4">
        <v>0</v>
      </c>
    </row>
    <row r="169" spans="1:9" x14ac:dyDescent="0.2">
      <c r="A169" s="2">
        <v>10</v>
      </c>
      <c r="B169" s="1" t="s">
        <v>70</v>
      </c>
      <c r="C169" s="4">
        <v>50</v>
      </c>
      <c r="D169" s="8">
        <v>3.6</v>
      </c>
      <c r="E169" s="4">
        <v>6</v>
      </c>
      <c r="F169" s="8">
        <v>0.84</v>
      </c>
      <c r="G169" s="4">
        <v>44</v>
      </c>
      <c r="H169" s="8">
        <v>6.64</v>
      </c>
      <c r="I169" s="4">
        <v>0</v>
      </c>
    </row>
    <row r="170" spans="1:9" x14ac:dyDescent="0.2">
      <c r="A170" s="2">
        <v>11</v>
      </c>
      <c r="B170" s="1" t="s">
        <v>80</v>
      </c>
      <c r="C170" s="4">
        <v>44</v>
      </c>
      <c r="D170" s="8">
        <v>3.17</v>
      </c>
      <c r="E170" s="4">
        <v>22</v>
      </c>
      <c r="F170" s="8">
        <v>3.07</v>
      </c>
      <c r="G170" s="4">
        <v>22</v>
      </c>
      <c r="H170" s="8">
        <v>3.32</v>
      </c>
      <c r="I170" s="4">
        <v>0</v>
      </c>
    </row>
    <row r="171" spans="1:9" x14ac:dyDescent="0.2">
      <c r="A171" s="2">
        <v>12</v>
      </c>
      <c r="B171" s="1" t="s">
        <v>76</v>
      </c>
      <c r="C171" s="4">
        <v>42</v>
      </c>
      <c r="D171" s="8">
        <v>3.02</v>
      </c>
      <c r="E171" s="4">
        <v>20</v>
      </c>
      <c r="F171" s="8">
        <v>2.79</v>
      </c>
      <c r="G171" s="4">
        <v>22</v>
      </c>
      <c r="H171" s="8">
        <v>3.32</v>
      </c>
      <c r="I171" s="4">
        <v>0</v>
      </c>
    </row>
    <row r="172" spans="1:9" x14ac:dyDescent="0.2">
      <c r="A172" s="2">
        <v>13</v>
      </c>
      <c r="B172" s="1" t="s">
        <v>87</v>
      </c>
      <c r="C172" s="4">
        <v>35</v>
      </c>
      <c r="D172" s="8">
        <v>2.52</v>
      </c>
      <c r="E172" s="4">
        <v>28</v>
      </c>
      <c r="F172" s="8">
        <v>3.91</v>
      </c>
      <c r="G172" s="4">
        <v>7</v>
      </c>
      <c r="H172" s="8">
        <v>1.06</v>
      </c>
      <c r="I172" s="4">
        <v>0</v>
      </c>
    </row>
    <row r="173" spans="1:9" x14ac:dyDescent="0.2">
      <c r="A173" s="2">
        <v>14</v>
      </c>
      <c r="B173" s="1" t="s">
        <v>81</v>
      </c>
      <c r="C173" s="4">
        <v>29</v>
      </c>
      <c r="D173" s="8">
        <v>2.09</v>
      </c>
      <c r="E173" s="4">
        <v>9</v>
      </c>
      <c r="F173" s="8">
        <v>1.26</v>
      </c>
      <c r="G173" s="4">
        <v>19</v>
      </c>
      <c r="H173" s="8">
        <v>2.87</v>
      </c>
      <c r="I173" s="4">
        <v>0</v>
      </c>
    </row>
    <row r="174" spans="1:9" x14ac:dyDescent="0.2">
      <c r="A174" s="2">
        <v>15</v>
      </c>
      <c r="B174" s="1" t="s">
        <v>74</v>
      </c>
      <c r="C174" s="4">
        <v>26</v>
      </c>
      <c r="D174" s="8">
        <v>1.87</v>
      </c>
      <c r="E174" s="4">
        <v>10</v>
      </c>
      <c r="F174" s="8">
        <v>1.39</v>
      </c>
      <c r="G174" s="4">
        <v>16</v>
      </c>
      <c r="H174" s="8">
        <v>2.41</v>
      </c>
      <c r="I174" s="4">
        <v>0</v>
      </c>
    </row>
    <row r="175" spans="1:9" x14ac:dyDescent="0.2">
      <c r="A175" s="2">
        <v>16</v>
      </c>
      <c r="B175" s="1" t="s">
        <v>84</v>
      </c>
      <c r="C175" s="4">
        <v>25</v>
      </c>
      <c r="D175" s="8">
        <v>1.8</v>
      </c>
      <c r="E175" s="4">
        <v>11</v>
      </c>
      <c r="F175" s="8">
        <v>1.53</v>
      </c>
      <c r="G175" s="4">
        <v>14</v>
      </c>
      <c r="H175" s="8">
        <v>2.11</v>
      </c>
      <c r="I175" s="4">
        <v>0</v>
      </c>
    </row>
    <row r="176" spans="1:9" x14ac:dyDescent="0.2">
      <c r="A176" s="2">
        <v>17</v>
      </c>
      <c r="B176" s="1" t="s">
        <v>72</v>
      </c>
      <c r="C176" s="4">
        <v>22</v>
      </c>
      <c r="D176" s="8">
        <v>1.58</v>
      </c>
      <c r="E176" s="4">
        <v>3</v>
      </c>
      <c r="F176" s="8">
        <v>0.42</v>
      </c>
      <c r="G176" s="4">
        <v>19</v>
      </c>
      <c r="H176" s="8">
        <v>2.87</v>
      </c>
      <c r="I176" s="4">
        <v>0</v>
      </c>
    </row>
    <row r="177" spans="1:9" x14ac:dyDescent="0.2">
      <c r="A177" s="2">
        <v>18</v>
      </c>
      <c r="B177" s="1" t="s">
        <v>78</v>
      </c>
      <c r="C177" s="4">
        <v>18</v>
      </c>
      <c r="D177" s="8">
        <v>1.3</v>
      </c>
      <c r="E177" s="4">
        <v>2</v>
      </c>
      <c r="F177" s="8">
        <v>0.28000000000000003</v>
      </c>
      <c r="G177" s="4">
        <v>16</v>
      </c>
      <c r="H177" s="8">
        <v>2.41</v>
      </c>
      <c r="I177" s="4">
        <v>0</v>
      </c>
    </row>
    <row r="178" spans="1:9" x14ac:dyDescent="0.2">
      <c r="A178" s="2">
        <v>18</v>
      </c>
      <c r="B178" s="1" t="s">
        <v>89</v>
      </c>
      <c r="C178" s="4">
        <v>18</v>
      </c>
      <c r="D178" s="8">
        <v>1.3</v>
      </c>
      <c r="E178" s="4">
        <v>0</v>
      </c>
      <c r="F178" s="8">
        <v>0</v>
      </c>
      <c r="G178" s="4">
        <v>17</v>
      </c>
      <c r="H178" s="8">
        <v>2.56</v>
      </c>
      <c r="I178" s="4">
        <v>1</v>
      </c>
    </row>
    <row r="179" spans="1:9" x14ac:dyDescent="0.2">
      <c r="A179" s="2">
        <v>20</v>
      </c>
      <c r="B179" s="1" t="s">
        <v>88</v>
      </c>
      <c r="C179" s="4">
        <v>17</v>
      </c>
      <c r="D179" s="8">
        <v>1.22</v>
      </c>
      <c r="E179" s="4">
        <v>3</v>
      </c>
      <c r="F179" s="8">
        <v>0.42</v>
      </c>
      <c r="G179" s="4">
        <v>14</v>
      </c>
      <c r="H179" s="8">
        <v>2.11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83</v>
      </c>
      <c r="C182" s="4">
        <v>121</v>
      </c>
      <c r="D182" s="8">
        <v>9.77</v>
      </c>
      <c r="E182" s="4">
        <v>106</v>
      </c>
      <c r="F182" s="8">
        <v>15.84</v>
      </c>
      <c r="G182" s="4">
        <v>15</v>
      </c>
      <c r="H182" s="8">
        <v>2.72</v>
      </c>
      <c r="I182" s="4">
        <v>0</v>
      </c>
    </row>
    <row r="183" spans="1:9" x14ac:dyDescent="0.2">
      <c r="A183" s="2">
        <v>2</v>
      </c>
      <c r="B183" s="1" t="s">
        <v>69</v>
      </c>
      <c r="C183" s="4">
        <v>106</v>
      </c>
      <c r="D183" s="8">
        <v>8.56</v>
      </c>
      <c r="E183" s="4">
        <v>65</v>
      </c>
      <c r="F183" s="8">
        <v>9.7200000000000006</v>
      </c>
      <c r="G183" s="4">
        <v>41</v>
      </c>
      <c r="H183" s="8">
        <v>7.43</v>
      </c>
      <c r="I183" s="4">
        <v>0</v>
      </c>
    </row>
    <row r="184" spans="1:9" x14ac:dyDescent="0.2">
      <c r="A184" s="2">
        <v>3</v>
      </c>
      <c r="B184" s="1" t="s">
        <v>68</v>
      </c>
      <c r="C184" s="4">
        <v>97</v>
      </c>
      <c r="D184" s="8">
        <v>7.84</v>
      </c>
      <c r="E184" s="4">
        <v>24</v>
      </c>
      <c r="F184" s="8">
        <v>3.59</v>
      </c>
      <c r="G184" s="4">
        <v>73</v>
      </c>
      <c r="H184" s="8">
        <v>13.22</v>
      </c>
      <c r="I184" s="4">
        <v>0</v>
      </c>
    </row>
    <row r="185" spans="1:9" x14ac:dyDescent="0.2">
      <c r="A185" s="2">
        <v>4</v>
      </c>
      <c r="B185" s="1" t="s">
        <v>82</v>
      </c>
      <c r="C185" s="4">
        <v>88</v>
      </c>
      <c r="D185" s="8">
        <v>7.11</v>
      </c>
      <c r="E185" s="4">
        <v>69</v>
      </c>
      <c r="F185" s="8">
        <v>10.31</v>
      </c>
      <c r="G185" s="4">
        <v>19</v>
      </c>
      <c r="H185" s="8">
        <v>3.44</v>
      </c>
      <c r="I185" s="4">
        <v>0</v>
      </c>
    </row>
    <row r="186" spans="1:9" x14ac:dyDescent="0.2">
      <c r="A186" s="2">
        <v>5</v>
      </c>
      <c r="B186" s="1" t="s">
        <v>77</v>
      </c>
      <c r="C186" s="4">
        <v>83</v>
      </c>
      <c r="D186" s="8">
        <v>6.7</v>
      </c>
      <c r="E186" s="4">
        <v>45</v>
      </c>
      <c r="F186" s="8">
        <v>6.73</v>
      </c>
      <c r="G186" s="4">
        <v>38</v>
      </c>
      <c r="H186" s="8">
        <v>6.88</v>
      </c>
      <c r="I186" s="4">
        <v>0</v>
      </c>
    </row>
    <row r="187" spans="1:9" x14ac:dyDescent="0.2">
      <c r="A187" s="2">
        <v>6</v>
      </c>
      <c r="B187" s="1" t="s">
        <v>79</v>
      </c>
      <c r="C187" s="4">
        <v>81</v>
      </c>
      <c r="D187" s="8">
        <v>6.54</v>
      </c>
      <c r="E187" s="4">
        <v>51</v>
      </c>
      <c r="F187" s="8">
        <v>7.62</v>
      </c>
      <c r="G187" s="4">
        <v>30</v>
      </c>
      <c r="H187" s="8">
        <v>5.43</v>
      </c>
      <c r="I187" s="4">
        <v>0</v>
      </c>
    </row>
    <row r="188" spans="1:9" x14ac:dyDescent="0.2">
      <c r="A188" s="2">
        <v>7</v>
      </c>
      <c r="B188" s="1" t="s">
        <v>75</v>
      </c>
      <c r="C188" s="4">
        <v>61</v>
      </c>
      <c r="D188" s="8">
        <v>4.93</v>
      </c>
      <c r="E188" s="4">
        <v>48</v>
      </c>
      <c r="F188" s="8">
        <v>7.17</v>
      </c>
      <c r="G188" s="4">
        <v>13</v>
      </c>
      <c r="H188" s="8">
        <v>2.36</v>
      </c>
      <c r="I188" s="4">
        <v>0</v>
      </c>
    </row>
    <row r="189" spans="1:9" x14ac:dyDescent="0.2">
      <c r="A189" s="2">
        <v>8</v>
      </c>
      <c r="B189" s="1" t="s">
        <v>70</v>
      </c>
      <c r="C189" s="4">
        <v>51</v>
      </c>
      <c r="D189" s="8">
        <v>4.12</v>
      </c>
      <c r="E189" s="4">
        <v>19</v>
      </c>
      <c r="F189" s="8">
        <v>2.84</v>
      </c>
      <c r="G189" s="4">
        <v>32</v>
      </c>
      <c r="H189" s="8">
        <v>5.8</v>
      </c>
      <c r="I189" s="4">
        <v>0</v>
      </c>
    </row>
    <row r="190" spans="1:9" x14ac:dyDescent="0.2">
      <c r="A190" s="2">
        <v>9</v>
      </c>
      <c r="B190" s="1" t="s">
        <v>87</v>
      </c>
      <c r="C190" s="4">
        <v>42</v>
      </c>
      <c r="D190" s="8">
        <v>3.39</v>
      </c>
      <c r="E190" s="4">
        <v>35</v>
      </c>
      <c r="F190" s="8">
        <v>5.23</v>
      </c>
      <c r="G190" s="4">
        <v>7</v>
      </c>
      <c r="H190" s="8">
        <v>1.27</v>
      </c>
      <c r="I190" s="4">
        <v>0</v>
      </c>
    </row>
    <row r="191" spans="1:9" x14ac:dyDescent="0.2">
      <c r="A191" s="2">
        <v>10</v>
      </c>
      <c r="B191" s="1" t="s">
        <v>74</v>
      </c>
      <c r="C191" s="4">
        <v>38</v>
      </c>
      <c r="D191" s="8">
        <v>3.07</v>
      </c>
      <c r="E191" s="4">
        <v>20</v>
      </c>
      <c r="F191" s="8">
        <v>2.99</v>
      </c>
      <c r="G191" s="4">
        <v>18</v>
      </c>
      <c r="H191" s="8">
        <v>3.26</v>
      </c>
      <c r="I191" s="4">
        <v>0</v>
      </c>
    </row>
    <row r="192" spans="1:9" x14ac:dyDescent="0.2">
      <c r="A192" s="2">
        <v>11</v>
      </c>
      <c r="B192" s="1" t="s">
        <v>85</v>
      </c>
      <c r="C192" s="4">
        <v>36</v>
      </c>
      <c r="D192" s="8">
        <v>2.91</v>
      </c>
      <c r="E192" s="4">
        <v>21</v>
      </c>
      <c r="F192" s="8">
        <v>3.14</v>
      </c>
      <c r="G192" s="4">
        <v>10</v>
      </c>
      <c r="H192" s="8">
        <v>1.81</v>
      </c>
      <c r="I192" s="4">
        <v>0</v>
      </c>
    </row>
    <row r="193" spans="1:9" x14ac:dyDescent="0.2">
      <c r="A193" s="2">
        <v>12</v>
      </c>
      <c r="B193" s="1" t="s">
        <v>76</v>
      </c>
      <c r="C193" s="4">
        <v>34</v>
      </c>
      <c r="D193" s="8">
        <v>2.75</v>
      </c>
      <c r="E193" s="4">
        <v>17</v>
      </c>
      <c r="F193" s="8">
        <v>2.54</v>
      </c>
      <c r="G193" s="4">
        <v>16</v>
      </c>
      <c r="H193" s="8">
        <v>2.9</v>
      </c>
      <c r="I193" s="4">
        <v>1</v>
      </c>
    </row>
    <row r="194" spans="1:9" x14ac:dyDescent="0.2">
      <c r="A194" s="2">
        <v>13</v>
      </c>
      <c r="B194" s="1" t="s">
        <v>71</v>
      </c>
      <c r="C194" s="4">
        <v>31</v>
      </c>
      <c r="D194" s="8">
        <v>2.5</v>
      </c>
      <c r="E194" s="4">
        <v>10</v>
      </c>
      <c r="F194" s="8">
        <v>1.49</v>
      </c>
      <c r="G194" s="4">
        <v>21</v>
      </c>
      <c r="H194" s="8">
        <v>3.8</v>
      </c>
      <c r="I194" s="4">
        <v>0</v>
      </c>
    </row>
    <row r="195" spans="1:9" x14ac:dyDescent="0.2">
      <c r="A195" s="2">
        <v>14</v>
      </c>
      <c r="B195" s="1" t="s">
        <v>86</v>
      </c>
      <c r="C195" s="4">
        <v>24</v>
      </c>
      <c r="D195" s="8">
        <v>1.94</v>
      </c>
      <c r="E195" s="4">
        <v>23</v>
      </c>
      <c r="F195" s="8">
        <v>3.44</v>
      </c>
      <c r="G195" s="4">
        <v>1</v>
      </c>
      <c r="H195" s="8">
        <v>0.18</v>
      </c>
      <c r="I195" s="4">
        <v>0</v>
      </c>
    </row>
    <row r="196" spans="1:9" x14ac:dyDescent="0.2">
      <c r="A196" s="2">
        <v>15</v>
      </c>
      <c r="B196" s="1" t="s">
        <v>72</v>
      </c>
      <c r="C196" s="4">
        <v>22</v>
      </c>
      <c r="D196" s="8">
        <v>1.78</v>
      </c>
      <c r="E196" s="4">
        <v>8</v>
      </c>
      <c r="F196" s="8">
        <v>1.2</v>
      </c>
      <c r="G196" s="4">
        <v>14</v>
      </c>
      <c r="H196" s="8">
        <v>2.54</v>
      </c>
      <c r="I196" s="4">
        <v>0</v>
      </c>
    </row>
    <row r="197" spans="1:9" x14ac:dyDescent="0.2">
      <c r="A197" s="2">
        <v>15</v>
      </c>
      <c r="B197" s="1" t="s">
        <v>80</v>
      </c>
      <c r="C197" s="4">
        <v>22</v>
      </c>
      <c r="D197" s="8">
        <v>1.78</v>
      </c>
      <c r="E197" s="4">
        <v>15</v>
      </c>
      <c r="F197" s="8">
        <v>2.2400000000000002</v>
      </c>
      <c r="G197" s="4">
        <v>7</v>
      </c>
      <c r="H197" s="8">
        <v>1.27</v>
      </c>
      <c r="I197" s="4">
        <v>0</v>
      </c>
    </row>
    <row r="198" spans="1:9" x14ac:dyDescent="0.2">
      <c r="A198" s="2">
        <v>17</v>
      </c>
      <c r="B198" s="1" t="s">
        <v>93</v>
      </c>
      <c r="C198" s="4">
        <v>20</v>
      </c>
      <c r="D198" s="8">
        <v>1.62</v>
      </c>
      <c r="E198" s="4">
        <v>5</v>
      </c>
      <c r="F198" s="8">
        <v>0.75</v>
      </c>
      <c r="G198" s="4">
        <v>15</v>
      </c>
      <c r="H198" s="8">
        <v>2.72</v>
      </c>
      <c r="I198" s="4">
        <v>0</v>
      </c>
    </row>
    <row r="199" spans="1:9" x14ac:dyDescent="0.2">
      <c r="A199" s="2">
        <v>18</v>
      </c>
      <c r="B199" s="1" t="s">
        <v>81</v>
      </c>
      <c r="C199" s="4">
        <v>19</v>
      </c>
      <c r="D199" s="8">
        <v>1.53</v>
      </c>
      <c r="E199" s="4">
        <v>9</v>
      </c>
      <c r="F199" s="8">
        <v>1.35</v>
      </c>
      <c r="G199" s="4">
        <v>10</v>
      </c>
      <c r="H199" s="8">
        <v>1.81</v>
      </c>
      <c r="I199" s="4">
        <v>0</v>
      </c>
    </row>
    <row r="200" spans="1:9" x14ac:dyDescent="0.2">
      <c r="A200" s="2">
        <v>19</v>
      </c>
      <c r="B200" s="1" t="s">
        <v>73</v>
      </c>
      <c r="C200" s="4">
        <v>15</v>
      </c>
      <c r="D200" s="8">
        <v>1.21</v>
      </c>
      <c r="E200" s="4">
        <v>0</v>
      </c>
      <c r="F200" s="8">
        <v>0</v>
      </c>
      <c r="G200" s="4">
        <v>15</v>
      </c>
      <c r="H200" s="8">
        <v>2.72</v>
      </c>
      <c r="I200" s="4">
        <v>0</v>
      </c>
    </row>
    <row r="201" spans="1:9" x14ac:dyDescent="0.2">
      <c r="A201" s="2">
        <v>19</v>
      </c>
      <c r="B201" s="1" t="s">
        <v>84</v>
      </c>
      <c r="C201" s="4">
        <v>15</v>
      </c>
      <c r="D201" s="8">
        <v>1.21</v>
      </c>
      <c r="E201" s="4">
        <v>6</v>
      </c>
      <c r="F201" s="8">
        <v>0.9</v>
      </c>
      <c r="G201" s="4">
        <v>9</v>
      </c>
      <c r="H201" s="8">
        <v>1.63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83</v>
      </c>
      <c r="C204" s="4">
        <v>172</v>
      </c>
      <c r="D204" s="8">
        <v>10.94</v>
      </c>
      <c r="E204" s="4">
        <v>160</v>
      </c>
      <c r="F204" s="8">
        <v>19.02</v>
      </c>
      <c r="G204" s="4">
        <v>12</v>
      </c>
      <c r="H204" s="8">
        <v>1.66</v>
      </c>
      <c r="I204" s="4">
        <v>0</v>
      </c>
    </row>
    <row r="205" spans="1:9" x14ac:dyDescent="0.2">
      <c r="A205" s="2">
        <v>2</v>
      </c>
      <c r="B205" s="1" t="s">
        <v>69</v>
      </c>
      <c r="C205" s="4">
        <v>130</v>
      </c>
      <c r="D205" s="8">
        <v>8.27</v>
      </c>
      <c r="E205" s="4">
        <v>60</v>
      </c>
      <c r="F205" s="8">
        <v>7.13</v>
      </c>
      <c r="G205" s="4">
        <v>70</v>
      </c>
      <c r="H205" s="8">
        <v>9.7100000000000009</v>
      </c>
      <c r="I205" s="4">
        <v>0</v>
      </c>
    </row>
    <row r="206" spans="1:9" x14ac:dyDescent="0.2">
      <c r="A206" s="2">
        <v>3</v>
      </c>
      <c r="B206" s="1" t="s">
        <v>68</v>
      </c>
      <c r="C206" s="4">
        <v>127</v>
      </c>
      <c r="D206" s="8">
        <v>8.08</v>
      </c>
      <c r="E206" s="4">
        <v>52</v>
      </c>
      <c r="F206" s="8">
        <v>6.18</v>
      </c>
      <c r="G206" s="4">
        <v>75</v>
      </c>
      <c r="H206" s="8">
        <v>10.4</v>
      </c>
      <c r="I206" s="4">
        <v>0</v>
      </c>
    </row>
    <row r="207" spans="1:9" x14ac:dyDescent="0.2">
      <c r="A207" s="2">
        <v>4</v>
      </c>
      <c r="B207" s="1" t="s">
        <v>82</v>
      </c>
      <c r="C207" s="4">
        <v>119</v>
      </c>
      <c r="D207" s="8">
        <v>7.57</v>
      </c>
      <c r="E207" s="4">
        <v>101</v>
      </c>
      <c r="F207" s="8">
        <v>12.01</v>
      </c>
      <c r="G207" s="4">
        <v>18</v>
      </c>
      <c r="H207" s="8">
        <v>2.5</v>
      </c>
      <c r="I207" s="4">
        <v>0</v>
      </c>
    </row>
    <row r="208" spans="1:9" x14ac:dyDescent="0.2">
      <c r="A208" s="2">
        <v>5</v>
      </c>
      <c r="B208" s="1" t="s">
        <v>77</v>
      </c>
      <c r="C208" s="4">
        <v>115</v>
      </c>
      <c r="D208" s="8">
        <v>7.32</v>
      </c>
      <c r="E208" s="4">
        <v>64</v>
      </c>
      <c r="F208" s="8">
        <v>7.61</v>
      </c>
      <c r="G208" s="4">
        <v>51</v>
      </c>
      <c r="H208" s="8">
        <v>7.07</v>
      </c>
      <c r="I208" s="4">
        <v>0</v>
      </c>
    </row>
    <row r="209" spans="1:9" x14ac:dyDescent="0.2">
      <c r="A209" s="2">
        <v>6</v>
      </c>
      <c r="B209" s="1" t="s">
        <v>70</v>
      </c>
      <c r="C209" s="4">
        <v>80</v>
      </c>
      <c r="D209" s="8">
        <v>5.09</v>
      </c>
      <c r="E209" s="4">
        <v>32</v>
      </c>
      <c r="F209" s="8">
        <v>3.8</v>
      </c>
      <c r="G209" s="4">
        <v>48</v>
      </c>
      <c r="H209" s="8">
        <v>6.66</v>
      </c>
      <c r="I209" s="4">
        <v>0</v>
      </c>
    </row>
    <row r="210" spans="1:9" x14ac:dyDescent="0.2">
      <c r="A210" s="2">
        <v>7</v>
      </c>
      <c r="B210" s="1" t="s">
        <v>75</v>
      </c>
      <c r="C210" s="4">
        <v>75</v>
      </c>
      <c r="D210" s="8">
        <v>4.7699999999999996</v>
      </c>
      <c r="E210" s="4">
        <v>53</v>
      </c>
      <c r="F210" s="8">
        <v>6.3</v>
      </c>
      <c r="G210" s="4">
        <v>22</v>
      </c>
      <c r="H210" s="8">
        <v>3.05</v>
      </c>
      <c r="I210" s="4">
        <v>0</v>
      </c>
    </row>
    <row r="211" spans="1:9" x14ac:dyDescent="0.2">
      <c r="A211" s="2">
        <v>8</v>
      </c>
      <c r="B211" s="1" t="s">
        <v>76</v>
      </c>
      <c r="C211" s="4">
        <v>64</v>
      </c>
      <c r="D211" s="8">
        <v>4.07</v>
      </c>
      <c r="E211" s="4">
        <v>41</v>
      </c>
      <c r="F211" s="8">
        <v>4.88</v>
      </c>
      <c r="G211" s="4">
        <v>23</v>
      </c>
      <c r="H211" s="8">
        <v>3.19</v>
      </c>
      <c r="I211" s="4">
        <v>0</v>
      </c>
    </row>
    <row r="212" spans="1:9" x14ac:dyDescent="0.2">
      <c r="A212" s="2">
        <v>9</v>
      </c>
      <c r="B212" s="1" t="s">
        <v>79</v>
      </c>
      <c r="C212" s="4">
        <v>50</v>
      </c>
      <c r="D212" s="8">
        <v>3.18</v>
      </c>
      <c r="E212" s="4">
        <v>18</v>
      </c>
      <c r="F212" s="8">
        <v>2.14</v>
      </c>
      <c r="G212" s="4">
        <v>31</v>
      </c>
      <c r="H212" s="8">
        <v>4.3</v>
      </c>
      <c r="I212" s="4">
        <v>0</v>
      </c>
    </row>
    <row r="213" spans="1:9" x14ac:dyDescent="0.2">
      <c r="A213" s="2">
        <v>10</v>
      </c>
      <c r="B213" s="1" t="s">
        <v>86</v>
      </c>
      <c r="C213" s="4">
        <v>43</v>
      </c>
      <c r="D213" s="8">
        <v>2.74</v>
      </c>
      <c r="E213" s="4">
        <v>43</v>
      </c>
      <c r="F213" s="8">
        <v>5.1100000000000003</v>
      </c>
      <c r="G213" s="4">
        <v>0</v>
      </c>
      <c r="H213" s="8">
        <v>0</v>
      </c>
      <c r="I213" s="4">
        <v>0</v>
      </c>
    </row>
    <row r="214" spans="1:9" x14ac:dyDescent="0.2">
      <c r="A214" s="2">
        <v>11</v>
      </c>
      <c r="B214" s="1" t="s">
        <v>71</v>
      </c>
      <c r="C214" s="4">
        <v>38</v>
      </c>
      <c r="D214" s="8">
        <v>2.42</v>
      </c>
      <c r="E214" s="4">
        <v>9</v>
      </c>
      <c r="F214" s="8">
        <v>1.07</v>
      </c>
      <c r="G214" s="4">
        <v>29</v>
      </c>
      <c r="H214" s="8">
        <v>4.0199999999999996</v>
      </c>
      <c r="I214" s="4">
        <v>0</v>
      </c>
    </row>
    <row r="215" spans="1:9" x14ac:dyDescent="0.2">
      <c r="A215" s="2">
        <v>12</v>
      </c>
      <c r="B215" s="1" t="s">
        <v>87</v>
      </c>
      <c r="C215" s="4">
        <v>36</v>
      </c>
      <c r="D215" s="8">
        <v>2.29</v>
      </c>
      <c r="E215" s="4">
        <v>26</v>
      </c>
      <c r="F215" s="8">
        <v>3.09</v>
      </c>
      <c r="G215" s="4">
        <v>10</v>
      </c>
      <c r="H215" s="8">
        <v>1.39</v>
      </c>
      <c r="I215" s="4">
        <v>0</v>
      </c>
    </row>
    <row r="216" spans="1:9" x14ac:dyDescent="0.2">
      <c r="A216" s="2">
        <v>13</v>
      </c>
      <c r="B216" s="1" t="s">
        <v>81</v>
      </c>
      <c r="C216" s="4">
        <v>35</v>
      </c>
      <c r="D216" s="8">
        <v>2.23</v>
      </c>
      <c r="E216" s="4">
        <v>18</v>
      </c>
      <c r="F216" s="8">
        <v>2.14</v>
      </c>
      <c r="G216" s="4">
        <v>15</v>
      </c>
      <c r="H216" s="8">
        <v>2.08</v>
      </c>
      <c r="I216" s="4">
        <v>0</v>
      </c>
    </row>
    <row r="217" spans="1:9" x14ac:dyDescent="0.2">
      <c r="A217" s="2">
        <v>13</v>
      </c>
      <c r="B217" s="1" t="s">
        <v>85</v>
      </c>
      <c r="C217" s="4">
        <v>35</v>
      </c>
      <c r="D217" s="8">
        <v>2.23</v>
      </c>
      <c r="E217" s="4">
        <v>33</v>
      </c>
      <c r="F217" s="8">
        <v>3.92</v>
      </c>
      <c r="G217" s="4">
        <v>2</v>
      </c>
      <c r="H217" s="8">
        <v>0.28000000000000003</v>
      </c>
      <c r="I217" s="4">
        <v>0</v>
      </c>
    </row>
    <row r="218" spans="1:9" x14ac:dyDescent="0.2">
      <c r="A218" s="2">
        <v>15</v>
      </c>
      <c r="B218" s="1" t="s">
        <v>72</v>
      </c>
      <c r="C218" s="4">
        <v>29</v>
      </c>
      <c r="D218" s="8">
        <v>1.84</v>
      </c>
      <c r="E218" s="4">
        <v>6</v>
      </c>
      <c r="F218" s="8">
        <v>0.71</v>
      </c>
      <c r="G218" s="4">
        <v>23</v>
      </c>
      <c r="H218" s="8">
        <v>3.19</v>
      </c>
      <c r="I218" s="4">
        <v>0</v>
      </c>
    </row>
    <row r="219" spans="1:9" x14ac:dyDescent="0.2">
      <c r="A219" s="2">
        <v>16</v>
      </c>
      <c r="B219" s="1" t="s">
        <v>73</v>
      </c>
      <c r="C219" s="4">
        <v>25</v>
      </c>
      <c r="D219" s="8">
        <v>1.59</v>
      </c>
      <c r="E219" s="4">
        <v>2</v>
      </c>
      <c r="F219" s="8">
        <v>0.24</v>
      </c>
      <c r="G219" s="4">
        <v>23</v>
      </c>
      <c r="H219" s="8">
        <v>3.19</v>
      </c>
      <c r="I219" s="4">
        <v>0</v>
      </c>
    </row>
    <row r="220" spans="1:9" x14ac:dyDescent="0.2">
      <c r="A220" s="2">
        <v>17</v>
      </c>
      <c r="B220" s="1" t="s">
        <v>92</v>
      </c>
      <c r="C220" s="4">
        <v>23</v>
      </c>
      <c r="D220" s="8">
        <v>1.46</v>
      </c>
      <c r="E220" s="4">
        <v>6</v>
      </c>
      <c r="F220" s="8">
        <v>0.71</v>
      </c>
      <c r="G220" s="4">
        <v>17</v>
      </c>
      <c r="H220" s="8">
        <v>2.36</v>
      </c>
      <c r="I220" s="4">
        <v>0</v>
      </c>
    </row>
    <row r="221" spans="1:9" x14ac:dyDescent="0.2">
      <c r="A221" s="2">
        <v>18</v>
      </c>
      <c r="B221" s="1" t="s">
        <v>74</v>
      </c>
      <c r="C221" s="4">
        <v>22</v>
      </c>
      <c r="D221" s="8">
        <v>1.4</v>
      </c>
      <c r="E221" s="4">
        <v>11</v>
      </c>
      <c r="F221" s="8">
        <v>1.31</v>
      </c>
      <c r="G221" s="4">
        <v>11</v>
      </c>
      <c r="H221" s="8">
        <v>1.53</v>
      </c>
      <c r="I221" s="4">
        <v>0</v>
      </c>
    </row>
    <row r="222" spans="1:9" x14ac:dyDescent="0.2">
      <c r="A222" s="2">
        <v>19</v>
      </c>
      <c r="B222" s="1" t="s">
        <v>91</v>
      </c>
      <c r="C222" s="4">
        <v>21</v>
      </c>
      <c r="D222" s="8">
        <v>1.34</v>
      </c>
      <c r="E222" s="4">
        <v>4</v>
      </c>
      <c r="F222" s="8">
        <v>0.48</v>
      </c>
      <c r="G222" s="4">
        <v>17</v>
      </c>
      <c r="H222" s="8">
        <v>2.36</v>
      </c>
      <c r="I222" s="4">
        <v>0</v>
      </c>
    </row>
    <row r="223" spans="1:9" x14ac:dyDescent="0.2">
      <c r="A223" s="2">
        <v>20</v>
      </c>
      <c r="B223" s="1" t="s">
        <v>97</v>
      </c>
      <c r="C223" s="4">
        <v>20</v>
      </c>
      <c r="D223" s="8">
        <v>1.27</v>
      </c>
      <c r="E223" s="4">
        <v>10</v>
      </c>
      <c r="F223" s="8">
        <v>1.19</v>
      </c>
      <c r="G223" s="4">
        <v>10</v>
      </c>
      <c r="H223" s="8">
        <v>1.39</v>
      </c>
      <c r="I223" s="4">
        <v>0</v>
      </c>
    </row>
    <row r="224" spans="1:9" x14ac:dyDescent="0.2">
      <c r="A224" s="2">
        <v>20</v>
      </c>
      <c r="B224" s="1" t="s">
        <v>93</v>
      </c>
      <c r="C224" s="4">
        <v>20</v>
      </c>
      <c r="D224" s="8">
        <v>1.27</v>
      </c>
      <c r="E224" s="4">
        <v>4</v>
      </c>
      <c r="F224" s="8">
        <v>0.48</v>
      </c>
      <c r="G224" s="4">
        <v>16</v>
      </c>
      <c r="H224" s="8">
        <v>2.2200000000000002</v>
      </c>
      <c r="I224" s="4">
        <v>0</v>
      </c>
    </row>
    <row r="225" spans="1:9" x14ac:dyDescent="0.2">
      <c r="A225" s="2">
        <v>20</v>
      </c>
      <c r="B225" s="1" t="s">
        <v>80</v>
      </c>
      <c r="C225" s="4">
        <v>20</v>
      </c>
      <c r="D225" s="8">
        <v>1.27</v>
      </c>
      <c r="E225" s="4">
        <v>13</v>
      </c>
      <c r="F225" s="8">
        <v>1.55</v>
      </c>
      <c r="G225" s="4">
        <v>7</v>
      </c>
      <c r="H225" s="8">
        <v>0.97</v>
      </c>
      <c r="I225" s="4">
        <v>0</v>
      </c>
    </row>
    <row r="226" spans="1:9" x14ac:dyDescent="0.2">
      <c r="A226" s="1"/>
      <c r="C226" s="4"/>
      <c r="D226" s="8"/>
      <c r="E226" s="4"/>
      <c r="F226" s="8"/>
      <c r="G226" s="4"/>
      <c r="H226" s="8"/>
      <c r="I226" s="4"/>
    </row>
    <row r="227" spans="1:9" x14ac:dyDescent="0.2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2">
      <c r="A228" s="2">
        <v>1</v>
      </c>
      <c r="B228" s="1" t="s">
        <v>83</v>
      </c>
      <c r="C228" s="4">
        <v>131</v>
      </c>
      <c r="D228" s="8">
        <v>12.41</v>
      </c>
      <c r="E228" s="4">
        <v>117</v>
      </c>
      <c r="F228" s="8">
        <v>17.59</v>
      </c>
      <c r="G228" s="4">
        <v>14</v>
      </c>
      <c r="H228" s="8">
        <v>3.89</v>
      </c>
      <c r="I228" s="4">
        <v>0</v>
      </c>
    </row>
    <row r="229" spans="1:9" x14ac:dyDescent="0.2">
      <c r="A229" s="2">
        <v>2</v>
      </c>
      <c r="B229" s="1" t="s">
        <v>68</v>
      </c>
      <c r="C229" s="4">
        <v>99</v>
      </c>
      <c r="D229" s="8">
        <v>9.3800000000000008</v>
      </c>
      <c r="E229" s="4">
        <v>51</v>
      </c>
      <c r="F229" s="8">
        <v>7.67</v>
      </c>
      <c r="G229" s="4">
        <v>48</v>
      </c>
      <c r="H229" s="8">
        <v>13.33</v>
      </c>
      <c r="I229" s="4">
        <v>0</v>
      </c>
    </row>
    <row r="230" spans="1:9" x14ac:dyDescent="0.2">
      <c r="A230" s="2">
        <v>3</v>
      </c>
      <c r="B230" s="1" t="s">
        <v>82</v>
      </c>
      <c r="C230" s="4">
        <v>85</v>
      </c>
      <c r="D230" s="8">
        <v>8.0500000000000007</v>
      </c>
      <c r="E230" s="4">
        <v>77</v>
      </c>
      <c r="F230" s="8">
        <v>11.58</v>
      </c>
      <c r="G230" s="4">
        <v>8</v>
      </c>
      <c r="H230" s="8">
        <v>2.2200000000000002</v>
      </c>
      <c r="I230" s="4">
        <v>0</v>
      </c>
    </row>
    <row r="231" spans="1:9" x14ac:dyDescent="0.2">
      <c r="A231" s="2">
        <v>4</v>
      </c>
      <c r="B231" s="1" t="s">
        <v>75</v>
      </c>
      <c r="C231" s="4">
        <v>76</v>
      </c>
      <c r="D231" s="8">
        <v>7.2</v>
      </c>
      <c r="E231" s="4">
        <v>69</v>
      </c>
      <c r="F231" s="8">
        <v>10.38</v>
      </c>
      <c r="G231" s="4">
        <v>7</v>
      </c>
      <c r="H231" s="8">
        <v>1.94</v>
      </c>
      <c r="I231" s="4">
        <v>0</v>
      </c>
    </row>
    <row r="232" spans="1:9" x14ac:dyDescent="0.2">
      <c r="A232" s="2">
        <v>5</v>
      </c>
      <c r="B232" s="1" t="s">
        <v>69</v>
      </c>
      <c r="C232" s="4">
        <v>69</v>
      </c>
      <c r="D232" s="8">
        <v>6.53</v>
      </c>
      <c r="E232" s="4">
        <v>48</v>
      </c>
      <c r="F232" s="8">
        <v>7.22</v>
      </c>
      <c r="G232" s="4">
        <v>21</v>
      </c>
      <c r="H232" s="8">
        <v>5.83</v>
      </c>
      <c r="I232" s="4">
        <v>0</v>
      </c>
    </row>
    <row r="233" spans="1:9" x14ac:dyDescent="0.2">
      <c r="A233" s="2">
        <v>6</v>
      </c>
      <c r="B233" s="1" t="s">
        <v>77</v>
      </c>
      <c r="C233" s="4">
        <v>67</v>
      </c>
      <c r="D233" s="8">
        <v>6.34</v>
      </c>
      <c r="E233" s="4">
        <v>44</v>
      </c>
      <c r="F233" s="8">
        <v>6.62</v>
      </c>
      <c r="G233" s="4">
        <v>23</v>
      </c>
      <c r="H233" s="8">
        <v>6.39</v>
      </c>
      <c r="I233" s="4">
        <v>0</v>
      </c>
    </row>
    <row r="234" spans="1:9" x14ac:dyDescent="0.2">
      <c r="A234" s="2">
        <v>7</v>
      </c>
      <c r="B234" s="1" t="s">
        <v>70</v>
      </c>
      <c r="C234" s="4">
        <v>42</v>
      </c>
      <c r="D234" s="8">
        <v>3.98</v>
      </c>
      <c r="E234" s="4">
        <v>20</v>
      </c>
      <c r="F234" s="8">
        <v>3.01</v>
      </c>
      <c r="G234" s="4">
        <v>22</v>
      </c>
      <c r="H234" s="8">
        <v>6.11</v>
      </c>
      <c r="I234" s="4">
        <v>0</v>
      </c>
    </row>
    <row r="235" spans="1:9" x14ac:dyDescent="0.2">
      <c r="A235" s="2">
        <v>7</v>
      </c>
      <c r="B235" s="1" t="s">
        <v>76</v>
      </c>
      <c r="C235" s="4">
        <v>42</v>
      </c>
      <c r="D235" s="8">
        <v>3.98</v>
      </c>
      <c r="E235" s="4">
        <v>30</v>
      </c>
      <c r="F235" s="8">
        <v>4.51</v>
      </c>
      <c r="G235" s="4">
        <v>12</v>
      </c>
      <c r="H235" s="8">
        <v>3.33</v>
      </c>
      <c r="I235" s="4">
        <v>0</v>
      </c>
    </row>
    <row r="236" spans="1:9" x14ac:dyDescent="0.2">
      <c r="A236" s="2">
        <v>9</v>
      </c>
      <c r="B236" s="1" t="s">
        <v>85</v>
      </c>
      <c r="C236" s="4">
        <v>36</v>
      </c>
      <c r="D236" s="8">
        <v>3.41</v>
      </c>
      <c r="E236" s="4">
        <v>13</v>
      </c>
      <c r="F236" s="8">
        <v>1.95</v>
      </c>
      <c r="G236" s="4">
        <v>8</v>
      </c>
      <c r="H236" s="8">
        <v>2.2200000000000002</v>
      </c>
      <c r="I236" s="4">
        <v>1</v>
      </c>
    </row>
    <row r="237" spans="1:9" x14ac:dyDescent="0.2">
      <c r="A237" s="2">
        <v>10</v>
      </c>
      <c r="B237" s="1" t="s">
        <v>87</v>
      </c>
      <c r="C237" s="4">
        <v>30</v>
      </c>
      <c r="D237" s="8">
        <v>2.84</v>
      </c>
      <c r="E237" s="4">
        <v>28</v>
      </c>
      <c r="F237" s="8">
        <v>4.21</v>
      </c>
      <c r="G237" s="4">
        <v>2</v>
      </c>
      <c r="H237" s="8">
        <v>0.56000000000000005</v>
      </c>
      <c r="I237" s="4">
        <v>0</v>
      </c>
    </row>
    <row r="238" spans="1:9" x14ac:dyDescent="0.2">
      <c r="A238" s="2">
        <v>11</v>
      </c>
      <c r="B238" s="1" t="s">
        <v>79</v>
      </c>
      <c r="C238" s="4">
        <v>27</v>
      </c>
      <c r="D238" s="8">
        <v>2.56</v>
      </c>
      <c r="E238" s="4">
        <v>15</v>
      </c>
      <c r="F238" s="8">
        <v>2.2599999999999998</v>
      </c>
      <c r="G238" s="4">
        <v>12</v>
      </c>
      <c r="H238" s="8">
        <v>3.33</v>
      </c>
      <c r="I238" s="4">
        <v>0</v>
      </c>
    </row>
    <row r="239" spans="1:9" x14ac:dyDescent="0.2">
      <c r="A239" s="2">
        <v>12</v>
      </c>
      <c r="B239" s="1" t="s">
        <v>81</v>
      </c>
      <c r="C239" s="4">
        <v>26</v>
      </c>
      <c r="D239" s="8">
        <v>2.46</v>
      </c>
      <c r="E239" s="4">
        <v>8</v>
      </c>
      <c r="F239" s="8">
        <v>1.2</v>
      </c>
      <c r="G239" s="4">
        <v>17</v>
      </c>
      <c r="H239" s="8">
        <v>4.72</v>
      </c>
      <c r="I239" s="4">
        <v>0</v>
      </c>
    </row>
    <row r="240" spans="1:9" x14ac:dyDescent="0.2">
      <c r="A240" s="2">
        <v>13</v>
      </c>
      <c r="B240" s="1" t="s">
        <v>86</v>
      </c>
      <c r="C240" s="4">
        <v>25</v>
      </c>
      <c r="D240" s="8">
        <v>2.37</v>
      </c>
      <c r="E240" s="4">
        <v>23</v>
      </c>
      <c r="F240" s="8">
        <v>3.46</v>
      </c>
      <c r="G240" s="4">
        <v>2</v>
      </c>
      <c r="H240" s="8">
        <v>0.56000000000000005</v>
      </c>
      <c r="I240" s="4">
        <v>0</v>
      </c>
    </row>
    <row r="241" spans="1:9" x14ac:dyDescent="0.2">
      <c r="A241" s="2">
        <v>14</v>
      </c>
      <c r="B241" s="1" t="s">
        <v>71</v>
      </c>
      <c r="C241" s="4">
        <v>20</v>
      </c>
      <c r="D241" s="8">
        <v>1.89</v>
      </c>
      <c r="E241" s="4">
        <v>11</v>
      </c>
      <c r="F241" s="8">
        <v>1.65</v>
      </c>
      <c r="G241" s="4">
        <v>9</v>
      </c>
      <c r="H241" s="8">
        <v>2.5</v>
      </c>
      <c r="I241" s="4">
        <v>0</v>
      </c>
    </row>
    <row r="242" spans="1:9" x14ac:dyDescent="0.2">
      <c r="A242" s="2">
        <v>15</v>
      </c>
      <c r="B242" s="1" t="s">
        <v>96</v>
      </c>
      <c r="C242" s="4">
        <v>17</v>
      </c>
      <c r="D242" s="8">
        <v>1.61</v>
      </c>
      <c r="E242" s="4">
        <v>0</v>
      </c>
      <c r="F242" s="8">
        <v>0</v>
      </c>
      <c r="G242" s="4">
        <v>10</v>
      </c>
      <c r="H242" s="8">
        <v>2.78</v>
      </c>
      <c r="I242" s="4">
        <v>2</v>
      </c>
    </row>
    <row r="243" spans="1:9" x14ac:dyDescent="0.2">
      <c r="A243" s="2">
        <v>16</v>
      </c>
      <c r="B243" s="1" t="s">
        <v>97</v>
      </c>
      <c r="C243" s="4">
        <v>16</v>
      </c>
      <c r="D243" s="8">
        <v>1.52</v>
      </c>
      <c r="E243" s="4">
        <v>7</v>
      </c>
      <c r="F243" s="8">
        <v>1.05</v>
      </c>
      <c r="G243" s="4">
        <v>9</v>
      </c>
      <c r="H243" s="8">
        <v>2.5</v>
      </c>
      <c r="I243" s="4">
        <v>0</v>
      </c>
    </row>
    <row r="244" spans="1:9" x14ac:dyDescent="0.2">
      <c r="A244" s="2">
        <v>16</v>
      </c>
      <c r="B244" s="1" t="s">
        <v>74</v>
      </c>
      <c r="C244" s="4">
        <v>16</v>
      </c>
      <c r="D244" s="8">
        <v>1.52</v>
      </c>
      <c r="E244" s="4">
        <v>9</v>
      </c>
      <c r="F244" s="8">
        <v>1.35</v>
      </c>
      <c r="G244" s="4">
        <v>7</v>
      </c>
      <c r="H244" s="8">
        <v>1.94</v>
      </c>
      <c r="I244" s="4">
        <v>0</v>
      </c>
    </row>
    <row r="245" spans="1:9" x14ac:dyDescent="0.2">
      <c r="A245" s="2">
        <v>18</v>
      </c>
      <c r="B245" s="1" t="s">
        <v>99</v>
      </c>
      <c r="C245" s="4">
        <v>15</v>
      </c>
      <c r="D245" s="8">
        <v>1.42</v>
      </c>
      <c r="E245" s="4">
        <v>9</v>
      </c>
      <c r="F245" s="8">
        <v>1.35</v>
      </c>
      <c r="G245" s="4">
        <v>6</v>
      </c>
      <c r="H245" s="8">
        <v>1.67</v>
      </c>
      <c r="I245" s="4">
        <v>0</v>
      </c>
    </row>
    <row r="246" spans="1:9" x14ac:dyDescent="0.2">
      <c r="A246" s="2">
        <v>18</v>
      </c>
      <c r="B246" s="1" t="s">
        <v>84</v>
      </c>
      <c r="C246" s="4">
        <v>15</v>
      </c>
      <c r="D246" s="8">
        <v>1.42</v>
      </c>
      <c r="E246" s="4">
        <v>7</v>
      </c>
      <c r="F246" s="8">
        <v>1.05</v>
      </c>
      <c r="G246" s="4">
        <v>7</v>
      </c>
      <c r="H246" s="8">
        <v>1.94</v>
      </c>
      <c r="I246" s="4">
        <v>0</v>
      </c>
    </row>
    <row r="247" spans="1:9" x14ac:dyDescent="0.2">
      <c r="A247" s="2">
        <v>20</v>
      </c>
      <c r="B247" s="1" t="s">
        <v>98</v>
      </c>
      <c r="C247" s="4">
        <v>14</v>
      </c>
      <c r="D247" s="8">
        <v>1.33</v>
      </c>
      <c r="E247" s="4">
        <v>4</v>
      </c>
      <c r="F247" s="8">
        <v>0.6</v>
      </c>
      <c r="G247" s="4">
        <v>10</v>
      </c>
      <c r="H247" s="8">
        <v>2.78</v>
      </c>
      <c r="I247" s="4">
        <v>0</v>
      </c>
    </row>
    <row r="248" spans="1:9" x14ac:dyDescent="0.2">
      <c r="A248" s="1"/>
      <c r="C248" s="4"/>
      <c r="D248" s="8"/>
      <c r="E248" s="4"/>
      <c r="F248" s="8"/>
      <c r="G248" s="4"/>
      <c r="H248" s="8"/>
      <c r="I248" s="4"/>
    </row>
    <row r="249" spans="1:9" x14ac:dyDescent="0.2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2">
      <c r="A250" s="2">
        <v>1</v>
      </c>
      <c r="B250" s="1" t="s">
        <v>83</v>
      </c>
      <c r="C250" s="4">
        <v>105</v>
      </c>
      <c r="D250" s="8">
        <v>15.67</v>
      </c>
      <c r="E250" s="4">
        <v>98</v>
      </c>
      <c r="F250" s="8">
        <v>21.68</v>
      </c>
      <c r="G250" s="4">
        <v>7</v>
      </c>
      <c r="H250" s="8">
        <v>3.47</v>
      </c>
      <c r="I250" s="4">
        <v>0</v>
      </c>
    </row>
    <row r="251" spans="1:9" x14ac:dyDescent="0.2">
      <c r="A251" s="2">
        <v>2</v>
      </c>
      <c r="B251" s="1" t="s">
        <v>82</v>
      </c>
      <c r="C251" s="4">
        <v>72</v>
      </c>
      <c r="D251" s="8">
        <v>10.75</v>
      </c>
      <c r="E251" s="4">
        <v>68</v>
      </c>
      <c r="F251" s="8">
        <v>15.04</v>
      </c>
      <c r="G251" s="4">
        <v>4</v>
      </c>
      <c r="H251" s="8">
        <v>1.98</v>
      </c>
      <c r="I251" s="4">
        <v>0</v>
      </c>
    </row>
    <row r="252" spans="1:9" x14ac:dyDescent="0.2">
      <c r="A252" s="2">
        <v>3</v>
      </c>
      <c r="B252" s="1" t="s">
        <v>77</v>
      </c>
      <c r="C252" s="4">
        <v>60</v>
      </c>
      <c r="D252" s="8">
        <v>8.9600000000000009</v>
      </c>
      <c r="E252" s="4">
        <v>38</v>
      </c>
      <c r="F252" s="8">
        <v>8.41</v>
      </c>
      <c r="G252" s="4">
        <v>22</v>
      </c>
      <c r="H252" s="8">
        <v>10.89</v>
      </c>
      <c r="I252" s="4">
        <v>0</v>
      </c>
    </row>
    <row r="253" spans="1:9" x14ac:dyDescent="0.2">
      <c r="A253" s="2">
        <v>4</v>
      </c>
      <c r="B253" s="1" t="s">
        <v>68</v>
      </c>
      <c r="C253" s="4">
        <v>41</v>
      </c>
      <c r="D253" s="8">
        <v>6.12</v>
      </c>
      <c r="E253" s="4">
        <v>20</v>
      </c>
      <c r="F253" s="8">
        <v>4.42</v>
      </c>
      <c r="G253" s="4">
        <v>21</v>
      </c>
      <c r="H253" s="8">
        <v>10.4</v>
      </c>
      <c r="I253" s="4">
        <v>0</v>
      </c>
    </row>
    <row r="254" spans="1:9" x14ac:dyDescent="0.2">
      <c r="A254" s="2">
        <v>4</v>
      </c>
      <c r="B254" s="1" t="s">
        <v>79</v>
      </c>
      <c r="C254" s="4">
        <v>41</v>
      </c>
      <c r="D254" s="8">
        <v>6.12</v>
      </c>
      <c r="E254" s="4">
        <v>25</v>
      </c>
      <c r="F254" s="8">
        <v>5.53</v>
      </c>
      <c r="G254" s="4">
        <v>16</v>
      </c>
      <c r="H254" s="8">
        <v>7.92</v>
      </c>
      <c r="I254" s="4">
        <v>0</v>
      </c>
    </row>
    <row r="255" spans="1:9" x14ac:dyDescent="0.2">
      <c r="A255" s="2">
        <v>6</v>
      </c>
      <c r="B255" s="1" t="s">
        <v>75</v>
      </c>
      <c r="C255" s="4">
        <v>40</v>
      </c>
      <c r="D255" s="8">
        <v>5.97</v>
      </c>
      <c r="E255" s="4">
        <v>31</v>
      </c>
      <c r="F255" s="8">
        <v>6.86</v>
      </c>
      <c r="G255" s="4">
        <v>9</v>
      </c>
      <c r="H255" s="8">
        <v>4.46</v>
      </c>
      <c r="I255" s="4">
        <v>0</v>
      </c>
    </row>
    <row r="256" spans="1:9" x14ac:dyDescent="0.2">
      <c r="A256" s="2">
        <v>7</v>
      </c>
      <c r="B256" s="1" t="s">
        <v>85</v>
      </c>
      <c r="C256" s="4">
        <v>37</v>
      </c>
      <c r="D256" s="8">
        <v>5.52</v>
      </c>
      <c r="E256" s="4">
        <v>28</v>
      </c>
      <c r="F256" s="8">
        <v>6.19</v>
      </c>
      <c r="G256" s="4">
        <v>7</v>
      </c>
      <c r="H256" s="8">
        <v>3.47</v>
      </c>
      <c r="I256" s="4">
        <v>0</v>
      </c>
    </row>
    <row r="257" spans="1:9" x14ac:dyDescent="0.2">
      <c r="A257" s="2">
        <v>8</v>
      </c>
      <c r="B257" s="1" t="s">
        <v>69</v>
      </c>
      <c r="C257" s="4">
        <v>26</v>
      </c>
      <c r="D257" s="8">
        <v>3.88</v>
      </c>
      <c r="E257" s="4">
        <v>19</v>
      </c>
      <c r="F257" s="8">
        <v>4.2</v>
      </c>
      <c r="G257" s="4">
        <v>7</v>
      </c>
      <c r="H257" s="8">
        <v>3.47</v>
      </c>
      <c r="I257" s="4">
        <v>0</v>
      </c>
    </row>
    <row r="258" spans="1:9" x14ac:dyDescent="0.2">
      <c r="A258" s="2">
        <v>9</v>
      </c>
      <c r="B258" s="1" t="s">
        <v>70</v>
      </c>
      <c r="C258" s="4">
        <v>22</v>
      </c>
      <c r="D258" s="8">
        <v>3.28</v>
      </c>
      <c r="E258" s="4">
        <v>9</v>
      </c>
      <c r="F258" s="8">
        <v>1.99</v>
      </c>
      <c r="G258" s="4">
        <v>13</v>
      </c>
      <c r="H258" s="8">
        <v>6.44</v>
      </c>
      <c r="I258" s="4">
        <v>0</v>
      </c>
    </row>
    <row r="259" spans="1:9" x14ac:dyDescent="0.2">
      <c r="A259" s="2">
        <v>10</v>
      </c>
      <c r="B259" s="1" t="s">
        <v>76</v>
      </c>
      <c r="C259" s="4">
        <v>21</v>
      </c>
      <c r="D259" s="8">
        <v>3.13</v>
      </c>
      <c r="E259" s="4">
        <v>15</v>
      </c>
      <c r="F259" s="8">
        <v>3.32</v>
      </c>
      <c r="G259" s="4">
        <v>6</v>
      </c>
      <c r="H259" s="8">
        <v>2.97</v>
      </c>
      <c r="I259" s="4">
        <v>0</v>
      </c>
    </row>
    <row r="260" spans="1:9" x14ac:dyDescent="0.2">
      <c r="A260" s="2">
        <v>11</v>
      </c>
      <c r="B260" s="1" t="s">
        <v>86</v>
      </c>
      <c r="C260" s="4">
        <v>19</v>
      </c>
      <c r="D260" s="8">
        <v>2.84</v>
      </c>
      <c r="E260" s="4">
        <v>18</v>
      </c>
      <c r="F260" s="8">
        <v>3.98</v>
      </c>
      <c r="G260" s="4">
        <v>1</v>
      </c>
      <c r="H260" s="8">
        <v>0.5</v>
      </c>
      <c r="I260" s="4">
        <v>0</v>
      </c>
    </row>
    <row r="261" spans="1:9" x14ac:dyDescent="0.2">
      <c r="A261" s="2">
        <v>12</v>
      </c>
      <c r="B261" s="1" t="s">
        <v>74</v>
      </c>
      <c r="C261" s="4">
        <v>18</v>
      </c>
      <c r="D261" s="8">
        <v>2.69</v>
      </c>
      <c r="E261" s="4">
        <v>9</v>
      </c>
      <c r="F261" s="8">
        <v>1.99</v>
      </c>
      <c r="G261" s="4">
        <v>9</v>
      </c>
      <c r="H261" s="8">
        <v>4.46</v>
      </c>
      <c r="I261" s="4">
        <v>0</v>
      </c>
    </row>
    <row r="262" spans="1:9" x14ac:dyDescent="0.2">
      <c r="A262" s="2">
        <v>13</v>
      </c>
      <c r="B262" s="1" t="s">
        <v>81</v>
      </c>
      <c r="C262" s="4">
        <v>15</v>
      </c>
      <c r="D262" s="8">
        <v>2.2400000000000002</v>
      </c>
      <c r="E262" s="4">
        <v>10</v>
      </c>
      <c r="F262" s="8">
        <v>2.21</v>
      </c>
      <c r="G262" s="4">
        <v>5</v>
      </c>
      <c r="H262" s="8">
        <v>2.48</v>
      </c>
      <c r="I262" s="4">
        <v>0</v>
      </c>
    </row>
    <row r="263" spans="1:9" x14ac:dyDescent="0.2">
      <c r="A263" s="2">
        <v>14</v>
      </c>
      <c r="B263" s="1" t="s">
        <v>84</v>
      </c>
      <c r="C263" s="4">
        <v>14</v>
      </c>
      <c r="D263" s="8">
        <v>2.09</v>
      </c>
      <c r="E263" s="4">
        <v>7</v>
      </c>
      <c r="F263" s="8">
        <v>1.55</v>
      </c>
      <c r="G263" s="4">
        <v>7</v>
      </c>
      <c r="H263" s="8">
        <v>3.47</v>
      </c>
      <c r="I263" s="4">
        <v>0</v>
      </c>
    </row>
    <row r="264" spans="1:9" x14ac:dyDescent="0.2">
      <c r="A264" s="2">
        <v>15</v>
      </c>
      <c r="B264" s="1" t="s">
        <v>80</v>
      </c>
      <c r="C264" s="4">
        <v>12</v>
      </c>
      <c r="D264" s="8">
        <v>1.79</v>
      </c>
      <c r="E264" s="4">
        <v>12</v>
      </c>
      <c r="F264" s="8">
        <v>2.65</v>
      </c>
      <c r="G264" s="4">
        <v>0</v>
      </c>
      <c r="H264" s="8">
        <v>0</v>
      </c>
      <c r="I264" s="4">
        <v>0</v>
      </c>
    </row>
    <row r="265" spans="1:9" x14ac:dyDescent="0.2">
      <c r="A265" s="2">
        <v>15</v>
      </c>
      <c r="B265" s="1" t="s">
        <v>96</v>
      </c>
      <c r="C265" s="4">
        <v>12</v>
      </c>
      <c r="D265" s="8">
        <v>1.79</v>
      </c>
      <c r="E265" s="4">
        <v>0</v>
      </c>
      <c r="F265" s="8">
        <v>0</v>
      </c>
      <c r="G265" s="4">
        <v>7</v>
      </c>
      <c r="H265" s="8">
        <v>3.47</v>
      </c>
      <c r="I265" s="4">
        <v>0</v>
      </c>
    </row>
    <row r="266" spans="1:9" x14ac:dyDescent="0.2">
      <c r="A266" s="2">
        <v>17</v>
      </c>
      <c r="B266" s="1" t="s">
        <v>72</v>
      </c>
      <c r="C266" s="4">
        <v>8</v>
      </c>
      <c r="D266" s="8">
        <v>1.19</v>
      </c>
      <c r="E266" s="4">
        <v>2</v>
      </c>
      <c r="F266" s="8">
        <v>0.44</v>
      </c>
      <c r="G266" s="4">
        <v>6</v>
      </c>
      <c r="H266" s="8">
        <v>2.97</v>
      </c>
      <c r="I266" s="4">
        <v>0</v>
      </c>
    </row>
    <row r="267" spans="1:9" x14ac:dyDescent="0.2">
      <c r="A267" s="2">
        <v>17</v>
      </c>
      <c r="B267" s="1" t="s">
        <v>87</v>
      </c>
      <c r="C267" s="4">
        <v>8</v>
      </c>
      <c r="D267" s="8">
        <v>1.19</v>
      </c>
      <c r="E267" s="4">
        <v>7</v>
      </c>
      <c r="F267" s="8">
        <v>1.55</v>
      </c>
      <c r="G267" s="4">
        <v>1</v>
      </c>
      <c r="H267" s="8">
        <v>0.5</v>
      </c>
      <c r="I267" s="4">
        <v>0</v>
      </c>
    </row>
    <row r="268" spans="1:9" x14ac:dyDescent="0.2">
      <c r="A268" s="2">
        <v>19</v>
      </c>
      <c r="B268" s="1" t="s">
        <v>99</v>
      </c>
      <c r="C268" s="4">
        <v>7</v>
      </c>
      <c r="D268" s="8">
        <v>1.04</v>
      </c>
      <c r="E268" s="4">
        <v>4</v>
      </c>
      <c r="F268" s="8">
        <v>0.88</v>
      </c>
      <c r="G268" s="4">
        <v>3</v>
      </c>
      <c r="H268" s="8">
        <v>1.49</v>
      </c>
      <c r="I268" s="4">
        <v>0</v>
      </c>
    </row>
    <row r="269" spans="1:9" x14ac:dyDescent="0.2">
      <c r="A269" s="2">
        <v>19</v>
      </c>
      <c r="B269" s="1" t="s">
        <v>100</v>
      </c>
      <c r="C269" s="4">
        <v>7</v>
      </c>
      <c r="D269" s="8">
        <v>1.04</v>
      </c>
      <c r="E269" s="4">
        <v>1</v>
      </c>
      <c r="F269" s="8">
        <v>0.22</v>
      </c>
      <c r="G269" s="4">
        <v>2</v>
      </c>
      <c r="H269" s="8">
        <v>0.99</v>
      </c>
      <c r="I269" s="4">
        <v>0</v>
      </c>
    </row>
    <row r="270" spans="1:9" x14ac:dyDescent="0.2">
      <c r="A270" s="1"/>
      <c r="C270" s="4"/>
      <c r="D270" s="8"/>
      <c r="E270" s="4"/>
      <c r="F270" s="8"/>
      <c r="G270" s="4"/>
      <c r="H270" s="8"/>
      <c r="I270" s="4"/>
    </row>
    <row r="271" spans="1:9" x14ac:dyDescent="0.2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2">
      <c r="A272" s="2">
        <v>1</v>
      </c>
      <c r="B272" s="1" t="s">
        <v>83</v>
      </c>
      <c r="C272" s="4">
        <v>106</v>
      </c>
      <c r="D272" s="8">
        <v>11.35</v>
      </c>
      <c r="E272" s="4">
        <v>98</v>
      </c>
      <c r="F272" s="8">
        <v>17.190000000000001</v>
      </c>
      <c r="G272" s="4">
        <v>8</v>
      </c>
      <c r="H272" s="8">
        <v>2.33</v>
      </c>
      <c r="I272" s="4">
        <v>0</v>
      </c>
    </row>
    <row r="273" spans="1:9" x14ac:dyDescent="0.2">
      <c r="A273" s="2">
        <v>2</v>
      </c>
      <c r="B273" s="1" t="s">
        <v>68</v>
      </c>
      <c r="C273" s="4">
        <v>73</v>
      </c>
      <c r="D273" s="8">
        <v>7.82</v>
      </c>
      <c r="E273" s="4">
        <v>33</v>
      </c>
      <c r="F273" s="8">
        <v>5.79</v>
      </c>
      <c r="G273" s="4">
        <v>40</v>
      </c>
      <c r="H273" s="8">
        <v>11.63</v>
      </c>
      <c r="I273" s="4">
        <v>0</v>
      </c>
    </row>
    <row r="274" spans="1:9" x14ac:dyDescent="0.2">
      <c r="A274" s="2">
        <v>3</v>
      </c>
      <c r="B274" s="1" t="s">
        <v>82</v>
      </c>
      <c r="C274" s="4">
        <v>68</v>
      </c>
      <c r="D274" s="8">
        <v>7.28</v>
      </c>
      <c r="E274" s="4">
        <v>57</v>
      </c>
      <c r="F274" s="8">
        <v>10</v>
      </c>
      <c r="G274" s="4">
        <v>11</v>
      </c>
      <c r="H274" s="8">
        <v>3.2</v>
      </c>
      <c r="I274" s="4">
        <v>0</v>
      </c>
    </row>
    <row r="275" spans="1:9" x14ac:dyDescent="0.2">
      <c r="A275" s="2">
        <v>4</v>
      </c>
      <c r="B275" s="1" t="s">
        <v>77</v>
      </c>
      <c r="C275" s="4">
        <v>61</v>
      </c>
      <c r="D275" s="8">
        <v>6.53</v>
      </c>
      <c r="E275" s="4">
        <v>35</v>
      </c>
      <c r="F275" s="8">
        <v>6.14</v>
      </c>
      <c r="G275" s="4">
        <v>26</v>
      </c>
      <c r="H275" s="8">
        <v>7.56</v>
      </c>
      <c r="I275" s="4">
        <v>0</v>
      </c>
    </row>
    <row r="276" spans="1:9" x14ac:dyDescent="0.2">
      <c r="A276" s="2">
        <v>5</v>
      </c>
      <c r="B276" s="1" t="s">
        <v>75</v>
      </c>
      <c r="C276" s="4">
        <v>58</v>
      </c>
      <c r="D276" s="8">
        <v>6.21</v>
      </c>
      <c r="E276" s="4">
        <v>46</v>
      </c>
      <c r="F276" s="8">
        <v>8.07</v>
      </c>
      <c r="G276" s="4">
        <v>12</v>
      </c>
      <c r="H276" s="8">
        <v>3.49</v>
      </c>
      <c r="I276" s="4">
        <v>0</v>
      </c>
    </row>
    <row r="277" spans="1:9" x14ac:dyDescent="0.2">
      <c r="A277" s="2">
        <v>6</v>
      </c>
      <c r="B277" s="1" t="s">
        <v>79</v>
      </c>
      <c r="C277" s="4">
        <v>50</v>
      </c>
      <c r="D277" s="8">
        <v>5.35</v>
      </c>
      <c r="E277" s="4">
        <v>35</v>
      </c>
      <c r="F277" s="8">
        <v>6.14</v>
      </c>
      <c r="G277" s="4">
        <v>15</v>
      </c>
      <c r="H277" s="8">
        <v>4.3600000000000003</v>
      </c>
      <c r="I277" s="4">
        <v>0</v>
      </c>
    </row>
    <row r="278" spans="1:9" x14ac:dyDescent="0.2">
      <c r="A278" s="2">
        <v>7</v>
      </c>
      <c r="B278" s="1" t="s">
        <v>69</v>
      </c>
      <c r="C278" s="4">
        <v>47</v>
      </c>
      <c r="D278" s="8">
        <v>5.03</v>
      </c>
      <c r="E278" s="4">
        <v>30</v>
      </c>
      <c r="F278" s="8">
        <v>5.26</v>
      </c>
      <c r="G278" s="4">
        <v>17</v>
      </c>
      <c r="H278" s="8">
        <v>4.9400000000000004</v>
      </c>
      <c r="I278" s="4">
        <v>0</v>
      </c>
    </row>
    <row r="279" spans="1:9" x14ac:dyDescent="0.2">
      <c r="A279" s="2">
        <v>8</v>
      </c>
      <c r="B279" s="1" t="s">
        <v>70</v>
      </c>
      <c r="C279" s="4">
        <v>41</v>
      </c>
      <c r="D279" s="8">
        <v>4.3899999999999997</v>
      </c>
      <c r="E279" s="4">
        <v>13</v>
      </c>
      <c r="F279" s="8">
        <v>2.2799999999999998</v>
      </c>
      <c r="G279" s="4">
        <v>28</v>
      </c>
      <c r="H279" s="8">
        <v>8.14</v>
      </c>
      <c r="I279" s="4">
        <v>0</v>
      </c>
    </row>
    <row r="280" spans="1:9" x14ac:dyDescent="0.2">
      <c r="A280" s="2">
        <v>9</v>
      </c>
      <c r="B280" s="1" t="s">
        <v>85</v>
      </c>
      <c r="C280" s="4">
        <v>36</v>
      </c>
      <c r="D280" s="8">
        <v>3.85</v>
      </c>
      <c r="E280" s="4">
        <v>19</v>
      </c>
      <c r="F280" s="8">
        <v>3.33</v>
      </c>
      <c r="G280" s="4">
        <v>6</v>
      </c>
      <c r="H280" s="8">
        <v>1.74</v>
      </c>
      <c r="I280" s="4">
        <v>0</v>
      </c>
    </row>
    <row r="281" spans="1:9" x14ac:dyDescent="0.2">
      <c r="A281" s="2">
        <v>10</v>
      </c>
      <c r="B281" s="1" t="s">
        <v>86</v>
      </c>
      <c r="C281" s="4">
        <v>35</v>
      </c>
      <c r="D281" s="8">
        <v>3.75</v>
      </c>
      <c r="E281" s="4">
        <v>26</v>
      </c>
      <c r="F281" s="8">
        <v>4.5599999999999996</v>
      </c>
      <c r="G281" s="4">
        <v>9</v>
      </c>
      <c r="H281" s="8">
        <v>2.62</v>
      </c>
      <c r="I281" s="4">
        <v>0</v>
      </c>
    </row>
    <row r="282" spans="1:9" x14ac:dyDescent="0.2">
      <c r="A282" s="2">
        <v>11</v>
      </c>
      <c r="B282" s="1" t="s">
        <v>76</v>
      </c>
      <c r="C282" s="4">
        <v>34</v>
      </c>
      <c r="D282" s="8">
        <v>3.64</v>
      </c>
      <c r="E282" s="4">
        <v>28</v>
      </c>
      <c r="F282" s="8">
        <v>4.91</v>
      </c>
      <c r="G282" s="4">
        <v>6</v>
      </c>
      <c r="H282" s="8">
        <v>1.74</v>
      </c>
      <c r="I282" s="4">
        <v>0</v>
      </c>
    </row>
    <row r="283" spans="1:9" x14ac:dyDescent="0.2">
      <c r="A283" s="2">
        <v>12</v>
      </c>
      <c r="B283" s="1" t="s">
        <v>97</v>
      </c>
      <c r="C283" s="4">
        <v>24</v>
      </c>
      <c r="D283" s="8">
        <v>2.57</v>
      </c>
      <c r="E283" s="4">
        <v>15</v>
      </c>
      <c r="F283" s="8">
        <v>2.63</v>
      </c>
      <c r="G283" s="4">
        <v>9</v>
      </c>
      <c r="H283" s="8">
        <v>2.62</v>
      </c>
      <c r="I283" s="4">
        <v>0</v>
      </c>
    </row>
    <row r="284" spans="1:9" x14ac:dyDescent="0.2">
      <c r="A284" s="2">
        <v>13</v>
      </c>
      <c r="B284" s="1" t="s">
        <v>74</v>
      </c>
      <c r="C284" s="4">
        <v>22</v>
      </c>
      <c r="D284" s="8">
        <v>2.36</v>
      </c>
      <c r="E284" s="4">
        <v>14</v>
      </c>
      <c r="F284" s="8">
        <v>2.46</v>
      </c>
      <c r="G284" s="4">
        <v>8</v>
      </c>
      <c r="H284" s="8">
        <v>2.33</v>
      </c>
      <c r="I284" s="4">
        <v>0</v>
      </c>
    </row>
    <row r="285" spans="1:9" x14ac:dyDescent="0.2">
      <c r="A285" s="2">
        <v>14</v>
      </c>
      <c r="B285" s="1" t="s">
        <v>80</v>
      </c>
      <c r="C285" s="4">
        <v>17</v>
      </c>
      <c r="D285" s="8">
        <v>1.82</v>
      </c>
      <c r="E285" s="4">
        <v>14</v>
      </c>
      <c r="F285" s="8">
        <v>2.46</v>
      </c>
      <c r="G285" s="4">
        <v>3</v>
      </c>
      <c r="H285" s="8">
        <v>0.87</v>
      </c>
      <c r="I285" s="4">
        <v>0</v>
      </c>
    </row>
    <row r="286" spans="1:9" x14ac:dyDescent="0.2">
      <c r="A286" s="2">
        <v>14</v>
      </c>
      <c r="B286" s="1" t="s">
        <v>87</v>
      </c>
      <c r="C286" s="4">
        <v>17</v>
      </c>
      <c r="D286" s="8">
        <v>1.82</v>
      </c>
      <c r="E286" s="4">
        <v>16</v>
      </c>
      <c r="F286" s="8">
        <v>2.81</v>
      </c>
      <c r="G286" s="4">
        <v>1</v>
      </c>
      <c r="H286" s="8">
        <v>0.28999999999999998</v>
      </c>
      <c r="I286" s="4">
        <v>0</v>
      </c>
    </row>
    <row r="287" spans="1:9" x14ac:dyDescent="0.2">
      <c r="A287" s="2">
        <v>16</v>
      </c>
      <c r="B287" s="1" t="s">
        <v>81</v>
      </c>
      <c r="C287" s="4">
        <v>15</v>
      </c>
      <c r="D287" s="8">
        <v>1.61</v>
      </c>
      <c r="E287" s="4">
        <v>8</v>
      </c>
      <c r="F287" s="8">
        <v>1.4</v>
      </c>
      <c r="G287" s="4">
        <v>6</v>
      </c>
      <c r="H287" s="8">
        <v>1.74</v>
      </c>
      <c r="I287" s="4">
        <v>0</v>
      </c>
    </row>
    <row r="288" spans="1:9" x14ac:dyDescent="0.2">
      <c r="A288" s="2">
        <v>16</v>
      </c>
      <c r="B288" s="1" t="s">
        <v>84</v>
      </c>
      <c r="C288" s="4">
        <v>15</v>
      </c>
      <c r="D288" s="8">
        <v>1.61</v>
      </c>
      <c r="E288" s="4">
        <v>6</v>
      </c>
      <c r="F288" s="8">
        <v>1.05</v>
      </c>
      <c r="G288" s="4">
        <v>8</v>
      </c>
      <c r="H288" s="8">
        <v>2.33</v>
      </c>
      <c r="I288" s="4">
        <v>0</v>
      </c>
    </row>
    <row r="289" spans="1:9" x14ac:dyDescent="0.2">
      <c r="A289" s="2">
        <v>18</v>
      </c>
      <c r="B289" s="1" t="s">
        <v>72</v>
      </c>
      <c r="C289" s="4">
        <v>14</v>
      </c>
      <c r="D289" s="8">
        <v>1.5</v>
      </c>
      <c r="E289" s="4">
        <v>2</v>
      </c>
      <c r="F289" s="8">
        <v>0.35</v>
      </c>
      <c r="G289" s="4">
        <v>12</v>
      </c>
      <c r="H289" s="8">
        <v>3.49</v>
      </c>
      <c r="I289" s="4">
        <v>0</v>
      </c>
    </row>
    <row r="290" spans="1:9" x14ac:dyDescent="0.2">
      <c r="A290" s="2">
        <v>19</v>
      </c>
      <c r="B290" s="1" t="s">
        <v>99</v>
      </c>
      <c r="C290" s="4">
        <v>13</v>
      </c>
      <c r="D290" s="8">
        <v>1.39</v>
      </c>
      <c r="E290" s="4">
        <v>13</v>
      </c>
      <c r="F290" s="8">
        <v>2.2799999999999998</v>
      </c>
      <c r="G290" s="4">
        <v>0</v>
      </c>
      <c r="H290" s="8">
        <v>0</v>
      </c>
      <c r="I290" s="4">
        <v>0</v>
      </c>
    </row>
    <row r="291" spans="1:9" x14ac:dyDescent="0.2">
      <c r="A291" s="2">
        <v>20</v>
      </c>
      <c r="B291" s="1" t="s">
        <v>92</v>
      </c>
      <c r="C291" s="4">
        <v>12</v>
      </c>
      <c r="D291" s="8">
        <v>1.28</v>
      </c>
      <c r="E291" s="4">
        <v>2</v>
      </c>
      <c r="F291" s="8">
        <v>0.35</v>
      </c>
      <c r="G291" s="4">
        <v>10</v>
      </c>
      <c r="H291" s="8">
        <v>2.91</v>
      </c>
      <c r="I291" s="4">
        <v>0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83</v>
      </c>
      <c r="C294" s="4">
        <v>206</v>
      </c>
      <c r="D294" s="8">
        <v>10.06</v>
      </c>
      <c r="E294" s="4">
        <v>185</v>
      </c>
      <c r="F294" s="8">
        <v>13.79</v>
      </c>
      <c r="G294" s="4">
        <v>21</v>
      </c>
      <c r="H294" s="8">
        <v>3.01</v>
      </c>
      <c r="I294" s="4">
        <v>0</v>
      </c>
    </row>
    <row r="295" spans="1:9" x14ac:dyDescent="0.2">
      <c r="A295" s="2">
        <v>2</v>
      </c>
      <c r="B295" s="1" t="s">
        <v>77</v>
      </c>
      <c r="C295" s="4">
        <v>174</v>
      </c>
      <c r="D295" s="8">
        <v>8.5</v>
      </c>
      <c r="E295" s="4">
        <v>100</v>
      </c>
      <c r="F295" s="8">
        <v>7.45</v>
      </c>
      <c r="G295" s="4">
        <v>73</v>
      </c>
      <c r="H295" s="8">
        <v>10.46</v>
      </c>
      <c r="I295" s="4">
        <v>1</v>
      </c>
    </row>
    <row r="296" spans="1:9" x14ac:dyDescent="0.2">
      <c r="A296" s="2">
        <v>3</v>
      </c>
      <c r="B296" s="1" t="s">
        <v>82</v>
      </c>
      <c r="C296" s="4">
        <v>161</v>
      </c>
      <c r="D296" s="8">
        <v>7.87</v>
      </c>
      <c r="E296" s="4">
        <v>144</v>
      </c>
      <c r="F296" s="8">
        <v>10.73</v>
      </c>
      <c r="G296" s="4">
        <v>17</v>
      </c>
      <c r="H296" s="8">
        <v>2.44</v>
      </c>
      <c r="I296" s="4">
        <v>0</v>
      </c>
    </row>
    <row r="297" spans="1:9" x14ac:dyDescent="0.2">
      <c r="A297" s="2">
        <v>4</v>
      </c>
      <c r="B297" s="1" t="s">
        <v>68</v>
      </c>
      <c r="C297" s="4">
        <v>151</v>
      </c>
      <c r="D297" s="8">
        <v>7.38</v>
      </c>
      <c r="E297" s="4">
        <v>89</v>
      </c>
      <c r="F297" s="8">
        <v>6.63</v>
      </c>
      <c r="G297" s="4">
        <v>62</v>
      </c>
      <c r="H297" s="8">
        <v>8.8800000000000008</v>
      </c>
      <c r="I297" s="4">
        <v>0</v>
      </c>
    </row>
    <row r="298" spans="1:9" x14ac:dyDescent="0.2">
      <c r="A298" s="2">
        <v>5</v>
      </c>
      <c r="B298" s="1" t="s">
        <v>69</v>
      </c>
      <c r="C298" s="4">
        <v>144</v>
      </c>
      <c r="D298" s="8">
        <v>7.03</v>
      </c>
      <c r="E298" s="4">
        <v>96</v>
      </c>
      <c r="F298" s="8">
        <v>7.15</v>
      </c>
      <c r="G298" s="4">
        <v>48</v>
      </c>
      <c r="H298" s="8">
        <v>6.88</v>
      </c>
      <c r="I298" s="4">
        <v>0</v>
      </c>
    </row>
    <row r="299" spans="1:9" x14ac:dyDescent="0.2">
      <c r="A299" s="2">
        <v>6</v>
      </c>
      <c r="B299" s="1" t="s">
        <v>95</v>
      </c>
      <c r="C299" s="4">
        <v>140</v>
      </c>
      <c r="D299" s="8">
        <v>6.84</v>
      </c>
      <c r="E299" s="4">
        <v>106</v>
      </c>
      <c r="F299" s="8">
        <v>7.9</v>
      </c>
      <c r="G299" s="4">
        <v>34</v>
      </c>
      <c r="H299" s="8">
        <v>4.87</v>
      </c>
      <c r="I299" s="4">
        <v>0</v>
      </c>
    </row>
    <row r="300" spans="1:9" x14ac:dyDescent="0.2">
      <c r="A300" s="2">
        <v>7</v>
      </c>
      <c r="B300" s="1" t="s">
        <v>79</v>
      </c>
      <c r="C300" s="4">
        <v>123</v>
      </c>
      <c r="D300" s="8">
        <v>6.01</v>
      </c>
      <c r="E300" s="4">
        <v>91</v>
      </c>
      <c r="F300" s="8">
        <v>6.78</v>
      </c>
      <c r="G300" s="4">
        <v>31</v>
      </c>
      <c r="H300" s="8">
        <v>4.4400000000000004</v>
      </c>
      <c r="I300" s="4">
        <v>1</v>
      </c>
    </row>
    <row r="301" spans="1:9" x14ac:dyDescent="0.2">
      <c r="A301" s="2">
        <v>8</v>
      </c>
      <c r="B301" s="1" t="s">
        <v>75</v>
      </c>
      <c r="C301" s="4">
        <v>99</v>
      </c>
      <c r="D301" s="8">
        <v>4.84</v>
      </c>
      <c r="E301" s="4">
        <v>82</v>
      </c>
      <c r="F301" s="8">
        <v>6.11</v>
      </c>
      <c r="G301" s="4">
        <v>17</v>
      </c>
      <c r="H301" s="8">
        <v>2.44</v>
      </c>
      <c r="I301" s="4">
        <v>0</v>
      </c>
    </row>
    <row r="302" spans="1:9" x14ac:dyDescent="0.2">
      <c r="A302" s="2">
        <v>9</v>
      </c>
      <c r="B302" s="1" t="s">
        <v>70</v>
      </c>
      <c r="C302" s="4">
        <v>72</v>
      </c>
      <c r="D302" s="8">
        <v>3.52</v>
      </c>
      <c r="E302" s="4">
        <v>36</v>
      </c>
      <c r="F302" s="8">
        <v>2.68</v>
      </c>
      <c r="G302" s="4">
        <v>36</v>
      </c>
      <c r="H302" s="8">
        <v>5.16</v>
      </c>
      <c r="I302" s="4">
        <v>0</v>
      </c>
    </row>
    <row r="303" spans="1:9" x14ac:dyDescent="0.2">
      <c r="A303" s="2">
        <v>10</v>
      </c>
      <c r="B303" s="1" t="s">
        <v>85</v>
      </c>
      <c r="C303" s="4">
        <v>68</v>
      </c>
      <c r="D303" s="8">
        <v>3.32</v>
      </c>
      <c r="E303" s="4">
        <v>52</v>
      </c>
      <c r="F303" s="8">
        <v>3.87</v>
      </c>
      <c r="G303" s="4">
        <v>16</v>
      </c>
      <c r="H303" s="8">
        <v>2.29</v>
      </c>
      <c r="I303" s="4">
        <v>0</v>
      </c>
    </row>
    <row r="304" spans="1:9" x14ac:dyDescent="0.2">
      <c r="A304" s="2">
        <v>11</v>
      </c>
      <c r="B304" s="1" t="s">
        <v>76</v>
      </c>
      <c r="C304" s="4">
        <v>56</v>
      </c>
      <c r="D304" s="8">
        <v>2.74</v>
      </c>
      <c r="E304" s="4">
        <v>38</v>
      </c>
      <c r="F304" s="8">
        <v>2.83</v>
      </c>
      <c r="G304" s="4">
        <v>18</v>
      </c>
      <c r="H304" s="8">
        <v>2.58</v>
      </c>
      <c r="I304" s="4">
        <v>0</v>
      </c>
    </row>
    <row r="305" spans="1:9" x14ac:dyDescent="0.2">
      <c r="A305" s="2">
        <v>12</v>
      </c>
      <c r="B305" s="1" t="s">
        <v>86</v>
      </c>
      <c r="C305" s="4">
        <v>49</v>
      </c>
      <c r="D305" s="8">
        <v>2.39</v>
      </c>
      <c r="E305" s="4">
        <v>43</v>
      </c>
      <c r="F305" s="8">
        <v>3.2</v>
      </c>
      <c r="G305" s="4">
        <v>5</v>
      </c>
      <c r="H305" s="8">
        <v>0.72</v>
      </c>
      <c r="I305" s="4">
        <v>1</v>
      </c>
    </row>
    <row r="306" spans="1:9" x14ac:dyDescent="0.2">
      <c r="A306" s="2">
        <v>13</v>
      </c>
      <c r="B306" s="1" t="s">
        <v>74</v>
      </c>
      <c r="C306" s="4">
        <v>48</v>
      </c>
      <c r="D306" s="8">
        <v>2.34</v>
      </c>
      <c r="E306" s="4">
        <v>30</v>
      </c>
      <c r="F306" s="8">
        <v>2.2400000000000002</v>
      </c>
      <c r="G306" s="4">
        <v>18</v>
      </c>
      <c r="H306" s="8">
        <v>2.58</v>
      </c>
      <c r="I306" s="4">
        <v>0</v>
      </c>
    </row>
    <row r="307" spans="1:9" x14ac:dyDescent="0.2">
      <c r="A307" s="2">
        <v>13</v>
      </c>
      <c r="B307" s="1" t="s">
        <v>87</v>
      </c>
      <c r="C307" s="4">
        <v>48</v>
      </c>
      <c r="D307" s="8">
        <v>2.34</v>
      </c>
      <c r="E307" s="4">
        <v>41</v>
      </c>
      <c r="F307" s="8">
        <v>3.06</v>
      </c>
      <c r="G307" s="4">
        <v>7</v>
      </c>
      <c r="H307" s="8">
        <v>1</v>
      </c>
      <c r="I307" s="4">
        <v>0</v>
      </c>
    </row>
    <row r="308" spans="1:9" x14ac:dyDescent="0.2">
      <c r="A308" s="2">
        <v>15</v>
      </c>
      <c r="B308" s="1" t="s">
        <v>81</v>
      </c>
      <c r="C308" s="4">
        <v>46</v>
      </c>
      <c r="D308" s="8">
        <v>2.25</v>
      </c>
      <c r="E308" s="4">
        <v>30</v>
      </c>
      <c r="F308" s="8">
        <v>2.2400000000000002</v>
      </c>
      <c r="G308" s="4">
        <v>15</v>
      </c>
      <c r="H308" s="8">
        <v>2.15</v>
      </c>
      <c r="I308" s="4">
        <v>0</v>
      </c>
    </row>
    <row r="309" spans="1:9" x14ac:dyDescent="0.2">
      <c r="A309" s="2">
        <v>16</v>
      </c>
      <c r="B309" s="1" t="s">
        <v>80</v>
      </c>
      <c r="C309" s="4">
        <v>44</v>
      </c>
      <c r="D309" s="8">
        <v>2.15</v>
      </c>
      <c r="E309" s="4">
        <v>33</v>
      </c>
      <c r="F309" s="8">
        <v>2.46</v>
      </c>
      <c r="G309" s="4">
        <v>11</v>
      </c>
      <c r="H309" s="8">
        <v>1.58</v>
      </c>
      <c r="I309" s="4">
        <v>0</v>
      </c>
    </row>
    <row r="310" spans="1:9" x14ac:dyDescent="0.2">
      <c r="A310" s="2">
        <v>17</v>
      </c>
      <c r="B310" s="1" t="s">
        <v>72</v>
      </c>
      <c r="C310" s="4">
        <v>29</v>
      </c>
      <c r="D310" s="8">
        <v>1.42</v>
      </c>
      <c r="E310" s="4">
        <v>7</v>
      </c>
      <c r="F310" s="8">
        <v>0.52</v>
      </c>
      <c r="G310" s="4">
        <v>22</v>
      </c>
      <c r="H310" s="8">
        <v>3.15</v>
      </c>
      <c r="I310" s="4">
        <v>0</v>
      </c>
    </row>
    <row r="311" spans="1:9" x14ac:dyDescent="0.2">
      <c r="A311" s="2">
        <v>18</v>
      </c>
      <c r="B311" s="1" t="s">
        <v>84</v>
      </c>
      <c r="C311" s="4">
        <v>24</v>
      </c>
      <c r="D311" s="8">
        <v>1.17</v>
      </c>
      <c r="E311" s="4">
        <v>14</v>
      </c>
      <c r="F311" s="8">
        <v>1.04</v>
      </c>
      <c r="G311" s="4">
        <v>10</v>
      </c>
      <c r="H311" s="8">
        <v>1.43</v>
      </c>
      <c r="I311" s="4">
        <v>0</v>
      </c>
    </row>
    <row r="312" spans="1:9" x14ac:dyDescent="0.2">
      <c r="A312" s="2">
        <v>19</v>
      </c>
      <c r="B312" s="1" t="s">
        <v>71</v>
      </c>
      <c r="C312" s="4">
        <v>21</v>
      </c>
      <c r="D312" s="8">
        <v>1.03</v>
      </c>
      <c r="E312" s="4">
        <v>7</v>
      </c>
      <c r="F312" s="8">
        <v>0.52</v>
      </c>
      <c r="G312" s="4">
        <v>14</v>
      </c>
      <c r="H312" s="8">
        <v>2.0099999999999998</v>
      </c>
      <c r="I312" s="4">
        <v>0</v>
      </c>
    </row>
    <row r="313" spans="1:9" x14ac:dyDescent="0.2">
      <c r="A313" s="2">
        <v>20</v>
      </c>
      <c r="B313" s="1" t="s">
        <v>93</v>
      </c>
      <c r="C313" s="4">
        <v>19</v>
      </c>
      <c r="D313" s="8">
        <v>0.93</v>
      </c>
      <c r="E313" s="4">
        <v>9</v>
      </c>
      <c r="F313" s="8">
        <v>0.67</v>
      </c>
      <c r="G313" s="4">
        <v>10</v>
      </c>
      <c r="H313" s="8">
        <v>1.43</v>
      </c>
      <c r="I313" s="4">
        <v>0</v>
      </c>
    </row>
    <row r="314" spans="1:9" x14ac:dyDescent="0.2">
      <c r="A314" s="2">
        <v>20</v>
      </c>
      <c r="B314" s="1" t="s">
        <v>88</v>
      </c>
      <c r="C314" s="4">
        <v>19</v>
      </c>
      <c r="D314" s="8">
        <v>0.93</v>
      </c>
      <c r="E314" s="4">
        <v>6</v>
      </c>
      <c r="F314" s="8">
        <v>0.45</v>
      </c>
      <c r="G314" s="4">
        <v>13</v>
      </c>
      <c r="H314" s="8">
        <v>1.86</v>
      </c>
      <c r="I314" s="4">
        <v>0</v>
      </c>
    </row>
    <row r="315" spans="1:9" x14ac:dyDescent="0.2">
      <c r="A315" s="1"/>
      <c r="C315" s="4"/>
      <c r="D315" s="8"/>
      <c r="E315" s="4"/>
      <c r="F315" s="8"/>
      <c r="G315" s="4"/>
      <c r="H315" s="8"/>
      <c r="I315" s="4"/>
    </row>
    <row r="316" spans="1:9" x14ac:dyDescent="0.2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2">
      <c r="A317" s="2">
        <v>1</v>
      </c>
      <c r="B317" s="1" t="s">
        <v>83</v>
      </c>
      <c r="C317" s="4">
        <v>199</v>
      </c>
      <c r="D317" s="8">
        <v>11.69</v>
      </c>
      <c r="E317" s="4">
        <v>172</v>
      </c>
      <c r="F317" s="8">
        <v>19.22</v>
      </c>
      <c r="G317" s="4">
        <v>27</v>
      </c>
      <c r="H317" s="8">
        <v>3.44</v>
      </c>
      <c r="I317" s="4">
        <v>0</v>
      </c>
    </row>
    <row r="318" spans="1:9" x14ac:dyDescent="0.2">
      <c r="A318" s="2">
        <v>2</v>
      </c>
      <c r="B318" s="1" t="s">
        <v>82</v>
      </c>
      <c r="C318" s="4">
        <v>176</v>
      </c>
      <c r="D318" s="8">
        <v>10.33</v>
      </c>
      <c r="E318" s="4">
        <v>157</v>
      </c>
      <c r="F318" s="8">
        <v>17.54</v>
      </c>
      <c r="G318" s="4">
        <v>19</v>
      </c>
      <c r="H318" s="8">
        <v>2.42</v>
      </c>
      <c r="I318" s="4">
        <v>0</v>
      </c>
    </row>
    <row r="319" spans="1:9" x14ac:dyDescent="0.2">
      <c r="A319" s="2">
        <v>3</v>
      </c>
      <c r="B319" s="1" t="s">
        <v>68</v>
      </c>
      <c r="C319" s="4">
        <v>115</v>
      </c>
      <c r="D319" s="8">
        <v>6.75</v>
      </c>
      <c r="E319" s="4">
        <v>21</v>
      </c>
      <c r="F319" s="8">
        <v>2.35</v>
      </c>
      <c r="G319" s="4">
        <v>94</v>
      </c>
      <c r="H319" s="8">
        <v>11.96</v>
      </c>
      <c r="I319" s="4">
        <v>0</v>
      </c>
    </row>
    <row r="320" spans="1:9" x14ac:dyDescent="0.2">
      <c r="A320" s="2">
        <v>4</v>
      </c>
      <c r="B320" s="1" t="s">
        <v>79</v>
      </c>
      <c r="C320" s="4">
        <v>112</v>
      </c>
      <c r="D320" s="8">
        <v>6.58</v>
      </c>
      <c r="E320" s="4">
        <v>39</v>
      </c>
      <c r="F320" s="8">
        <v>4.3600000000000003</v>
      </c>
      <c r="G320" s="4">
        <v>72</v>
      </c>
      <c r="H320" s="8">
        <v>9.16</v>
      </c>
      <c r="I320" s="4">
        <v>0</v>
      </c>
    </row>
    <row r="321" spans="1:9" x14ac:dyDescent="0.2">
      <c r="A321" s="2">
        <v>5</v>
      </c>
      <c r="B321" s="1" t="s">
        <v>77</v>
      </c>
      <c r="C321" s="4">
        <v>109</v>
      </c>
      <c r="D321" s="8">
        <v>6.4</v>
      </c>
      <c r="E321" s="4">
        <v>46</v>
      </c>
      <c r="F321" s="8">
        <v>5.14</v>
      </c>
      <c r="G321" s="4">
        <v>63</v>
      </c>
      <c r="H321" s="8">
        <v>8.02</v>
      </c>
      <c r="I321" s="4">
        <v>0</v>
      </c>
    </row>
    <row r="322" spans="1:9" x14ac:dyDescent="0.2">
      <c r="A322" s="2">
        <v>6</v>
      </c>
      <c r="B322" s="1" t="s">
        <v>85</v>
      </c>
      <c r="C322" s="4">
        <v>91</v>
      </c>
      <c r="D322" s="8">
        <v>5.34</v>
      </c>
      <c r="E322" s="4">
        <v>67</v>
      </c>
      <c r="F322" s="8">
        <v>7.49</v>
      </c>
      <c r="G322" s="4">
        <v>15</v>
      </c>
      <c r="H322" s="8">
        <v>1.91</v>
      </c>
      <c r="I322" s="4">
        <v>0</v>
      </c>
    </row>
    <row r="323" spans="1:9" x14ac:dyDescent="0.2">
      <c r="A323" s="2">
        <v>7</v>
      </c>
      <c r="B323" s="1" t="s">
        <v>75</v>
      </c>
      <c r="C323" s="4">
        <v>83</v>
      </c>
      <c r="D323" s="8">
        <v>4.87</v>
      </c>
      <c r="E323" s="4">
        <v>57</v>
      </c>
      <c r="F323" s="8">
        <v>6.37</v>
      </c>
      <c r="G323" s="4">
        <v>26</v>
      </c>
      <c r="H323" s="8">
        <v>3.31</v>
      </c>
      <c r="I323" s="4">
        <v>0</v>
      </c>
    </row>
    <row r="324" spans="1:9" x14ac:dyDescent="0.2">
      <c r="A324" s="2">
        <v>7</v>
      </c>
      <c r="B324" s="1" t="s">
        <v>86</v>
      </c>
      <c r="C324" s="4">
        <v>83</v>
      </c>
      <c r="D324" s="8">
        <v>4.87</v>
      </c>
      <c r="E324" s="4">
        <v>75</v>
      </c>
      <c r="F324" s="8">
        <v>8.3800000000000008</v>
      </c>
      <c r="G324" s="4">
        <v>8</v>
      </c>
      <c r="H324" s="8">
        <v>1.02</v>
      </c>
      <c r="I324" s="4">
        <v>0</v>
      </c>
    </row>
    <row r="325" spans="1:9" x14ac:dyDescent="0.2">
      <c r="A325" s="2">
        <v>9</v>
      </c>
      <c r="B325" s="1" t="s">
        <v>69</v>
      </c>
      <c r="C325" s="4">
        <v>66</v>
      </c>
      <c r="D325" s="8">
        <v>3.88</v>
      </c>
      <c r="E325" s="4">
        <v>30</v>
      </c>
      <c r="F325" s="8">
        <v>3.35</v>
      </c>
      <c r="G325" s="4">
        <v>36</v>
      </c>
      <c r="H325" s="8">
        <v>4.58</v>
      </c>
      <c r="I325" s="4">
        <v>0</v>
      </c>
    </row>
    <row r="326" spans="1:9" x14ac:dyDescent="0.2">
      <c r="A326" s="2">
        <v>10</v>
      </c>
      <c r="B326" s="1" t="s">
        <v>81</v>
      </c>
      <c r="C326" s="4">
        <v>59</v>
      </c>
      <c r="D326" s="8">
        <v>3.46</v>
      </c>
      <c r="E326" s="4">
        <v>14</v>
      </c>
      <c r="F326" s="8">
        <v>1.56</v>
      </c>
      <c r="G326" s="4">
        <v>43</v>
      </c>
      <c r="H326" s="8">
        <v>5.47</v>
      </c>
      <c r="I326" s="4">
        <v>0</v>
      </c>
    </row>
    <row r="327" spans="1:9" x14ac:dyDescent="0.2">
      <c r="A327" s="2">
        <v>11</v>
      </c>
      <c r="B327" s="1" t="s">
        <v>76</v>
      </c>
      <c r="C327" s="4">
        <v>57</v>
      </c>
      <c r="D327" s="8">
        <v>3.35</v>
      </c>
      <c r="E327" s="4">
        <v>30</v>
      </c>
      <c r="F327" s="8">
        <v>3.35</v>
      </c>
      <c r="G327" s="4">
        <v>27</v>
      </c>
      <c r="H327" s="8">
        <v>3.44</v>
      </c>
      <c r="I327" s="4">
        <v>0</v>
      </c>
    </row>
    <row r="328" spans="1:9" x14ac:dyDescent="0.2">
      <c r="A328" s="2">
        <v>12</v>
      </c>
      <c r="B328" s="1" t="s">
        <v>70</v>
      </c>
      <c r="C328" s="4">
        <v>43</v>
      </c>
      <c r="D328" s="8">
        <v>2.52</v>
      </c>
      <c r="E328" s="4">
        <v>9</v>
      </c>
      <c r="F328" s="8">
        <v>1.01</v>
      </c>
      <c r="G328" s="4">
        <v>34</v>
      </c>
      <c r="H328" s="8">
        <v>4.33</v>
      </c>
      <c r="I328" s="4">
        <v>0</v>
      </c>
    </row>
    <row r="329" spans="1:9" x14ac:dyDescent="0.2">
      <c r="A329" s="2">
        <v>13</v>
      </c>
      <c r="B329" s="1" t="s">
        <v>74</v>
      </c>
      <c r="C329" s="4">
        <v>40</v>
      </c>
      <c r="D329" s="8">
        <v>2.35</v>
      </c>
      <c r="E329" s="4">
        <v>23</v>
      </c>
      <c r="F329" s="8">
        <v>2.57</v>
      </c>
      <c r="G329" s="4">
        <v>17</v>
      </c>
      <c r="H329" s="8">
        <v>2.16</v>
      </c>
      <c r="I329" s="4">
        <v>0</v>
      </c>
    </row>
    <row r="330" spans="1:9" x14ac:dyDescent="0.2">
      <c r="A330" s="2">
        <v>13</v>
      </c>
      <c r="B330" s="1" t="s">
        <v>80</v>
      </c>
      <c r="C330" s="4">
        <v>40</v>
      </c>
      <c r="D330" s="8">
        <v>2.35</v>
      </c>
      <c r="E330" s="4">
        <v>30</v>
      </c>
      <c r="F330" s="8">
        <v>3.35</v>
      </c>
      <c r="G330" s="4">
        <v>9</v>
      </c>
      <c r="H330" s="8">
        <v>1.1499999999999999</v>
      </c>
      <c r="I330" s="4">
        <v>1</v>
      </c>
    </row>
    <row r="331" spans="1:9" x14ac:dyDescent="0.2">
      <c r="A331" s="2">
        <v>15</v>
      </c>
      <c r="B331" s="1" t="s">
        <v>78</v>
      </c>
      <c r="C331" s="4">
        <v>38</v>
      </c>
      <c r="D331" s="8">
        <v>2.23</v>
      </c>
      <c r="E331" s="4">
        <v>3</v>
      </c>
      <c r="F331" s="8">
        <v>0.34</v>
      </c>
      <c r="G331" s="4">
        <v>35</v>
      </c>
      <c r="H331" s="8">
        <v>4.45</v>
      </c>
      <c r="I331" s="4">
        <v>0</v>
      </c>
    </row>
    <row r="332" spans="1:9" x14ac:dyDescent="0.2">
      <c r="A332" s="2">
        <v>16</v>
      </c>
      <c r="B332" s="1" t="s">
        <v>84</v>
      </c>
      <c r="C332" s="4">
        <v>31</v>
      </c>
      <c r="D332" s="8">
        <v>1.82</v>
      </c>
      <c r="E332" s="4">
        <v>12</v>
      </c>
      <c r="F332" s="8">
        <v>1.34</v>
      </c>
      <c r="G332" s="4">
        <v>17</v>
      </c>
      <c r="H332" s="8">
        <v>2.16</v>
      </c>
      <c r="I332" s="4">
        <v>0</v>
      </c>
    </row>
    <row r="333" spans="1:9" x14ac:dyDescent="0.2">
      <c r="A333" s="2">
        <v>17</v>
      </c>
      <c r="B333" s="1" t="s">
        <v>87</v>
      </c>
      <c r="C333" s="4">
        <v>29</v>
      </c>
      <c r="D333" s="8">
        <v>1.7</v>
      </c>
      <c r="E333" s="4">
        <v>24</v>
      </c>
      <c r="F333" s="8">
        <v>2.68</v>
      </c>
      <c r="G333" s="4">
        <v>5</v>
      </c>
      <c r="H333" s="8">
        <v>0.64</v>
      </c>
      <c r="I333" s="4">
        <v>0</v>
      </c>
    </row>
    <row r="334" spans="1:9" x14ac:dyDescent="0.2">
      <c r="A334" s="2">
        <v>18</v>
      </c>
      <c r="B334" s="1" t="s">
        <v>101</v>
      </c>
      <c r="C334" s="4">
        <v>28</v>
      </c>
      <c r="D334" s="8">
        <v>1.64</v>
      </c>
      <c r="E334" s="4">
        <v>15</v>
      </c>
      <c r="F334" s="8">
        <v>1.68</v>
      </c>
      <c r="G334" s="4">
        <v>13</v>
      </c>
      <c r="H334" s="8">
        <v>1.65</v>
      </c>
      <c r="I334" s="4">
        <v>0</v>
      </c>
    </row>
    <row r="335" spans="1:9" x14ac:dyDescent="0.2">
      <c r="A335" s="2">
        <v>19</v>
      </c>
      <c r="B335" s="1" t="s">
        <v>73</v>
      </c>
      <c r="C335" s="4">
        <v>23</v>
      </c>
      <c r="D335" s="8">
        <v>1.35</v>
      </c>
      <c r="E335" s="4">
        <v>2</v>
      </c>
      <c r="F335" s="8">
        <v>0.22</v>
      </c>
      <c r="G335" s="4">
        <v>21</v>
      </c>
      <c r="H335" s="8">
        <v>2.67</v>
      </c>
      <c r="I335" s="4">
        <v>0</v>
      </c>
    </row>
    <row r="336" spans="1:9" x14ac:dyDescent="0.2">
      <c r="A336" s="2">
        <v>20</v>
      </c>
      <c r="B336" s="1" t="s">
        <v>96</v>
      </c>
      <c r="C336" s="4">
        <v>22</v>
      </c>
      <c r="D336" s="8">
        <v>1.29</v>
      </c>
      <c r="E336" s="4">
        <v>1</v>
      </c>
      <c r="F336" s="8">
        <v>0.11</v>
      </c>
      <c r="G336" s="4">
        <v>16</v>
      </c>
      <c r="H336" s="8">
        <v>2.04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83</v>
      </c>
      <c r="C339" s="4">
        <v>170</v>
      </c>
      <c r="D339" s="8">
        <v>12.28</v>
      </c>
      <c r="E339" s="4">
        <v>146</v>
      </c>
      <c r="F339" s="8">
        <v>20.28</v>
      </c>
      <c r="G339" s="4">
        <v>24</v>
      </c>
      <c r="H339" s="8">
        <v>3.63</v>
      </c>
      <c r="I339" s="4">
        <v>0</v>
      </c>
    </row>
    <row r="340" spans="1:9" x14ac:dyDescent="0.2">
      <c r="A340" s="2">
        <v>2</v>
      </c>
      <c r="B340" s="1" t="s">
        <v>82</v>
      </c>
      <c r="C340" s="4">
        <v>125</v>
      </c>
      <c r="D340" s="8">
        <v>9.0299999999999994</v>
      </c>
      <c r="E340" s="4">
        <v>97</v>
      </c>
      <c r="F340" s="8">
        <v>13.47</v>
      </c>
      <c r="G340" s="4">
        <v>28</v>
      </c>
      <c r="H340" s="8">
        <v>4.2300000000000004</v>
      </c>
      <c r="I340" s="4">
        <v>0</v>
      </c>
    </row>
    <row r="341" spans="1:9" x14ac:dyDescent="0.2">
      <c r="A341" s="2">
        <v>3</v>
      </c>
      <c r="B341" s="1" t="s">
        <v>79</v>
      </c>
      <c r="C341" s="4">
        <v>108</v>
      </c>
      <c r="D341" s="8">
        <v>7.8</v>
      </c>
      <c r="E341" s="4">
        <v>40</v>
      </c>
      <c r="F341" s="8">
        <v>5.56</v>
      </c>
      <c r="G341" s="4">
        <v>67</v>
      </c>
      <c r="H341" s="8">
        <v>10.119999999999999</v>
      </c>
      <c r="I341" s="4">
        <v>0</v>
      </c>
    </row>
    <row r="342" spans="1:9" x14ac:dyDescent="0.2">
      <c r="A342" s="2">
        <v>4</v>
      </c>
      <c r="B342" s="1" t="s">
        <v>77</v>
      </c>
      <c r="C342" s="4">
        <v>97</v>
      </c>
      <c r="D342" s="8">
        <v>7.01</v>
      </c>
      <c r="E342" s="4">
        <v>46</v>
      </c>
      <c r="F342" s="8">
        <v>6.39</v>
      </c>
      <c r="G342" s="4">
        <v>51</v>
      </c>
      <c r="H342" s="8">
        <v>7.7</v>
      </c>
      <c r="I342" s="4">
        <v>0</v>
      </c>
    </row>
    <row r="343" spans="1:9" x14ac:dyDescent="0.2">
      <c r="A343" s="2">
        <v>5</v>
      </c>
      <c r="B343" s="1" t="s">
        <v>68</v>
      </c>
      <c r="C343" s="4">
        <v>84</v>
      </c>
      <c r="D343" s="8">
        <v>6.07</v>
      </c>
      <c r="E343" s="4">
        <v>17</v>
      </c>
      <c r="F343" s="8">
        <v>2.36</v>
      </c>
      <c r="G343" s="4">
        <v>67</v>
      </c>
      <c r="H343" s="8">
        <v>10.119999999999999</v>
      </c>
      <c r="I343" s="4">
        <v>0</v>
      </c>
    </row>
    <row r="344" spans="1:9" x14ac:dyDescent="0.2">
      <c r="A344" s="2">
        <v>6</v>
      </c>
      <c r="B344" s="1" t="s">
        <v>75</v>
      </c>
      <c r="C344" s="4">
        <v>69</v>
      </c>
      <c r="D344" s="8">
        <v>4.99</v>
      </c>
      <c r="E344" s="4">
        <v>49</v>
      </c>
      <c r="F344" s="8">
        <v>6.81</v>
      </c>
      <c r="G344" s="4">
        <v>20</v>
      </c>
      <c r="H344" s="8">
        <v>3.02</v>
      </c>
      <c r="I344" s="4">
        <v>0</v>
      </c>
    </row>
    <row r="345" spans="1:9" x14ac:dyDescent="0.2">
      <c r="A345" s="2">
        <v>7</v>
      </c>
      <c r="B345" s="1" t="s">
        <v>86</v>
      </c>
      <c r="C345" s="4">
        <v>66</v>
      </c>
      <c r="D345" s="8">
        <v>4.7699999999999996</v>
      </c>
      <c r="E345" s="4">
        <v>53</v>
      </c>
      <c r="F345" s="8">
        <v>7.36</v>
      </c>
      <c r="G345" s="4">
        <v>13</v>
      </c>
      <c r="H345" s="8">
        <v>1.96</v>
      </c>
      <c r="I345" s="4">
        <v>0</v>
      </c>
    </row>
    <row r="346" spans="1:9" x14ac:dyDescent="0.2">
      <c r="A346" s="2">
        <v>8</v>
      </c>
      <c r="B346" s="1" t="s">
        <v>69</v>
      </c>
      <c r="C346" s="4">
        <v>62</v>
      </c>
      <c r="D346" s="8">
        <v>4.4800000000000004</v>
      </c>
      <c r="E346" s="4">
        <v>29</v>
      </c>
      <c r="F346" s="8">
        <v>4.03</v>
      </c>
      <c r="G346" s="4">
        <v>33</v>
      </c>
      <c r="H346" s="8">
        <v>4.9800000000000004</v>
      </c>
      <c r="I346" s="4">
        <v>0</v>
      </c>
    </row>
    <row r="347" spans="1:9" x14ac:dyDescent="0.2">
      <c r="A347" s="2">
        <v>9</v>
      </c>
      <c r="B347" s="1" t="s">
        <v>85</v>
      </c>
      <c r="C347" s="4">
        <v>57</v>
      </c>
      <c r="D347" s="8">
        <v>4.12</v>
      </c>
      <c r="E347" s="4">
        <v>45</v>
      </c>
      <c r="F347" s="8">
        <v>6.25</v>
      </c>
      <c r="G347" s="4">
        <v>12</v>
      </c>
      <c r="H347" s="8">
        <v>1.81</v>
      </c>
      <c r="I347" s="4">
        <v>0</v>
      </c>
    </row>
    <row r="348" spans="1:9" x14ac:dyDescent="0.2">
      <c r="A348" s="2">
        <v>10</v>
      </c>
      <c r="B348" s="1" t="s">
        <v>70</v>
      </c>
      <c r="C348" s="4">
        <v>55</v>
      </c>
      <c r="D348" s="8">
        <v>3.97</v>
      </c>
      <c r="E348" s="4">
        <v>17</v>
      </c>
      <c r="F348" s="8">
        <v>2.36</v>
      </c>
      <c r="G348" s="4">
        <v>38</v>
      </c>
      <c r="H348" s="8">
        <v>5.74</v>
      </c>
      <c r="I348" s="4">
        <v>0</v>
      </c>
    </row>
    <row r="349" spans="1:9" x14ac:dyDescent="0.2">
      <c r="A349" s="2">
        <v>11</v>
      </c>
      <c r="B349" s="1" t="s">
        <v>80</v>
      </c>
      <c r="C349" s="4">
        <v>52</v>
      </c>
      <c r="D349" s="8">
        <v>3.76</v>
      </c>
      <c r="E349" s="4">
        <v>32</v>
      </c>
      <c r="F349" s="8">
        <v>4.4400000000000004</v>
      </c>
      <c r="G349" s="4">
        <v>20</v>
      </c>
      <c r="H349" s="8">
        <v>3.02</v>
      </c>
      <c r="I349" s="4">
        <v>0</v>
      </c>
    </row>
    <row r="350" spans="1:9" x14ac:dyDescent="0.2">
      <c r="A350" s="2">
        <v>12</v>
      </c>
      <c r="B350" s="1" t="s">
        <v>76</v>
      </c>
      <c r="C350" s="4">
        <v>46</v>
      </c>
      <c r="D350" s="8">
        <v>3.32</v>
      </c>
      <c r="E350" s="4">
        <v>30</v>
      </c>
      <c r="F350" s="8">
        <v>4.17</v>
      </c>
      <c r="G350" s="4">
        <v>16</v>
      </c>
      <c r="H350" s="8">
        <v>2.42</v>
      </c>
      <c r="I350" s="4">
        <v>0</v>
      </c>
    </row>
    <row r="351" spans="1:9" x14ac:dyDescent="0.2">
      <c r="A351" s="2">
        <v>13</v>
      </c>
      <c r="B351" s="1" t="s">
        <v>84</v>
      </c>
      <c r="C351" s="4">
        <v>45</v>
      </c>
      <c r="D351" s="8">
        <v>3.25</v>
      </c>
      <c r="E351" s="4">
        <v>23</v>
      </c>
      <c r="F351" s="8">
        <v>3.19</v>
      </c>
      <c r="G351" s="4">
        <v>21</v>
      </c>
      <c r="H351" s="8">
        <v>3.17</v>
      </c>
      <c r="I351" s="4">
        <v>0</v>
      </c>
    </row>
    <row r="352" spans="1:9" x14ac:dyDescent="0.2">
      <c r="A352" s="2">
        <v>14</v>
      </c>
      <c r="B352" s="1" t="s">
        <v>78</v>
      </c>
      <c r="C352" s="4">
        <v>34</v>
      </c>
      <c r="D352" s="8">
        <v>2.46</v>
      </c>
      <c r="E352" s="4">
        <v>3</v>
      </c>
      <c r="F352" s="8">
        <v>0.42</v>
      </c>
      <c r="G352" s="4">
        <v>31</v>
      </c>
      <c r="H352" s="8">
        <v>4.68</v>
      </c>
      <c r="I352" s="4">
        <v>0</v>
      </c>
    </row>
    <row r="353" spans="1:9" x14ac:dyDescent="0.2">
      <c r="A353" s="2">
        <v>15</v>
      </c>
      <c r="B353" s="1" t="s">
        <v>81</v>
      </c>
      <c r="C353" s="4">
        <v>32</v>
      </c>
      <c r="D353" s="8">
        <v>2.31</v>
      </c>
      <c r="E353" s="4">
        <v>12</v>
      </c>
      <c r="F353" s="8">
        <v>1.67</v>
      </c>
      <c r="G353" s="4">
        <v>20</v>
      </c>
      <c r="H353" s="8">
        <v>3.02</v>
      </c>
      <c r="I353" s="4">
        <v>0</v>
      </c>
    </row>
    <row r="354" spans="1:9" x14ac:dyDescent="0.2">
      <c r="A354" s="2">
        <v>16</v>
      </c>
      <c r="B354" s="1" t="s">
        <v>74</v>
      </c>
      <c r="C354" s="4">
        <v>25</v>
      </c>
      <c r="D354" s="8">
        <v>1.81</v>
      </c>
      <c r="E354" s="4">
        <v>12</v>
      </c>
      <c r="F354" s="8">
        <v>1.67</v>
      </c>
      <c r="G354" s="4">
        <v>13</v>
      </c>
      <c r="H354" s="8">
        <v>1.96</v>
      </c>
      <c r="I354" s="4">
        <v>0</v>
      </c>
    </row>
    <row r="355" spans="1:9" x14ac:dyDescent="0.2">
      <c r="A355" s="2">
        <v>17</v>
      </c>
      <c r="B355" s="1" t="s">
        <v>72</v>
      </c>
      <c r="C355" s="4">
        <v>19</v>
      </c>
      <c r="D355" s="8">
        <v>1.37</v>
      </c>
      <c r="E355" s="4">
        <v>0</v>
      </c>
      <c r="F355" s="8">
        <v>0</v>
      </c>
      <c r="G355" s="4">
        <v>19</v>
      </c>
      <c r="H355" s="8">
        <v>2.87</v>
      </c>
      <c r="I355" s="4">
        <v>0</v>
      </c>
    </row>
    <row r="356" spans="1:9" x14ac:dyDescent="0.2">
      <c r="A356" s="2">
        <v>17</v>
      </c>
      <c r="B356" s="1" t="s">
        <v>73</v>
      </c>
      <c r="C356" s="4">
        <v>19</v>
      </c>
      <c r="D356" s="8">
        <v>1.37</v>
      </c>
      <c r="E356" s="4">
        <v>2</v>
      </c>
      <c r="F356" s="8">
        <v>0.28000000000000003</v>
      </c>
      <c r="G356" s="4">
        <v>17</v>
      </c>
      <c r="H356" s="8">
        <v>2.57</v>
      </c>
      <c r="I356" s="4">
        <v>0</v>
      </c>
    </row>
    <row r="357" spans="1:9" x14ac:dyDescent="0.2">
      <c r="A357" s="2">
        <v>19</v>
      </c>
      <c r="B357" s="1" t="s">
        <v>101</v>
      </c>
      <c r="C357" s="4">
        <v>17</v>
      </c>
      <c r="D357" s="8">
        <v>1.23</v>
      </c>
      <c r="E357" s="4">
        <v>2</v>
      </c>
      <c r="F357" s="8">
        <v>0.28000000000000003</v>
      </c>
      <c r="G357" s="4">
        <v>15</v>
      </c>
      <c r="H357" s="8">
        <v>2.27</v>
      </c>
      <c r="I357" s="4">
        <v>0</v>
      </c>
    </row>
    <row r="358" spans="1:9" x14ac:dyDescent="0.2">
      <c r="A358" s="2">
        <v>20</v>
      </c>
      <c r="B358" s="1" t="s">
        <v>88</v>
      </c>
      <c r="C358" s="4">
        <v>16</v>
      </c>
      <c r="D358" s="8">
        <v>1.1599999999999999</v>
      </c>
      <c r="E358" s="4">
        <v>3</v>
      </c>
      <c r="F358" s="8">
        <v>0.42</v>
      </c>
      <c r="G358" s="4">
        <v>13</v>
      </c>
      <c r="H358" s="8">
        <v>1.96</v>
      </c>
      <c r="I358" s="4">
        <v>0</v>
      </c>
    </row>
    <row r="359" spans="1:9" x14ac:dyDescent="0.2">
      <c r="A359" s="1"/>
      <c r="C359" s="4"/>
      <c r="D359" s="8"/>
      <c r="E359" s="4"/>
      <c r="F359" s="8"/>
      <c r="G359" s="4"/>
      <c r="H359" s="8"/>
      <c r="I359" s="4"/>
    </row>
    <row r="360" spans="1:9" x14ac:dyDescent="0.2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2">
      <c r="A361" s="2">
        <v>1</v>
      </c>
      <c r="B361" s="1" t="s">
        <v>83</v>
      </c>
      <c r="C361" s="4">
        <v>438</v>
      </c>
      <c r="D361" s="8">
        <v>10.55</v>
      </c>
      <c r="E361" s="4">
        <v>353</v>
      </c>
      <c r="F361" s="8">
        <v>21.18</v>
      </c>
      <c r="G361" s="4">
        <v>85</v>
      </c>
      <c r="H361" s="8">
        <v>3.47</v>
      </c>
      <c r="I361" s="4">
        <v>0</v>
      </c>
    </row>
    <row r="362" spans="1:9" x14ac:dyDescent="0.2">
      <c r="A362" s="2">
        <v>2</v>
      </c>
      <c r="B362" s="1" t="s">
        <v>68</v>
      </c>
      <c r="C362" s="4">
        <v>337</v>
      </c>
      <c r="D362" s="8">
        <v>8.11</v>
      </c>
      <c r="E362" s="4">
        <v>73</v>
      </c>
      <c r="F362" s="8">
        <v>4.38</v>
      </c>
      <c r="G362" s="4">
        <v>264</v>
      </c>
      <c r="H362" s="8">
        <v>10.78</v>
      </c>
      <c r="I362" s="4">
        <v>0</v>
      </c>
    </row>
    <row r="363" spans="1:9" x14ac:dyDescent="0.2">
      <c r="A363" s="2">
        <v>3</v>
      </c>
      <c r="B363" s="1" t="s">
        <v>82</v>
      </c>
      <c r="C363" s="4">
        <v>303</v>
      </c>
      <c r="D363" s="8">
        <v>7.3</v>
      </c>
      <c r="E363" s="4">
        <v>224</v>
      </c>
      <c r="F363" s="8">
        <v>13.44</v>
      </c>
      <c r="G363" s="4">
        <v>79</v>
      </c>
      <c r="H363" s="8">
        <v>3.23</v>
      </c>
      <c r="I363" s="4">
        <v>0</v>
      </c>
    </row>
    <row r="364" spans="1:9" x14ac:dyDescent="0.2">
      <c r="A364" s="2">
        <v>4</v>
      </c>
      <c r="B364" s="1" t="s">
        <v>79</v>
      </c>
      <c r="C364" s="4">
        <v>265</v>
      </c>
      <c r="D364" s="8">
        <v>6.38</v>
      </c>
      <c r="E364" s="4">
        <v>46</v>
      </c>
      <c r="F364" s="8">
        <v>2.76</v>
      </c>
      <c r="G364" s="4">
        <v>219</v>
      </c>
      <c r="H364" s="8">
        <v>8.94</v>
      </c>
      <c r="I364" s="4">
        <v>0</v>
      </c>
    </row>
    <row r="365" spans="1:9" x14ac:dyDescent="0.2">
      <c r="A365" s="2">
        <v>5</v>
      </c>
      <c r="B365" s="1" t="s">
        <v>77</v>
      </c>
      <c r="C365" s="4">
        <v>247</v>
      </c>
      <c r="D365" s="8">
        <v>5.95</v>
      </c>
      <c r="E365" s="4">
        <v>95</v>
      </c>
      <c r="F365" s="8">
        <v>5.7</v>
      </c>
      <c r="G365" s="4">
        <v>152</v>
      </c>
      <c r="H365" s="8">
        <v>6.21</v>
      </c>
      <c r="I365" s="4">
        <v>0</v>
      </c>
    </row>
    <row r="366" spans="1:9" x14ac:dyDescent="0.2">
      <c r="A366" s="2">
        <v>6</v>
      </c>
      <c r="B366" s="1" t="s">
        <v>69</v>
      </c>
      <c r="C366" s="4">
        <v>212</v>
      </c>
      <c r="D366" s="8">
        <v>5.0999999999999996</v>
      </c>
      <c r="E366" s="4">
        <v>105</v>
      </c>
      <c r="F366" s="8">
        <v>6.3</v>
      </c>
      <c r="G366" s="4">
        <v>107</v>
      </c>
      <c r="H366" s="8">
        <v>4.37</v>
      </c>
      <c r="I366" s="4">
        <v>0</v>
      </c>
    </row>
    <row r="367" spans="1:9" x14ac:dyDescent="0.2">
      <c r="A367" s="2">
        <v>7</v>
      </c>
      <c r="B367" s="1" t="s">
        <v>70</v>
      </c>
      <c r="C367" s="4">
        <v>170</v>
      </c>
      <c r="D367" s="8">
        <v>4.09</v>
      </c>
      <c r="E367" s="4">
        <v>39</v>
      </c>
      <c r="F367" s="8">
        <v>2.34</v>
      </c>
      <c r="G367" s="4">
        <v>131</v>
      </c>
      <c r="H367" s="8">
        <v>5.35</v>
      </c>
      <c r="I367" s="4">
        <v>0</v>
      </c>
    </row>
    <row r="368" spans="1:9" x14ac:dyDescent="0.2">
      <c r="A368" s="2">
        <v>8</v>
      </c>
      <c r="B368" s="1" t="s">
        <v>75</v>
      </c>
      <c r="C368" s="4">
        <v>161</v>
      </c>
      <c r="D368" s="8">
        <v>3.88</v>
      </c>
      <c r="E368" s="4">
        <v>107</v>
      </c>
      <c r="F368" s="8">
        <v>6.42</v>
      </c>
      <c r="G368" s="4">
        <v>54</v>
      </c>
      <c r="H368" s="8">
        <v>2.2000000000000002</v>
      </c>
      <c r="I368" s="4">
        <v>0</v>
      </c>
    </row>
    <row r="369" spans="1:9" x14ac:dyDescent="0.2">
      <c r="A369" s="2">
        <v>9</v>
      </c>
      <c r="B369" s="1" t="s">
        <v>85</v>
      </c>
      <c r="C369" s="4">
        <v>151</v>
      </c>
      <c r="D369" s="8">
        <v>3.64</v>
      </c>
      <c r="E369" s="4">
        <v>72</v>
      </c>
      <c r="F369" s="8">
        <v>4.32</v>
      </c>
      <c r="G369" s="4">
        <v>60</v>
      </c>
      <c r="H369" s="8">
        <v>2.4500000000000002</v>
      </c>
      <c r="I369" s="4">
        <v>0</v>
      </c>
    </row>
    <row r="370" spans="1:9" x14ac:dyDescent="0.2">
      <c r="A370" s="2">
        <v>10</v>
      </c>
      <c r="B370" s="1" t="s">
        <v>86</v>
      </c>
      <c r="C370" s="4">
        <v>145</v>
      </c>
      <c r="D370" s="8">
        <v>3.49</v>
      </c>
      <c r="E370" s="4">
        <v>128</v>
      </c>
      <c r="F370" s="8">
        <v>7.68</v>
      </c>
      <c r="G370" s="4">
        <v>17</v>
      </c>
      <c r="H370" s="8">
        <v>0.69</v>
      </c>
      <c r="I370" s="4">
        <v>0</v>
      </c>
    </row>
    <row r="371" spans="1:9" x14ac:dyDescent="0.2">
      <c r="A371" s="2">
        <v>11</v>
      </c>
      <c r="B371" s="1" t="s">
        <v>80</v>
      </c>
      <c r="C371" s="4">
        <v>141</v>
      </c>
      <c r="D371" s="8">
        <v>3.4</v>
      </c>
      <c r="E371" s="4">
        <v>71</v>
      </c>
      <c r="F371" s="8">
        <v>4.26</v>
      </c>
      <c r="G371" s="4">
        <v>70</v>
      </c>
      <c r="H371" s="8">
        <v>2.86</v>
      </c>
      <c r="I371" s="4">
        <v>0</v>
      </c>
    </row>
    <row r="372" spans="1:9" x14ac:dyDescent="0.2">
      <c r="A372" s="2">
        <v>12</v>
      </c>
      <c r="B372" s="1" t="s">
        <v>76</v>
      </c>
      <c r="C372" s="4">
        <v>136</v>
      </c>
      <c r="D372" s="8">
        <v>3.27</v>
      </c>
      <c r="E372" s="4">
        <v>65</v>
      </c>
      <c r="F372" s="8">
        <v>3.9</v>
      </c>
      <c r="G372" s="4">
        <v>71</v>
      </c>
      <c r="H372" s="8">
        <v>2.9</v>
      </c>
      <c r="I372" s="4">
        <v>0</v>
      </c>
    </row>
    <row r="373" spans="1:9" x14ac:dyDescent="0.2">
      <c r="A373" s="2">
        <v>13</v>
      </c>
      <c r="B373" s="1" t="s">
        <v>74</v>
      </c>
      <c r="C373" s="4">
        <v>113</v>
      </c>
      <c r="D373" s="8">
        <v>2.72</v>
      </c>
      <c r="E373" s="4">
        <v>35</v>
      </c>
      <c r="F373" s="8">
        <v>2.1</v>
      </c>
      <c r="G373" s="4">
        <v>78</v>
      </c>
      <c r="H373" s="8">
        <v>3.18</v>
      </c>
      <c r="I373" s="4">
        <v>0</v>
      </c>
    </row>
    <row r="374" spans="1:9" x14ac:dyDescent="0.2">
      <c r="A374" s="2">
        <v>13</v>
      </c>
      <c r="B374" s="1" t="s">
        <v>81</v>
      </c>
      <c r="C374" s="4">
        <v>113</v>
      </c>
      <c r="D374" s="8">
        <v>2.72</v>
      </c>
      <c r="E374" s="4">
        <v>24</v>
      </c>
      <c r="F374" s="8">
        <v>1.44</v>
      </c>
      <c r="G374" s="4">
        <v>89</v>
      </c>
      <c r="H374" s="8">
        <v>3.63</v>
      </c>
      <c r="I374" s="4">
        <v>0</v>
      </c>
    </row>
    <row r="375" spans="1:9" x14ac:dyDescent="0.2">
      <c r="A375" s="2">
        <v>15</v>
      </c>
      <c r="B375" s="1" t="s">
        <v>87</v>
      </c>
      <c r="C375" s="4">
        <v>100</v>
      </c>
      <c r="D375" s="8">
        <v>2.41</v>
      </c>
      <c r="E375" s="4">
        <v>73</v>
      </c>
      <c r="F375" s="8">
        <v>4.38</v>
      </c>
      <c r="G375" s="4">
        <v>27</v>
      </c>
      <c r="H375" s="8">
        <v>1.1000000000000001</v>
      </c>
      <c r="I375" s="4">
        <v>0</v>
      </c>
    </row>
    <row r="376" spans="1:9" x14ac:dyDescent="0.2">
      <c r="A376" s="2">
        <v>16</v>
      </c>
      <c r="B376" s="1" t="s">
        <v>73</v>
      </c>
      <c r="C376" s="4">
        <v>99</v>
      </c>
      <c r="D376" s="8">
        <v>2.38</v>
      </c>
      <c r="E376" s="4">
        <v>7</v>
      </c>
      <c r="F376" s="8">
        <v>0.42</v>
      </c>
      <c r="G376" s="4">
        <v>92</v>
      </c>
      <c r="H376" s="8">
        <v>3.76</v>
      </c>
      <c r="I376" s="4">
        <v>0</v>
      </c>
    </row>
    <row r="377" spans="1:9" x14ac:dyDescent="0.2">
      <c r="A377" s="2">
        <v>17</v>
      </c>
      <c r="B377" s="1" t="s">
        <v>78</v>
      </c>
      <c r="C377" s="4">
        <v>78</v>
      </c>
      <c r="D377" s="8">
        <v>1.88</v>
      </c>
      <c r="E377" s="4">
        <v>5</v>
      </c>
      <c r="F377" s="8">
        <v>0.3</v>
      </c>
      <c r="G377" s="4">
        <v>73</v>
      </c>
      <c r="H377" s="8">
        <v>2.98</v>
      </c>
      <c r="I377" s="4">
        <v>0</v>
      </c>
    </row>
    <row r="378" spans="1:9" x14ac:dyDescent="0.2">
      <c r="A378" s="2">
        <v>18</v>
      </c>
      <c r="B378" s="1" t="s">
        <v>89</v>
      </c>
      <c r="C378" s="4">
        <v>70</v>
      </c>
      <c r="D378" s="8">
        <v>1.69</v>
      </c>
      <c r="E378" s="4">
        <v>1</v>
      </c>
      <c r="F378" s="8">
        <v>0.06</v>
      </c>
      <c r="G378" s="4">
        <v>67</v>
      </c>
      <c r="H378" s="8">
        <v>2.74</v>
      </c>
      <c r="I378" s="4">
        <v>0</v>
      </c>
    </row>
    <row r="379" spans="1:9" x14ac:dyDescent="0.2">
      <c r="A379" s="2">
        <v>19</v>
      </c>
      <c r="B379" s="1" t="s">
        <v>88</v>
      </c>
      <c r="C379" s="4">
        <v>67</v>
      </c>
      <c r="D379" s="8">
        <v>1.61</v>
      </c>
      <c r="E379" s="4">
        <v>13</v>
      </c>
      <c r="F379" s="8">
        <v>0.78</v>
      </c>
      <c r="G379" s="4">
        <v>54</v>
      </c>
      <c r="H379" s="8">
        <v>2.2000000000000002</v>
      </c>
      <c r="I379" s="4">
        <v>0</v>
      </c>
    </row>
    <row r="380" spans="1:9" x14ac:dyDescent="0.2">
      <c r="A380" s="2">
        <v>20</v>
      </c>
      <c r="B380" s="1" t="s">
        <v>102</v>
      </c>
      <c r="C380" s="4">
        <v>54</v>
      </c>
      <c r="D380" s="8">
        <v>1.3</v>
      </c>
      <c r="E380" s="4">
        <v>5</v>
      </c>
      <c r="F380" s="8">
        <v>0.3</v>
      </c>
      <c r="G380" s="4">
        <v>49</v>
      </c>
      <c r="H380" s="8">
        <v>2</v>
      </c>
      <c r="I380" s="4">
        <v>0</v>
      </c>
    </row>
    <row r="381" spans="1:9" x14ac:dyDescent="0.2">
      <c r="A381" s="2">
        <v>20</v>
      </c>
      <c r="B381" s="1" t="s">
        <v>84</v>
      </c>
      <c r="C381" s="4">
        <v>54</v>
      </c>
      <c r="D381" s="8">
        <v>1.3</v>
      </c>
      <c r="E381" s="4">
        <v>18</v>
      </c>
      <c r="F381" s="8">
        <v>1.08</v>
      </c>
      <c r="G381" s="4">
        <v>36</v>
      </c>
      <c r="H381" s="8">
        <v>1.47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83</v>
      </c>
      <c r="C384" s="4">
        <v>388</v>
      </c>
      <c r="D384" s="8">
        <v>13.43</v>
      </c>
      <c r="E384" s="4">
        <v>338</v>
      </c>
      <c r="F384" s="8">
        <v>21.01</v>
      </c>
      <c r="G384" s="4">
        <v>50</v>
      </c>
      <c r="H384" s="8">
        <v>3.92</v>
      </c>
      <c r="I384" s="4">
        <v>0</v>
      </c>
    </row>
    <row r="385" spans="1:9" x14ac:dyDescent="0.2">
      <c r="A385" s="2">
        <v>2</v>
      </c>
      <c r="B385" s="1" t="s">
        <v>82</v>
      </c>
      <c r="C385" s="4">
        <v>343</v>
      </c>
      <c r="D385" s="8">
        <v>11.88</v>
      </c>
      <c r="E385" s="4">
        <v>288</v>
      </c>
      <c r="F385" s="8">
        <v>17.899999999999999</v>
      </c>
      <c r="G385" s="4">
        <v>55</v>
      </c>
      <c r="H385" s="8">
        <v>4.32</v>
      </c>
      <c r="I385" s="4">
        <v>0</v>
      </c>
    </row>
    <row r="386" spans="1:9" x14ac:dyDescent="0.2">
      <c r="A386" s="2">
        <v>3</v>
      </c>
      <c r="B386" s="1" t="s">
        <v>68</v>
      </c>
      <c r="C386" s="4">
        <v>213</v>
      </c>
      <c r="D386" s="8">
        <v>7.38</v>
      </c>
      <c r="E386" s="4">
        <v>58</v>
      </c>
      <c r="F386" s="8">
        <v>3.6</v>
      </c>
      <c r="G386" s="4">
        <v>155</v>
      </c>
      <c r="H386" s="8">
        <v>12.17</v>
      </c>
      <c r="I386" s="4">
        <v>0</v>
      </c>
    </row>
    <row r="387" spans="1:9" x14ac:dyDescent="0.2">
      <c r="A387" s="2">
        <v>4</v>
      </c>
      <c r="B387" s="1" t="s">
        <v>77</v>
      </c>
      <c r="C387" s="4">
        <v>192</v>
      </c>
      <c r="D387" s="8">
        <v>6.65</v>
      </c>
      <c r="E387" s="4">
        <v>101</v>
      </c>
      <c r="F387" s="8">
        <v>6.28</v>
      </c>
      <c r="G387" s="4">
        <v>91</v>
      </c>
      <c r="H387" s="8">
        <v>7.14</v>
      </c>
      <c r="I387" s="4">
        <v>0</v>
      </c>
    </row>
    <row r="388" spans="1:9" x14ac:dyDescent="0.2">
      <c r="A388" s="2">
        <v>5</v>
      </c>
      <c r="B388" s="1" t="s">
        <v>79</v>
      </c>
      <c r="C388" s="4">
        <v>155</v>
      </c>
      <c r="D388" s="8">
        <v>5.37</v>
      </c>
      <c r="E388" s="4">
        <v>66</v>
      </c>
      <c r="F388" s="8">
        <v>4.0999999999999996</v>
      </c>
      <c r="G388" s="4">
        <v>88</v>
      </c>
      <c r="H388" s="8">
        <v>6.91</v>
      </c>
      <c r="I388" s="4">
        <v>1</v>
      </c>
    </row>
    <row r="389" spans="1:9" x14ac:dyDescent="0.2">
      <c r="A389" s="2">
        <v>6</v>
      </c>
      <c r="B389" s="1" t="s">
        <v>75</v>
      </c>
      <c r="C389" s="4">
        <v>148</v>
      </c>
      <c r="D389" s="8">
        <v>5.12</v>
      </c>
      <c r="E389" s="4">
        <v>117</v>
      </c>
      <c r="F389" s="8">
        <v>7.27</v>
      </c>
      <c r="G389" s="4">
        <v>31</v>
      </c>
      <c r="H389" s="8">
        <v>2.4300000000000002</v>
      </c>
      <c r="I389" s="4">
        <v>0</v>
      </c>
    </row>
    <row r="390" spans="1:9" x14ac:dyDescent="0.2">
      <c r="A390" s="2">
        <v>7</v>
      </c>
      <c r="B390" s="1" t="s">
        <v>85</v>
      </c>
      <c r="C390" s="4">
        <v>135</v>
      </c>
      <c r="D390" s="8">
        <v>4.67</v>
      </c>
      <c r="E390" s="4">
        <v>108</v>
      </c>
      <c r="F390" s="8">
        <v>6.71</v>
      </c>
      <c r="G390" s="4">
        <v>27</v>
      </c>
      <c r="H390" s="8">
        <v>2.12</v>
      </c>
      <c r="I390" s="4">
        <v>0</v>
      </c>
    </row>
    <row r="391" spans="1:9" x14ac:dyDescent="0.2">
      <c r="A391" s="2">
        <v>8</v>
      </c>
      <c r="B391" s="1" t="s">
        <v>69</v>
      </c>
      <c r="C391" s="4">
        <v>111</v>
      </c>
      <c r="D391" s="8">
        <v>3.84</v>
      </c>
      <c r="E391" s="4">
        <v>49</v>
      </c>
      <c r="F391" s="8">
        <v>3.05</v>
      </c>
      <c r="G391" s="4">
        <v>62</v>
      </c>
      <c r="H391" s="8">
        <v>4.87</v>
      </c>
      <c r="I391" s="4">
        <v>0</v>
      </c>
    </row>
    <row r="392" spans="1:9" x14ac:dyDescent="0.2">
      <c r="A392" s="2">
        <v>9</v>
      </c>
      <c r="B392" s="1" t="s">
        <v>76</v>
      </c>
      <c r="C392" s="4">
        <v>105</v>
      </c>
      <c r="D392" s="8">
        <v>3.64</v>
      </c>
      <c r="E392" s="4">
        <v>58</v>
      </c>
      <c r="F392" s="8">
        <v>3.6</v>
      </c>
      <c r="G392" s="4">
        <v>47</v>
      </c>
      <c r="H392" s="8">
        <v>3.69</v>
      </c>
      <c r="I392" s="4">
        <v>0</v>
      </c>
    </row>
    <row r="393" spans="1:9" x14ac:dyDescent="0.2">
      <c r="A393" s="2">
        <v>10</v>
      </c>
      <c r="B393" s="1" t="s">
        <v>86</v>
      </c>
      <c r="C393" s="4">
        <v>100</v>
      </c>
      <c r="D393" s="8">
        <v>3.46</v>
      </c>
      <c r="E393" s="4">
        <v>90</v>
      </c>
      <c r="F393" s="8">
        <v>5.59</v>
      </c>
      <c r="G393" s="4">
        <v>10</v>
      </c>
      <c r="H393" s="8">
        <v>0.78</v>
      </c>
      <c r="I393" s="4">
        <v>0</v>
      </c>
    </row>
    <row r="394" spans="1:9" x14ac:dyDescent="0.2">
      <c r="A394" s="2">
        <v>11</v>
      </c>
      <c r="B394" s="1" t="s">
        <v>70</v>
      </c>
      <c r="C394" s="4">
        <v>99</v>
      </c>
      <c r="D394" s="8">
        <v>3.43</v>
      </c>
      <c r="E394" s="4">
        <v>22</v>
      </c>
      <c r="F394" s="8">
        <v>1.37</v>
      </c>
      <c r="G394" s="4">
        <v>77</v>
      </c>
      <c r="H394" s="8">
        <v>6.04</v>
      </c>
      <c r="I394" s="4">
        <v>0</v>
      </c>
    </row>
    <row r="395" spans="1:9" x14ac:dyDescent="0.2">
      <c r="A395" s="2">
        <v>12</v>
      </c>
      <c r="B395" s="1" t="s">
        <v>74</v>
      </c>
      <c r="C395" s="4">
        <v>62</v>
      </c>
      <c r="D395" s="8">
        <v>2.15</v>
      </c>
      <c r="E395" s="4">
        <v>23</v>
      </c>
      <c r="F395" s="8">
        <v>1.43</v>
      </c>
      <c r="G395" s="4">
        <v>39</v>
      </c>
      <c r="H395" s="8">
        <v>3.06</v>
      </c>
      <c r="I395" s="4">
        <v>0</v>
      </c>
    </row>
    <row r="396" spans="1:9" x14ac:dyDescent="0.2">
      <c r="A396" s="2">
        <v>13</v>
      </c>
      <c r="B396" s="1" t="s">
        <v>80</v>
      </c>
      <c r="C396" s="4">
        <v>61</v>
      </c>
      <c r="D396" s="8">
        <v>2.11</v>
      </c>
      <c r="E396" s="4">
        <v>41</v>
      </c>
      <c r="F396" s="8">
        <v>2.5499999999999998</v>
      </c>
      <c r="G396" s="4">
        <v>20</v>
      </c>
      <c r="H396" s="8">
        <v>1.57</v>
      </c>
      <c r="I396" s="4">
        <v>0</v>
      </c>
    </row>
    <row r="397" spans="1:9" x14ac:dyDescent="0.2">
      <c r="A397" s="2">
        <v>14</v>
      </c>
      <c r="B397" s="1" t="s">
        <v>73</v>
      </c>
      <c r="C397" s="4">
        <v>50</v>
      </c>
      <c r="D397" s="8">
        <v>1.73</v>
      </c>
      <c r="E397" s="4">
        <v>3</v>
      </c>
      <c r="F397" s="8">
        <v>0.19</v>
      </c>
      <c r="G397" s="4">
        <v>47</v>
      </c>
      <c r="H397" s="8">
        <v>3.69</v>
      </c>
      <c r="I397" s="4">
        <v>0</v>
      </c>
    </row>
    <row r="398" spans="1:9" x14ac:dyDescent="0.2">
      <c r="A398" s="2">
        <v>15</v>
      </c>
      <c r="B398" s="1" t="s">
        <v>81</v>
      </c>
      <c r="C398" s="4">
        <v>45</v>
      </c>
      <c r="D398" s="8">
        <v>1.56</v>
      </c>
      <c r="E398" s="4">
        <v>17</v>
      </c>
      <c r="F398" s="8">
        <v>1.06</v>
      </c>
      <c r="G398" s="4">
        <v>28</v>
      </c>
      <c r="H398" s="8">
        <v>2.2000000000000002</v>
      </c>
      <c r="I398" s="4">
        <v>0</v>
      </c>
    </row>
    <row r="399" spans="1:9" x14ac:dyDescent="0.2">
      <c r="A399" s="2">
        <v>16</v>
      </c>
      <c r="B399" s="1" t="s">
        <v>87</v>
      </c>
      <c r="C399" s="4">
        <v>41</v>
      </c>
      <c r="D399" s="8">
        <v>1.42</v>
      </c>
      <c r="E399" s="4">
        <v>30</v>
      </c>
      <c r="F399" s="8">
        <v>1.86</v>
      </c>
      <c r="G399" s="4">
        <v>11</v>
      </c>
      <c r="H399" s="8">
        <v>0.86</v>
      </c>
      <c r="I399" s="4">
        <v>0</v>
      </c>
    </row>
    <row r="400" spans="1:9" x14ac:dyDescent="0.2">
      <c r="A400" s="2">
        <v>17</v>
      </c>
      <c r="B400" s="1" t="s">
        <v>78</v>
      </c>
      <c r="C400" s="4">
        <v>40</v>
      </c>
      <c r="D400" s="8">
        <v>1.39</v>
      </c>
      <c r="E400" s="4">
        <v>11</v>
      </c>
      <c r="F400" s="8">
        <v>0.68</v>
      </c>
      <c r="G400" s="4">
        <v>29</v>
      </c>
      <c r="H400" s="8">
        <v>2.2799999999999998</v>
      </c>
      <c r="I400" s="4">
        <v>0</v>
      </c>
    </row>
    <row r="401" spans="1:9" x14ac:dyDescent="0.2">
      <c r="A401" s="2">
        <v>18</v>
      </c>
      <c r="B401" s="1" t="s">
        <v>99</v>
      </c>
      <c r="C401" s="4">
        <v>35</v>
      </c>
      <c r="D401" s="8">
        <v>1.21</v>
      </c>
      <c r="E401" s="4">
        <v>30</v>
      </c>
      <c r="F401" s="8">
        <v>1.86</v>
      </c>
      <c r="G401" s="4">
        <v>5</v>
      </c>
      <c r="H401" s="8">
        <v>0.39</v>
      </c>
      <c r="I401" s="4">
        <v>0</v>
      </c>
    </row>
    <row r="402" spans="1:9" x14ac:dyDescent="0.2">
      <c r="A402" s="2">
        <v>19</v>
      </c>
      <c r="B402" s="1" t="s">
        <v>84</v>
      </c>
      <c r="C402" s="4">
        <v>34</v>
      </c>
      <c r="D402" s="8">
        <v>1.18</v>
      </c>
      <c r="E402" s="4">
        <v>17</v>
      </c>
      <c r="F402" s="8">
        <v>1.06</v>
      </c>
      <c r="G402" s="4">
        <v>17</v>
      </c>
      <c r="H402" s="8">
        <v>1.33</v>
      </c>
      <c r="I402" s="4">
        <v>0</v>
      </c>
    </row>
    <row r="403" spans="1:9" x14ac:dyDescent="0.2">
      <c r="A403" s="2">
        <v>20</v>
      </c>
      <c r="B403" s="1" t="s">
        <v>72</v>
      </c>
      <c r="C403" s="4">
        <v>32</v>
      </c>
      <c r="D403" s="8">
        <v>1.1100000000000001</v>
      </c>
      <c r="E403" s="4">
        <v>10</v>
      </c>
      <c r="F403" s="8">
        <v>0.62</v>
      </c>
      <c r="G403" s="4">
        <v>22</v>
      </c>
      <c r="H403" s="8">
        <v>1.73</v>
      </c>
      <c r="I403" s="4">
        <v>0</v>
      </c>
    </row>
    <row r="404" spans="1:9" x14ac:dyDescent="0.2">
      <c r="A404" s="1"/>
      <c r="C404" s="4"/>
      <c r="D404" s="8"/>
      <c r="E404" s="4"/>
      <c r="F404" s="8"/>
      <c r="G404" s="4"/>
      <c r="H404" s="8"/>
      <c r="I404" s="4"/>
    </row>
    <row r="405" spans="1:9" x14ac:dyDescent="0.2">
      <c r="A405" s="1" t="s">
        <v>18</v>
      </c>
      <c r="C405" s="4"/>
      <c r="D405" s="8"/>
      <c r="E405" s="4"/>
      <c r="F405" s="8"/>
      <c r="G405" s="4"/>
      <c r="H405" s="8"/>
      <c r="I405" s="4"/>
    </row>
    <row r="406" spans="1:9" x14ac:dyDescent="0.2">
      <c r="A406" s="2">
        <v>1</v>
      </c>
      <c r="B406" s="1" t="s">
        <v>83</v>
      </c>
      <c r="C406" s="4">
        <v>139</v>
      </c>
      <c r="D406" s="8">
        <v>10.96</v>
      </c>
      <c r="E406" s="4">
        <v>122</v>
      </c>
      <c r="F406" s="8">
        <v>19.3</v>
      </c>
      <c r="G406" s="4">
        <v>17</v>
      </c>
      <c r="H406" s="8">
        <v>2.7</v>
      </c>
      <c r="I406" s="4">
        <v>0</v>
      </c>
    </row>
    <row r="407" spans="1:9" x14ac:dyDescent="0.2">
      <c r="A407" s="2">
        <v>2</v>
      </c>
      <c r="B407" s="1" t="s">
        <v>82</v>
      </c>
      <c r="C407" s="4">
        <v>135</v>
      </c>
      <c r="D407" s="8">
        <v>10.65</v>
      </c>
      <c r="E407" s="4">
        <v>118</v>
      </c>
      <c r="F407" s="8">
        <v>18.670000000000002</v>
      </c>
      <c r="G407" s="4">
        <v>17</v>
      </c>
      <c r="H407" s="8">
        <v>2.7</v>
      </c>
      <c r="I407" s="4">
        <v>0</v>
      </c>
    </row>
    <row r="408" spans="1:9" x14ac:dyDescent="0.2">
      <c r="A408" s="2">
        <v>3</v>
      </c>
      <c r="B408" s="1" t="s">
        <v>70</v>
      </c>
      <c r="C408" s="4">
        <v>92</v>
      </c>
      <c r="D408" s="8">
        <v>7.26</v>
      </c>
      <c r="E408" s="4">
        <v>21</v>
      </c>
      <c r="F408" s="8">
        <v>3.32</v>
      </c>
      <c r="G408" s="4">
        <v>71</v>
      </c>
      <c r="H408" s="8">
        <v>11.29</v>
      </c>
      <c r="I408" s="4">
        <v>0</v>
      </c>
    </row>
    <row r="409" spans="1:9" x14ac:dyDescent="0.2">
      <c r="A409" s="2">
        <v>4</v>
      </c>
      <c r="B409" s="1" t="s">
        <v>69</v>
      </c>
      <c r="C409" s="4">
        <v>91</v>
      </c>
      <c r="D409" s="8">
        <v>7.18</v>
      </c>
      <c r="E409" s="4">
        <v>39</v>
      </c>
      <c r="F409" s="8">
        <v>6.17</v>
      </c>
      <c r="G409" s="4">
        <v>52</v>
      </c>
      <c r="H409" s="8">
        <v>8.27</v>
      </c>
      <c r="I409" s="4">
        <v>0</v>
      </c>
    </row>
    <row r="410" spans="1:9" x14ac:dyDescent="0.2">
      <c r="A410" s="2">
        <v>5</v>
      </c>
      <c r="B410" s="1" t="s">
        <v>68</v>
      </c>
      <c r="C410" s="4">
        <v>87</v>
      </c>
      <c r="D410" s="8">
        <v>6.86</v>
      </c>
      <c r="E410" s="4">
        <v>24</v>
      </c>
      <c r="F410" s="8">
        <v>3.8</v>
      </c>
      <c r="G410" s="4">
        <v>63</v>
      </c>
      <c r="H410" s="8">
        <v>10.02</v>
      </c>
      <c r="I410" s="4">
        <v>0</v>
      </c>
    </row>
    <row r="411" spans="1:9" x14ac:dyDescent="0.2">
      <c r="A411" s="2">
        <v>6</v>
      </c>
      <c r="B411" s="1" t="s">
        <v>79</v>
      </c>
      <c r="C411" s="4">
        <v>78</v>
      </c>
      <c r="D411" s="8">
        <v>6.15</v>
      </c>
      <c r="E411" s="4">
        <v>39</v>
      </c>
      <c r="F411" s="8">
        <v>6.17</v>
      </c>
      <c r="G411" s="4">
        <v>38</v>
      </c>
      <c r="H411" s="8">
        <v>6.04</v>
      </c>
      <c r="I411" s="4">
        <v>0</v>
      </c>
    </row>
    <row r="412" spans="1:9" x14ac:dyDescent="0.2">
      <c r="A412" s="2">
        <v>7</v>
      </c>
      <c r="B412" s="1" t="s">
        <v>77</v>
      </c>
      <c r="C412" s="4">
        <v>76</v>
      </c>
      <c r="D412" s="8">
        <v>5.99</v>
      </c>
      <c r="E412" s="4">
        <v>37</v>
      </c>
      <c r="F412" s="8">
        <v>5.85</v>
      </c>
      <c r="G412" s="4">
        <v>39</v>
      </c>
      <c r="H412" s="8">
        <v>6.2</v>
      </c>
      <c r="I412" s="4">
        <v>0</v>
      </c>
    </row>
    <row r="413" spans="1:9" x14ac:dyDescent="0.2">
      <c r="A413" s="2">
        <v>8</v>
      </c>
      <c r="B413" s="1" t="s">
        <v>75</v>
      </c>
      <c r="C413" s="4">
        <v>65</v>
      </c>
      <c r="D413" s="8">
        <v>5.13</v>
      </c>
      <c r="E413" s="4">
        <v>50</v>
      </c>
      <c r="F413" s="8">
        <v>7.91</v>
      </c>
      <c r="G413" s="4">
        <v>15</v>
      </c>
      <c r="H413" s="8">
        <v>2.38</v>
      </c>
      <c r="I413" s="4">
        <v>0</v>
      </c>
    </row>
    <row r="414" spans="1:9" x14ac:dyDescent="0.2">
      <c r="A414" s="2">
        <v>9</v>
      </c>
      <c r="B414" s="1" t="s">
        <v>86</v>
      </c>
      <c r="C414" s="4">
        <v>34</v>
      </c>
      <c r="D414" s="8">
        <v>2.68</v>
      </c>
      <c r="E414" s="4">
        <v>31</v>
      </c>
      <c r="F414" s="8">
        <v>4.91</v>
      </c>
      <c r="G414" s="4">
        <v>3</v>
      </c>
      <c r="H414" s="8">
        <v>0.48</v>
      </c>
      <c r="I414" s="4">
        <v>0</v>
      </c>
    </row>
    <row r="415" spans="1:9" x14ac:dyDescent="0.2">
      <c r="A415" s="2">
        <v>10</v>
      </c>
      <c r="B415" s="1" t="s">
        <v>76</v>
      </c>
      <c r="C415" s="4">
        <v>31</v>
      </c>
      <c r="D415" s="8">
        <v>2.44</v>
      </c>
      <c r="E415" s="4">
        <v>14</v>
      </c>
      <c r="F415" s="8">
        <v>2.2200000000000002</v>
      </c>
      <c r="G415" s="4">
        <v>17</v>
      </c>
      <c r="H415" s="8">
        <v>2.7</v>
      </c>
      <c r="I415" s="4">
        <v>0</v>
      </c>
    </row>
    <row r="416" spans="1:9" x14ac:dyDescent="0.2">
      <c r="A416" s="2">
        <v>11</v>
      </c>
      <c r="B416" s="1" t="s">
        <v>80</v>
      </c>
      <c r="C416" s="4">
        <v>30</v>
      </c>
      <c r="D416" s="8">
        <v>2.37</v>
      </c>
      <c r="E416" s="4">
        <v>17</v>
      </c>
      <c r="F416" s="8">
        <v>2.69</v>
      </c>
      <c r="G416" s="4">
        <v>13</v>
      </c>
      <c r="H416" s="8">
        <v>2.0699999999999998</v>
      </c>
      <c r="I416" s="4">
        <v>0</v>
      </c>
    </row>
    <row r="417" spans="1:9" x14ac:dyDescent="0.2">
      <c r="A417" s="2">
        <v>12</v>
      </c>
      <c r="B417" s="1" t="s">
        <v>87</v>
      </c>
      <c r="C417" s="4">
        <v>27</v>
      </c>
      <c r="D417" s="8">
        <v>2.13</v>
      </c>
      <c r="E417" s="4">
        <v>24</v>
      </c>
      <c r="F417" s="8">
        <v>3.8</v>
      </c>
      <c r="G417" s="4">
        <v>3</v>
      </c>
      <c r="H417" s="8">
        <v>0.48</v>
      </c>
      <c r="I417" s="4">
        <v>0</v>
      </c>
    </row>
    <row r="418" spans="1:9" x14ac:dyDescent="0.2">
      <c r="A418" s="2">
        <v>13</v>
      </c>
      <c r="B418" s="1" t="s">
        <v>72</v>
      </c>
      <c r="C418" s="4">
        <v>25</v>
      </c>
      <c r="D418" s="8">
        <v>1.97</v>
      </c>
      <c r="E418" s="4">
        <v>2</v>
      </c>
      <c r="F418" s="8">
        <v>0.32</v>
      </c>
      <c r="G418" s="4">
        <v>23</v>
      </c>
      <c r="H418" s="8">
        <v>3.66</v>
      </c>
      <c r="I418" s="4">
        <v>0</v>
      </c>
    </row>
    <row r="419" spans="1:9" x14ac:dyDescent="0.2">
      <c r="A419" s="2">
        <v>14</v>
      </c>
      <c r="B419" s="1" t="s">
        <v>81</v>
      </c>
      <c r="C419" s="4">
        <v>24</v>
      </c>
      <c r="D419" s="8">
        <v>1.89</v>
      </c>
      <c r="E419" s="4">
        <v>11</v>
      </c>
      <c r="F419" s="8">
        <v>1.74</v>
      </c>
      <c r="G419" s="4">
        <v>11</v>
      </c>
      <c r="H419" s="8">
        <v>1.75</v>
      </c>
      <c r="I419" s="4">
        <v>0</v>
      </c>
    </row>
    <row r="420" spans="1:9" x14ac:dyDescent="0.2">
      <c r="A420" s="2">
        <v>14</v>
      </c>
      <c r="B420" s="1" t="s">
        <v>84</v>
      </c>
      <c r="C420" s="4">
        <v>24</v>
      </c>
      <c r="D420" s="8">
        <v>1.89</v>
      </c>
      <c r="E420" s="4">
        <v>10</v>
      </c>
      <c r="F420" s="8">
        <v>1.58</v>
      </c>
      <c r="G420" s="4">
        <v>13</v>
      </c>
      <c r="H420" s="8">
        <v>2.0699999999999998</v>
      </c>
      <c r="I420" s="4">
        <v>0</v>
      </c>
    </row>
    <row r="421" spans="1:9" x14ac:dyDescent="0.2">
      <c r="A421" s="2">
        <v>16</v>
      </c>
      <c r="B421" s="1" t="s">
        <v>85</v>
      </c>
      <c r="C421" s="4">
        <v>23</v>
      </c>
      <c r="D421" s="8">
        <v>1.81</v>
      </c>
      <c r="E421" s="4">
        <v>13</v>
      </c>
      <c r="F421" s="8">
        <v>2.06</v>
      </c>
      <c r="G421" s="4">
        <v>10</v>
      </c>
      <c r="H421" s="8">
        <v>1.59</v>
      </c>
      <c r="I421" s="4">
        <v>0</v>
      </c>
    </row>
    <row r="422" spans="1:9" x14ac:dyDescent="0.2">
      <c r="A422" s="2">
        <v>17</v>
      </c>
      <c r="B422" s="1" t="s">
        <v>74</v>
      </c>
      <c r="C422" s="4">
        <v>21</v>
      </c>
      <c r="D422" s="8">
        <v>1.66</v>
      </c>
      <c r="E422" s="4">
        <v>9</v>
      </c>
      <c r="F422" s="8">
        <v>1.42</v>
      </c>
      <c r="G422" s="4">
        <v>12</v>
      </c>
      <c r="H422" s="8">
        <v>1.91</v>
      </c>
      <c r="I422" s="4">
        <v>0</v>
      </c>
    </row>
    <row r="423" spans="1:9" x14ac:dyDescent="0.2">
      <c r="A423" s="2">
        <v>17</v>
      </c>
      <c r="B423" s="1" t="s">
        <v>96</v>
      </c>
      <c r="C423" s="4">
        <v>21</v>
      </c>
      <c r="D423" s="8">
        <v>1.66</v>
      </c>
      <c r="E423" s="4">
        <v>1</v>
      </c>
      <c r="F423" s="8">
        <v>0.16</v>
      </c>
      <c r="G423" s="4">
        <v>20</v>
      </c>
      <c r="H423" s="8">
        <v>3.18</v>
      </c>
      <c r="I423" s="4">
        <v>0</v>
      </c>
    </row>
    <row r="424" spans="1:9" x14ac:dyDescent="0.2">
      <c r="A424" s="2">
        <v>19</v>
      </c>
      <c r="B424" s="1" t="s">
        <v>101</v>
      </c>
      <c r="C424" s="4">
        <v>16</v>
      </c>
      <c r="D424" s="8">
        <v>1.26</v>
      </c>
      <c r="E424" s="4">
        <v>1</v>
      </c>
      <c r="F424" s="8">
        <v>0.16</v>
      </c>
      <c r="G424" s="4">
        <v>15</v>
      </c>
      <c r="H424" s="8">
        <v>2.38</v>
      </c>
      <c r="I424" s="4">
        <v>0</v>
      </c>
    </row>
    <row r="425" spans="1:9" x14ac:dyDescent="0.2">
      <c r="A425" s="2">
        <v>19</v>
      </c>
      <c r="B425" s="1" t="s">
        <v>78</v>
      </c>
      <c r="C425" s="4">
        <v>16</v>
      </c>
      <c r="D425" s="8">
        <v>1.26</v>
      </c>
      <c r="E425" s="4">
        <v>1</v>
      </c>
      <c r="F425" s="8">
        <v>0.16</v>
      </c>
      <c r="G425" s="4">
        <v>15</v>
      </c>
      <c r="H425" s="8">
        <v>2.38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82</v>
      </c>
      <c r="C428" s="4">
        <v>102</v>
      </c>
      <c r="D428" s="8">
        <v>13.86</v>
      </c>
      <c r="E428" s="4">
        <v>100</v>
      </c>
      <c r="F428" s="8">
        <v>19.760000000000002</v>
      </c>
      <c r="G428" s="4">
        <v>2</v>
      </c>
      <c r="H428" s="8">
        <v>0.88</v>
      </c>
      <c r="I428" s="4">
        <v>0</v>
      </c>
    </row>
    <row r="429" spans="1:9" x14ac:dyDescent="0.2">
      <c r="A429" s="2">
        <v>2</v>
      </c>
      <c r="B429" s="1" t="s">
        <v>83</v>
      </c>
      <c r="C429" s="4">
        <v>88</v>
      </c>
      <c r="D429" s="8">
        <v>11.96</v>
      </c>
      <c r="E429" s="4">
        <v>79</v>
      </c>
      <c r="F429" s="8">
        <v>15.61</v>
      </c>
      <c r="G429" s="4">
        <v>9</v>
      </c>
      <c r="H429" s="8">
        <v>3.96</v>
      </c>
      <c r="I429" s="4">
        <v>0</v>
      </c>
    </row>
    <row r="430" spans="1:9" x14ac:dyDescent="0.2">
      <c r="A430" s="2">
        <v>3</v>
      </c>
      <c r="B430" s="1" t="s">
        <v>68</v>
      </c>
      <c r="C430" s="4">
        <v>62</v>
      </c>
      <c r="D430" s="8">
        <v>8.42</v>
      </c>
      <c r="E430" s="4">
        <v>30</v>
      </c>
      <c r="F430" s="8">
        <v>5.93</v>
      </c>
      <c r="G430" s="4">
        <v>32</v>
      </c>
      <c r="H430" s="8">
        <v>14.1</v>
      </c>
      <c r="I430" s="4">
        <v>0</v>
      </c>
    </row>
    <row r="431" spans="1:9" x14ac:dyDescent="0.2">
      <c r="A431" s="2">
        <v>4</v>
      </c>
      <c r="B431" s="1" t="s">
        <v>77</v>
      </c>
      <c r="C431" s="4">
        <v>61</v>
      </c>
      <c r="D431" s="8">
        <v>8.2899999999999991</v>
      </c>
      <c r="E431" s="4">
        <v>44</v>
      </c>
      <c r="F431" s="8">
        <v>8.6999999999999993</v>
      </c>
      <c r="G431" s="4">
        <v>17</v>
      </c>
      <c r="H431" s="8">
        <v>7.49</v>
      </c>
      <c r="I431" s="4">
        <v>0</v>
      </c>
    </row>
    <row r="432" spans="1:9" x14ac:dyDescent="0.2">
      <c r="A432" s="2">
        <v>5</v>
      </c>
      <c r="B432" s="1" t="s">
        <v>75</v>
      </c>
      <c r="C432" s="4">
        <v>44</v>
      </c>
      <c r="D432" s="8">
        <v>5.98</v>
      </c>
      <c r="E432" s="4">
        <v>38</v>
      </c>
      <c r="F432" s="8">
        <v>7.51</v>
      </c>
      <c r="G432" s="4">
        <v>6</v>
      </c>
      <c r="H432" s="8">
        <v>2.64</v>
      </c>
      <c r="I432" s="4">
        <v>0</v>
      </c>
    </row>
    <row r="433" spans="1:9" x14ac:dyDescent="0.2">
      <c r="A433" s="2">
        <v>6</v>
      </c>
      <c r="B433" s="1" t="s">
        <v>69</v>
      </c>
      <c r="C433" s="4">
        <v>43</v>
      </c>
      <c r="D433" s="8">
        <v>5.84</v>
      </c>
      <c r="E433" s="4">
        <v>27</v>
      </c>
      <c r="F433" s="8">
        <v>5.34</v>
      </c>
      <c r="G433" s="4">
        <v>16</v>
      </c>
      <c r="H433" s="8">
        <v>7.05</v>
      </c>
      <c r="I433" s="4">
        <v>0</v>
      </c>
    </row>
    <row r="434" spans="1:9" x14ac:dyDescent="0.2">
      <c r="A434" s="2">
        <v>7</v>
      </c>
      <c r="B434" s="1" t="s">
        <v>79</v>
      </c>
      <c r="C434" s="4">
        <v>35</v>
      </c>
      <c r="D434" s="8">
        <v>4.76</v>
      </c>
      <c r="E434" s="4">
        <v>27</v>
      </c>
      <c r="F434" s="8">
        <v>5.34</v>
      </c>
      <c r="G434" s="4">
        <v>8</v>
      </c>
      <c r="H434" s="8">
        <v>3.52</v>
      </c>
      <c r="I434" s="4">
        <v>0</v>
      </c>
    </row>
    <row r="435" spans="1:9" x14ac:dyDescent="0.2">
      <c r="A435" s="2">
        <v>8</v>
      </c>
      <c r="B435" s="1" t="s">
        <v>70</v>
      </c>
      <c r="C435" s="4">
        <v>31</v>
      </c>
      <c r="D435" s="8">
        <v>4.21</v>
      </c>
      <c r="E435" s="4">
        <v>12</v>
      </c>
      <c r="F435" s="8">
        <v>2.37</v>
      </c>
      <c r="G435" s="4">
        <v>19</v>
      </c>
      <c r="H435" s="8">
        <v>8.3699999999999992</v>
      </c>
      <c r="I435" s="4">
        <v>0</v>
      </c>
    </row>
    <row r="436" spans="1:9" x14ac:dyDescent="0.2">
      <c r="A436" s="2">
        <v>9</v>
      </c>
      <c r="B436" s="1" t="s">
        <v>76</v>
      </c>
      <c r="C436" s="4">
        <v>25</v>
      </c>
      <c r="D436" s="8">
        <v>3.4</v>
      </c>
      <c r="E436" s="4">
        <v>18</v>
      </c>
      <c r="F436" s="8">
        <v>3.56</v>
      </c>
      <c r="G436" s="4">
        <v>7</v>
      </c>
      <c r="H436" s="8">
        <v>3.08</v>
      </c>
      <c r="I436" s="4">
        <v>0</v>
      </c>
    </row>
    <row r="437" spans="1:9" x14ac:dyDescent="0.2">
      <c r="A437" s="2">
        <v>10</v>
      </c>
      <c r="B437" s="1" t="s">
        <v>86</v>
      </c>
      <c r="C437" s="4">
        <v>23</v>
      </c>
      <c r="D437" s="8">
        <v>3.13</v>
      </c>
      <c r="E437" s="4">
        <v>22</v>
      </c>
      <c r="F437" s="8">
        <v>4.3499999999999996</v>
      </c>
      <c r="G437" s="4">
        <v>1</v>
      </c>
      <c r="H437" s="8">
        <v>0.44</v>
      </c>
      <c r="I437" s="4">
        <v>0</v>
      </c>
    </row>
    <row r="438" spans="1:9" x14ac:dyDescent="0.2">
      <c r="A438" s="2">
        <v>10</v>
      </c>
      <c r="B438" s="1" t="s">
        <v>87</v>
      </c>
      <c r="C438" s="4">
        <v>23</v>
      </c>
      <c r="D438" s="8">
        <v>3.13</v>
      </c>
      <c r="E438" s="4">
        <v>22</v>
      </c>
      <c r="F438" s="8">
        <v>4.3499999999999996</v>
      </c>
      <c r="G438" s="4">
        <v>1</v>
      </c>
      <c r="H438" s="8">
        <v>0.44</v>
      </c>
      <c r="I438" s="4">
        <v>0</v>
      </c>
    </row>
    <row r="439" spans="1:9" x14ac:dyDescent="0.2">
      <c r="A439" s="2">
        <v>12</v>
      </c>
      <c r="B439" s="1" t="s">
        <v>74</v>
      </c>
      <c r="C439" s="4">
        <v>17</v>
      </c>
      <c r="D439" s="8">
        <v>2.31</v>
      </c>
      <c r="E439" s="4">
        <v>13</v>
      </c>
      <c r="F439" s="8">
        <v>2.57</v>
      </c>
      <c r="G439" s="4">
        <v>4</v>
      </c>
      <c r="H439" s="8">
        <v>1.76</v>
      </c>
      <c r="I439" s="4">
        <v>0</v>
      </c>
    </row>
    <row r="440" spans="1:9" x14ac:dyDescent="0.2">
      <c r="A440" s="2">
        <v>13</v>
      </c>
      <c r="B440" s="1" t="s">
        <v>85</v>
      </c>
      <c r="C440" s="4">
        <v>16</v>
      </c>
      <c r="D440" s="8">
        <v>2.17</v>
      </c>
      <c r="E440" s="4">
        <v>12</v>
      </c>
      <c r="F440" s="8">
        <v>2.37</v>
      </c>
      <c r="G440" s="4">
        <v>4</v>
      </c>
      <c r="H440" s="8">
        <v>1.76</v>
      </c>
      <c r="I440" s="4">
        <v>0</v>
      </c>
    </row>
    <row r="441" spans="1:9" x14ac:dyDescent="0.2">
      <c r="A441" s="2">
        <v>14</v>
      </c>
      <c r="B441" s="1" t="s">
        <v>81</v>
      </c>
      <c r="C441" s="4">
        <v>14</v>
      </c>
      <c r="D441" s="8">
        <v>1.9</v>
      </c>
      <c r="E441" s="4">
        <v>2</v>
      </c>
      <c r="F441" s="8">
        <v>0.4</v>
      </c>
      <c r="G441" s="4">
        <v>12</v>
      </c>
      <c r="H441" s="8">
        <v>5.29</v>
      </c>
      <c r="I441" s="4">
        <v>0</v>
      </c>
    </row>
    <row r="442" spans="1:9" x14ac:dyDescent="0.2">
      <c r="A442" s="2">
        <v>15</v>
      </c>
      <c r="B442" s="1" t="s">
        <v>80</v>
      </c>
      <c r="C442" s="4">
        <v>13</v>
      </c>
      <c r="D442" s="8">
        <v>1.77</v>
      </c>
      <c r="E442" s="4">
        <v>11</v>
      </c>
      <c r="F442" s="8">
        <v>2.17</v>
      </c>
      <c r="G442" s="4">
        <v>2</v>
      </c>
      <c r="H442" s="8">
        <v>0.88</v>
      </c>
      <c r="I442" s="4">
        <v>0</v>
      </c>
    </row>
    <row r="443" spans="1:9" x14ac:dyDescent="0.2">
      <c r="A443" s="2">
        <v>16</v>
      </c>
      <c r="B443" s="1" t="s">
        <v>97</v>
      </c>
      <c r="C443" s="4">
        <v>12</v>
      </c>
      <c r="D443" s="8">
        <v>1.63</v>
      </c>
      <c r="E443" s="4">
        <v>5</v>
      </c>
      <c r="F443" s="8">
        <v>0.99</v>
      </c>
      <c r="G443" s="4">
        <v>7</v>
      </c>
      <c r="H443" s="8">
        <v>3.08</v>
      </c>
      <c r="I443" s="4">
        <v>0</v>
      </c>
    </row>
    <row r="444" spans="1:9" x14ac:dyDescent="0.2">
      <c r="A444" s="2">
        <v>17</v>
      </c>
      <c r="B444" s="1" t="s">
        <v>71</v>
      </c>
      <c r="C444" s="4">
        <v>10</v>
      </c>
      <c r="D444" s="8">
        <v>1.36</v>
      </c>
      <c r="E444" s="4">
        <v>4</v>
      </c>
      <c r="F444" s="8">
        <v>0.79</v>
      </c>
      <c r="G444" s="4">
        <v>6</v>
      </c>
      <c r="H444" s="8">
        <v>2.64</v>
      </c>
      <c r="I444" s="4">
        <v>0</v>
      </c>
    </row>
    <row r="445" spans="1:9" x14ac:dyDescent="0.2">
      <c r="A445" s="2">
        <v>18</v>
      </c>
      <c r="B445" s="1" t="s">
        <v>72</v>
      </c>
      <c r="C445" s="4">
        <v>8</v>
      </c>
      <c r="D445" s="8">
        <v>1.0900000000000001</v>
      </c>
      <c r="E445" s="4">
        <v>1</v>
      </c>
      <c r="F445" s="8">
        <v>0.2</v>
      </c>
      <c r="G445" s="4">
        <v>7</v>
      </c>
      <c r="H445" s="8">
        <v>3.08</v>
      </c>
      <c r="I445" s="4">
        <v>0</v>
      </c>
    </row>
    <row r="446" spans="1:9" x14ac:dyDescent="0.2">
      <c r="A446" s="2">
        <v>18</v>
      </c>
      <c r="B446" s="1" t="s">
        <v>73</v>
      </c>
      <c r="C446" s="4">
        <v>8</v>
      </c>
      <c r="D446" s="8">
        <v>1.0900000000000001</v>
      </c>
      <c r="E446" s="4">
        <v>1</v>
      </c>
      <c r="F446" s="8">
        <v>0.2</v>
      </c>
      <c r="G446" s="4">
        <v>7</v>
      </c>
      <c r="H446" s="8">
        <v>3.08</v>
      </c>
      <c r="I446" s="4">
        <v>0</v>
      </c>
    </row>
    <row r="447" spans="1:9" x14ac:dyDescent="0.2">
      <c r="A447" s="2">
        <v>18</v>
      </c>
      <c r="B447" s="1" t="s">
        <v>103</v>
      </c>
      <c r="C447" s="4">
        <v>8</v>
      </c>
      <c r="D447" s="8">
        <v>1.0900000000000001</v>
      </c>
      <c r="E447" s="4">
        <v>1</v>
      </c>
      <c r="F447" s="8">
        <v>0.2</v>
      </c>
      <c r="G447" s="4">
        <v>7</v>
      </c>
      <c r="H447" s="8">
        <v>3.08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83</v>
      </c>
      <c r="C450" s="4">
        <v>153</v>
      </c>
      <c r="D450" s="8">
        <v>12.58</v>
      </c>
      <c r="E450" s="4">
        <v>121</v>
      </c>
      <c r="F450" s="8">
        <v>20.170000000000002</v>
      </c>
      <c r="G450" s="4">
        <v>32</v>
      </c>
      <c r="H450" s="8">
        <v>5.22</v>
      </c>
      <c r="I450" s="4">
        <v>0</v>
      </c>
    </row>
    <row r="451" spans="1:9" x14ac:dyDescent="0.2">
      <c r="A451" s="2">
        <v>2</v>
      </c>
      <c r="B451" s="1" t="s">
        <v>85</v>
      </c>
      <c r="C451" s="4">
        <v>116</v>
      </c>
      <c r="D451" s="8">
        <v>9.5399999999999991</v>
      </c>
      <c r="E451" s="4">
        <v>85</v>
      </c>
      <c r="F451" s="8">
        <v>14.17</v>
      </c>
      <c r="G451" s="4">
        <v>30</v>
      </c>
      <c r="H451" s="8">
        <v>4.8899999999999997</v>
      </c>
      <c r="I451" s="4">
        <v>1</v>
      </c>
    </row>
    <row r="452" spans="1:9" x14ac:dyDescent="0.2">
      <c r="A452" s="2">
        <v>3</v>
      </c>
      <c r="B452" s="1" t="s">
        <v>82</v>
      </c>
      <c r="C452" s="4">
        <v>87</v>
      </c>
      <c r="D452" s="8">
        <v>7.15</v>
      </c>
      <c r="E452" s="4">
        <v>67</v>
      </c>
      <c r="F452" s="8">
        <v>11.17</v>
      </c>
      <c r="G452" s="4">
        <v>20</v>
      </c>
      <c r="H452" s="8">
        <v>3.26</v>
      </c>
      <c r="I452" s="4">
        <v>0</v>
      </c>
    </row>
    <row r="453" spans="1:9" x14ac:dyDescent="0.2">
      <c r="A453" s="2">
        <v>4</v>
      </c>
      <c r="B453" s="1" t="s">
        <v>68</v>
      </c>
      <c r="C453" s="4">
        <v>78</v>
      </c>
      <c r="D453" s="8">
        <v>6.41</v>
      </c>
      <c r="E453" s="4">
        <v>19</v>
      </c>
      <c r="F453" s="8">
        <v>3.17</v>
      </c>
      <c r="G453" s="4">
        <v>59</v>
      </c>
      <c r="H453" s="8">
        <v>9.6199999999999992</v>
      </c>
      <c r="I453" s="4">
        <v>0</v>
      </c>
    </row>
    <row r="454" spans="1:9" x14ac:dyDescent="0.2">
      <c r="A454" s="2">
        <v>4</v>
      </c>
      <c r="B454" s="1" t="s">
        <v>79</v>
      </c>
      <c r="C454" s="4">
        <v>78</v>
      </c>
      <c r="D454" s="8">
        <v>6.41</v>
      </c>
      <c r="E454" s="4">
        <v>13</v>
      </c>
      <c r="F454" s="8">
        <v>2.17</v>
      </c>
      <c r="G454" s="4">
        <v>65</v>
      </c>
      <c r="H454" s="8">
        <v>10.6</v>
      </c>
      <c r="I454" s="4">
        <v>0</v>
      </c>
    </row>
    <row r="455" spans="1:9" x14ac:dyDescent="0.2">
      <c r="A455" s="2">
        <v>6</v>
      </c>
      <c r="B455" s="1" t="s">
        <v>80</v>
      </c>
      <c r="C455" s="4">
        <v>63</v>
      </c>
      <c r="D455" s="8">
        <v>5.18</v>
      </c>
      <c r="E455" s="4">
        <v>39</v>
      </c>
      <c r="F455" s="8">
        <v>6.5</v>
      </c>
      <c r="G455" s="4">
        <v>24</v>
      </c>
      <c r="H455" s="8">
        <v>3.92</v>
      </c>
      <c r="I455" s="4">
        <v>0</v>
      </c>
    </row>
    <row r="456" spans="1:9" x14ac:dyDescent="0.2">
      <c r="A456" s="2">
        <v>7</v>
      </c>
      <c r="B456" s="1" t="s">
        <v>86</v>
      </c>
      <c r="C456" s="4">
        <v>62</v>
      </c>
      <c r="D456" s="8">
        <v>5.0999999999999996</v>
      </c>
      <c r="E456" s="4">
        <v>56</v>
      </c>
      <c r="F456" s="8">
        <v>9.33</v>
      </c>
      <c r="G456" s="4">
        <v>6</v>
      </c>
      <c r="H456" s="8">
        <v>0.98</v>
      </c>
      <c r="I456" s="4">
        <v>0</v>
      </c>
    </row>
    <row r="457" spans="1:9" x14ac:dyDescent="0.2">
      <c r="A457" s="2">
        <v>8</v>
      </c>
      <c r="B457" s="1" t="s">
        <v>69</v>
      </c>
      <c r="C457" s="4">
        <v>58</v>
      </c>
      <c r="D457" s="8">
        <v>4.7699999999999996</v>
      </c>
      <c r="E457" s="4">
        <v>21</v>
      </c>
      <c r="F457" s="8">
        <v>3.5</v>
      </c>
      <c r="G457" s="4">
        <v>37</v>
      </c>
      <c r="H457" s="8">
        <v>6.04</v>
      </c>
      <c r="I457" s="4">
        <v>0</v>
      </c>
    </row>
    <row r="458" spans="1:9" x14ac:dyDescent="0.2">
      <c r="A458" s="2">
        <v>9</v>
      </c>
      <c r="B458" s="1" t="s">
        <v>77</v>
      </c>
      <c r="C458" s="4">
        <v>57</v>
      </c>
      <c r="D458" s="8">
        <v>4.6900000000000004</v>
      </c>
      <c r="E458" s="4">
        <v>26</v>
      </c>
      <c r="F458" s="8">
        <v>4.33</v>
      </c>
      <c r="G458" s="4">
        <v>31</v>
      </c>
      <c r="H458" s="8">
        <v>5.0599999999999996</v>
      </c>
      <c r="I458" s="4">
        <v>0</v>
      </c>
    </row>
    <row r="459" spans="1:9" x14ac:dyDescent="0.2">
      <c r="A459" s="2">
        <v>10</v>
      </c>
      <c r="B459" s="1" t="s">
        <v>81</v>
      </c>
      <c r="C459" s="4">
        <v>41</v>
      </c>
      <c r="D459" s="8">
        <v>3.37</v>
      </c>
      <c r="E459" s="4">
        <v>21</v>
      </c>
      <c r="F459" s="8">
        <v>3.5</v>
      </c>
      <c r="G459" s="4">
        <v>19</v>
      </c>
      <c r="H459" s="8">
        <v>3.1</v>
      </c>
      <c r="I459" s="4">
        <v>0</v>
      </c>
    </row>
    <row r="460" spans="1:9" x14ac:dyDescent="0.2">
      <c r="A460" s="2">
        <v>11</v>
      </c>
      <c r="B460" s="1" t="s">
        <v>78</v>
      </c>
      <c r="C460" s="4">
        <v>38</v>
      </c>
      <c r="D460" s="8">
        <v>3.13</v>
      </c>
      <c r="E460" s="4">
        <v>4</v>
      </c>
      <c r="F460" s="8">
        <v>0.67</v>
      </c>
      <c r="G460" s="4">
        <v>34</v>
      </c>
      <c r="H460" s="8">
        <v>5.55</v>
      </c>
      <c r="I460" s="4">
        <v>0</v>
      </c>
    </row>
    <row r="461" spans="1:9" x14ac:dyDescent="0.2">
      <c r="A461" s="2">
        <v>12</v>
      </c>
      <c r="B461" s="1" t="s">
        <v>70</v>
      </c>
      <c r="C461" s="4">
        <v>37</v>
      </c>
      <c r="D461" s="8">
        <v>3.04</v>
      </c>
      <c r="E461" s="4">
        <v>8</v>
      </c>
      <c r="F461" s="8">
        <v>1.33</v>
      </c>
      <c r="G461" s="4">
        <v>29</v>
      </c>
      <c r="H461" s="8">
        <v>4.7300000000000004</v>
      </c>
      <c r="I461" s="4">
        <v>0</v>
      </c>
    </row>
    <row r="462" spans="1:9" x14ac:dyDescent="0.2">
      <c r="A462" s="2">
        <v>13</v>
      </c>
      <c r="B462" s="1" t="s">
        <v>75</v>
      </c>
      <c r="C462" s="4">
        <v>33</v>
      </c>
      <c r="D462" s="8">
        <v>2.71</v>
      </c>
      <c r="E462" s="4">
        <v>18</v>
      </c>
      <c r="F462" s="8">
        <v>3</v>
      </c>
      <c r="G462" s="4">
        <v>15</v>
      </c>
      <c r="H462" s="8">
        <v>2.4500000000000002</v>
      </c>
      <c r="I462" s="4">
        <v>0</v>
      </c>
    </row>
    <row r="463" spans="1:9" x14ac:dyDescent="0.2">
      <c r="A463" s="2">
        <v>14</v>
      </c>
      <c r="B463" s="1" t="s">
        <v>74</v>
      </c>
      <c r="C463" s="4">
        <v>29</v>
      </c>
      <c r="D463" s="8">
        <v>2.38</v>
      </c>
      <c r="E463" s="4">
        <v>10</v>
      </c>
      <c r="F463" s="8">
        <v>1.67</v>
      </c>
      <c r="G463" s="4">
        <v>19</v>
      </c>
      <c r="H463" s="8">
        <v>3.1</v>
      </c>
      <c r="I463" s="4">
        <v>0</v>
      </c>
    </row>
    <row r="464" spans="1:9" x14ac:dyDescent="0.2">
      <c r="A464" s="2">
        <v>14</v>
      </c>
      <c r="B464" s="1" t="s">
        <v>76</v>
      </c>
      <c r="C464" s="4">
        <v>29</v>
      </c>
      <c r="D464" s="8">
        <v>2.38</v>
      </c>
      <c r="E464" s="4">
        <v>18</v>
      </c>
      <c r="F464" s="8">
        <v>3</v>
      </c>
      <c r="G464" s="4">
        <v>11</v>
      </c>
      <c r="H464" s="8">
        <v>1.79</v>
      </c>
      <c r="I464" s="4">
        <v>0</v>
      </c>
    </row>
    <row r="465" spans="1:9" x14ac:dyDescent="0.2">
      <c r="A465" s="2">
        <v>16</v>
      </c>
      <c r="B465" s="1" t="s">
        <v>101</v>
      </c>
      <c r="C465" s="4">
        <v>23</v>
      </c>
      <c r="D465" s="8">
        <v>1.89</v>
      </c>
      <c r="E465" s="4">
        <v>12</v>
      </c>
      <c r="F465" s="8">
        <v>2</v>
      </c>
      <c r="G465" s="4">
        <v>11</v>
      </c>
      <c r="H465" s="8">
        <v>1.79</v>
      </c>
      <c r="I465" s="4">
        <v>0</v>
      </c>
    </row>
    <row r="466" spans="1:9" x14ac:dyDescent="0.2">
      <c r="A466" s="2">
        <v>17</v>
      </c>
      <c r="B466" s="1" t="s">
        <v>73</v>
      </c>
      <c r="C466" s="4">
        <v>21</v>
      </c>
      <c r="D466" s="8">
        <v>1.73</v>
      </c>
      <c r="E466" s="4">
        <v>0</v>
      </c>
      <c r="F466" s="8">
        <v>0</v>
      </c>
      <c r="G466" s="4">
        <v>21</v>
      </c>
      <c r="H466" s="8">
        <v>3.43</v>
      </c>
      <c r="I466" s="4">
        <v>0</v>
      </c>
    </row>
    <row r="467" spans="1:9" x14ac:dyDescent="0.2">
      <c r="A467" s="2">
        <v>18</v>
      </c>
      <c r="B467" s="1" t="s">
        <v>84</v>
      </c>
      <c r="C467" s="4">
        <v>17</v>
      </c>
      <c r="D467" s="8">
        <v>1.4</v>
      </c>
      <c r="E467" s="4">
        <v>7</v>
      </c>
      <c r="F467" s="8">
        <v>1.17</v>
      </c>
      <c r="G467" s="4">
        <v>10</v>
      </c>
      <c r="H467" s="8">
        <v>1.63</v>
      </c>
      <c r="I467" s="4">
        <v>0</v>
      </c>
    </row>
    <row r="468" spans="1:9" x14ac:dyDescent="0.2">
      <c r="A468" s="2">
        <v>19</v>
      </c>
      <c r="B468" s="1" t="s">
        <v>89</v>
      </c>
      <c r="C468" s="4">
        <v>15</v>
      </c>
      <c r="D468" s="8">
        <v>1.23</v>
      </c>
      <c r="E468" s="4">
        <v>4</v>
      </c>
      <c r="F468" s="8">
        <v>0.67</v>
      </c>
      <c r="G468" s="4">
        <v>11</v>
      </c>
      <c r="H468" s="8">
        <v>1.79</v>
      </c>
      <c r="I468" s="4">
        <v>0</v>
      </c>
    </row>
    <row r="469" spans="1:9" x14ac:dyDescent="0.2">
      <c r="A469" s="2">
        <v>20</v>
      </c>
      <c r="B469" s="1" t="s">
        <v>88</v>
      </c>
      <c r="C469" s="4">
        <v>14</v>
      </c>
      <c r="D469" s="8">
        <v>1.1499999999999999</v>
      </c>
      <c r="E469" s="4">
        <v>5</v>
      </c>
      <c r="F469" s="8">
        <v>0.83</v>
      </c>
      <c r="G469" s="4">
        <v>9</v>
      </c>
      <c r="H469" s="8">
        <v>1.47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83</v>
      </c>
      <c r="C472" s="4">
        <v>106</v>
      </c>
      <c r="D472" s="8">
        <v>10.97</v>
      </c>
      <c r="E472" s="4">
        <v>101</v>
      </c>
      <c r="F472" s="8">
        <v>15.88</v>
      </c>
      <c r="G472" s="4">
        <v>5</v>
      </c>
      <c r="H472" s="8">
        <v>1.56</v>
      </c>
      <c r="I472" s="4">
        <v>0</v>
      </c>
    </row>
    <row r="473" spans="1:9" x14ac:dyDescent="0.2">
      <c r="A473" s="2">
        <v>2</v>
      </c>
      <c r="B473" s="1" t="s">
        <v>68</v>
      </c>
      <c r="C473" s="4">
        <v>103</v>
      </c>
      <c r="D473" s="8">
        <v>10.66</v>
      </c>
      <c r="E473" s="4">
        <v>53</v>
      </c>
      <c r="F473" s="8">
        <v>8.33</v>
      </c>
      <c r="G473" s="4">
        <v>50</v>
      </c>
      <c r="H473" s="8">
        <v>15.58</v>
      </c>
      <c r="I473" s="4">
        <v>0</v>
      </c>
    </row>
    <row r="474" spans="1:9" x14ac:dyDescent="0.2">
      <c r="A474" s="2">
        <v>3</v>
      </c>
      <c r="B474" s="1" t="s">
        <v>77</v>
      </c>
      <c r="C474" s="4">
        <v>73</v>
      </c>
      <c r="D474" s="8">
        <v>7.56</v>
      </c>
      <c r="E474" s="4">
        <v>42</v>
      </c>
      <c r="F474" s="8">
        <v>6.6</v>
      </c>
      <c r="G474" s="4">
        <v>31</v>
      </c>
      <c r="H474" s="8">
        <v>9.66</v>
      </c>
      <c r="I474" s="4">
        <v>0</v>
      </c>
    </row>
    <row r="475" spans="1:9" x14ac:dyDescent="0.2">
      <c r="A475" s="2">
        <v>4</v>
      </c>
      <c r="B475" s="1" t="s">
        <v>75</v>
      </c>
      <c r="C475" s="4">
        <v>72</v>
      </c>
      <c r="D475" s="8">
        <v>7.45</v>
      </c>
      <c r="E475" s="4">
        <v>67</v>
      </c>
      <c r="F475" s="8">
        <v>10.53</v>
      </c>
      <c r="G475" s="4">
        <v>4</v>
      </c>
      <c r="H475" s="8">
        <v>1.25</v>
      </c>
      <c r="I475" s="4">
        <v>1</v>
      </c>
    </row>
    <row r="476" spans="1:9" x14ac:dyDescent="0.2">
      <c r="A476" s="2">
        <v>5</v>
      </c>
      <c r="B476" s="1" t="s">
        <v>82</v>
      </c>
      <c r="C476" s="4">
        <v>68</v>
      </c>
      <c r="D476" s="8">
        <v>7.04</v>
      </c>
      <c r="E476" s="4">
        <v>61</v>
      </c>
      <c r="F476" s="8">
        <v>9.59</v>
      </c>
      <c r="G476" s="4">
        <v>7</v>
      </c>
      <c r="H476" s="8">
        <v>2.1800000000000002</v>
      </c>
      <c r="I476" s="4">
        <v>0</v>
      </c>
    </row>
    <row r="477" spans="1:9" x14ac:dyDescent="0.2">
      <c r="A477" s="2">
        <v>6</v>
      </c>
      <c r="B477" s="1" t="s">
        <v>69</v>
      </c>
      <c r="C477" s="4">
        <v>61</v>
      </c>
      <c r="D477" s="8">
        <v>6.31</v>
      </c>
      <c r="E477" s="4">
        <v>44</v>
      </c>
      <c r="F477" s="8">
        <v>6.92</v>
      </c>
      <c r="G477" s="4">
        <v>17</v>
      </c>
      <c r="H477" s="8">
        <v>5.3</v>
      </c>
      <c r="I477" s="4">
        <v>0</v>
      </c>
    </row>
    <row r="478" spans="1:9" x14ac:dyDescent="0.2">
      <c r="A478" s="2">
        <v>7</v>
      </c>
      <c r="B478" s="1" t="s">
        <v>70</v>
      </c>
      <c r="C478" s="4">
        <v>49</v>
      </c>
      <c r="D478" s="8">
        <v>5.07</v>
      </c>
      <c r="E478" s="4">
        <v>28</v>
      </c>
      <c r="F478" s="8">
        <v>4.4000000000000004</v>
      </c>
      <c r="G478" s="4">
        <v>21</v>
      </c>
      <c r="H478" s="8">
        <v>6.54</v>
      </c>
      <c r="I478" s="4">
        <v>0</v>
      </c>
    </row>
    <row r="479" spans="1:9" x14ac:dyDescent="0.2">
      <c r="A479" s="2">
        <v>8</v>
      </c>
      <c r="B479" s="1" t="s">
        <v>76</v>
      </c>
      <c r="C479" s="4">
        <v>39</v>
      </c>
      <c r="D479" s="8">
        <v>4.04</v>
      </c>
      <c r="E479" s="4">
        <v>31</v>
      </c>
      <c r="F479" s="8">
        <v>4.87</v>
      </c>
      <c r="G479" s="4">
        <v>8</v>
      </c>
      <c r="H479" s="8">
        <v>2.4900000000000002</v>
      </c>
      <c r="I479" s="4">
        <v>0</v>
      </c>
    </row>
    <row r="480" spans="1:9" x14ac:dyDescent="0.2">
      <c r="A480" s="2">
        <v>9</v>
      </c>
      <c r="B480" s="1" t="s">
        <v>79</v>
      </c>
      <c r="C480" s="4">
        <v>37</v>
      </c>
      <c r="D480" s="8">
        <v>3.83</v>
      </c>
      <c r="E480" s="4">
        <v>23</v>
      </c>
      <c r="F480" s="8">
        <v>3.62</v>
      </c>
      <c r="G480" s="4">
        <v>14</v>
      </c>
      <c r="H480" s="8">
        <v>4.3600000000000003</v>
      </c>
      <c r="I480" s="4">
        <v>0</v>
      </c>
    </row>
    <row r="481" spans="1:9" x14ac:dyDescent="0.2">
      <c r="A481" s="2">
        <v>10</v>
      </c>
      <c r="B481" s="1" t="s">
        <v>87</v>
      </c>
      <c r="C481" s="4">
        <v>28</v>
      </c>
      <c r="D481" s="8">
        <v>2.9</v>
      </c>
      <c r="E481" s="4">
        <v>25</v>
      </c>
      <c r="F481" s="8">
        <v>3.93</v>
      </c>
      <c r="G481" s="4">
        <v>3</v>
      </c>
      <c r="H481" s="8">
        <v>0.93</v>
      </c>
      <c r="I481" s="4">
        <v>0</v>
      </c>
    </row>
    <row r="482" spans="1:9" x14ac:dyDescent="0.2">
      <c r="A482" s="2">
        <v>11</v>
      </c>
      <c r="B482" s="1" t="s">
        <v>86</v>
      </c>
      <c r="C482" s="4">
        <v>27</v>
      </c>
      <c r="D482" s="8">
        <v>2.8</v>
      </c>
      <c r="E482" s="4">
        <v>24</v>
      </c>
      <c r="F482" s="8">
        <v>3.77</v>
      </c>
      <c r="G482" s="4">
        <v>2</v>
      </c>
      <c r="H482" s="8">
        <v>0.62</v>
      </c>
      <c r="I482" s="4">
        <v>0</v>
      </c>
    </row>
    <row r="483" spans="1:9" x14ac:dyDescent="0.2">
      <c r="A483" s="2">
        <v>12</v>
      </c>
      <c r="B483" s="1" t="s">
        <v>74</v>
      </c>
      <c r="C483" s="4">
        <v>20</v>
      </c>
      <c r="D483" s="8">
        <v>2.0699999999999998</v>
      </c>
      <c r="E483" s="4">
        <v>12</v>
      </c>
      <c r="F483" s="8">
        <v>1.89</v>
      </c>
      <c r="G483" s="4">
        <v>8</v>
      </c>
      <c r="H483" s="8">
        <v>2.4900000000000002</v>
      </c>
      <c r="I483" s="4">
        <v>0</v>
      </c>
    </row>
    <row r="484" spans="1:9" x14ac:dyDescent="0.2">
      <c r="A484" s="2">
        <v>12</v>
      </c>
      <c r="B484" s="1" t="s">
        <v>85</v>
      </c>
      <c r="C484" s="4">
        <v>20</v>
      </c>
      <c r="D484" s="8">
        <v>2.0699999999999998</v>
      </c>
      <c r="E484" s="4">
        <v>10</v>
      </c>
      <c r="F484" s="8">
        <v>1.57</v>
      </c>
      <c r="G484" s="4">
        <v>7</v>
      </c>
      <c r="H484" s="8">
        <v>2.1800000000000002</v>
      </c>
      <c r="I484" s="4">
        <v>0</v>
      </c>
    </row>
    <row r="485" spans="1:9" x14ac:dyDescent="0.2">
      <c r="A485" s="2">
        <v>14</v>
      </c>
      <c r="B485" s="1" t="s">
        <v>81</v>
      </c>
      <c r="C485" s="4">
        <v>18</v>
      </c>
      <c r="D485" s="8">
        <v>1.86</v>
      </c>
      <c r="E485" s="4">
        <v>7</v>
      </c>
      <c r="F485" s="8">
        <v>1.1000000000000001</v>
      </c>
      <c r="G485" s="4">
        <v>10</v>
      </c>
      <c r="H485" s="8">
        <v>3.12</v>
      </c>
      <c r="I485" s="4">
        <v>0</v>
      </c>
    </row>
    <row r="486" spans="1:9" x14ac:dyDescent="0.2">
      <c r="A486" s="2">
        <v>15</v>
      </c>
      <c r="B486" s="1" t="s">
        <v>91</v>
      </c>
      <c r="C486" s="4">
        <v>13</v>
      </c>
      <c r="D486" s="8">
        <v>1.35</v>
      </c>
      <c r="E486" s="4">
        <v>6</v>
      </c>
      <c r="F486" s="8">
        <v>0.94</v>
      </c>
      <c r="G486" s="4">
        <v>7</v>
      </c>
      <c r="H486" s="8">
        <v>2.1800000000000002</v>
      </c>
      <c r="I486" s="4">
        <v>0</v>
      </c>
    </row>
    <row r="487" spans="1:9" x14ac:dyDescent="0.2">
      <c r="A487" s="2">
        <v>15</v>
      </c>
      <c r="B487" s="1" t="s">
        <v>84</v>
      </c>
      <c r="C487" s="4">
        <v>13</v>
      </c>
      <c r="D487" s="8">
        <v>1.35</v>
      </c>
      <c r="E487" s="4">
        <v>7</v>
      </c>
      <c r="F487" s="8">
        <v>1.1000000000000001</v>
      </c>
      <c r="G487" s="4">
        <v>6</v>
      </c>
      <c r="H487" s="8">
        <v>1.87</v>
      </c>
      <c r="I487" s="4">
        <v>0</v>
      </c>
    </row>
    <row r="488" spans="1:9" x14ac:dyDescent="0.2">
      <c r="A488" s="2">
        <v>17</v>
      </c>
      <c r="B488" s="1" t="s">
        <v>72</v>
      </c>
      <c r="C488" s="4">
        <v>11</v>
      </c>
      <c r="D488" s="8">
        <v>1.1399999999999999</v>
      </c>
      <c r="E488" s="4">
        <v>3</v>
      </c>
      <c r="F488" s="8">
        <v>0.47</v>
      </c>
      <c r="G488" s="4">
        <v>8</v>
      </c>
      <c r="H488" s="8">
        <v>2.4900000000000002</v>
      </c>
      <c r="I488" s="4">
        <v>0</v>
      </c>
    </row>
    <row r="489" spans="1:9" x14ac:dyDescent="0.2">
      <c r="A489" s="2">
        <v>17</v>
      </c>
      <c r="B489" s="1" t="s">
        <v>73</v>
      </c>
      <c r="C489" s="4">
        <v>11</v>
      </c>
      <c r="D489" s="8">
        <v>1.1399999999999999</v>
      </c>
      <c r="E489" s="4">
        <v>4</v>
      </c>
      <c r="F489" s="8">
        <v>0.63</v>
      </c>
      <c r="G489" s="4">
        <v>7</v>
      </c>
      <c r="H489" s="8">
        <v>2.1800000000000002</v>
      </c>
      <c r="I489" s="4">
        <v>0</v>
      </c>
    </row>
    <row r="490" spans="1:9" x14ac:dyDescent="0.2">
      <c r="A490" s="2">
        <v>17</v>
      </c>
      <c r="B490" s="1" t="s">
        <v>80</v>
      </c>
      <c r="C490" s="4">
        <v>11</v>
      </c>
      <c r="D490" s="8">
        <v>1.1399999999999999</v>
      </c>
      <c r="E490" s="4">
        <v>10</v>
      </c>
      <c r="F490" s="8">
        <v>1.57</v>
      </c>
      <c r="G490" s="4">
        <v>1</v>
      </c>
      <c r="H490" s="8">
        <v>0.31</v>
      </c>
      <c r="I490" s="4">
        <v>0</v>
      </c>
    </row>
    <row r="491" spans="1:9" x14ac:dyDescent="0.2">
      <c r="A491" s="2">
        <v>20</v>
      </c>
      <c r="B491" s="1" t="s">
        <v>71</v>
      </c>
      <c r="C491" s="4">
        <v>10</v>
      </c>
      <c r="D491" s="8">
        <v>1.04</v>
      </c>
      <c r="E491" s="4">
        <v>4</v>
      </c>
      <c r="F491" s="8">
        <v>0.63</v>
      </c>
      <c r="G491" s="4">
        <v>6</v>
      </c>
      <c r="H491" s="8">
        <v>1.87</v>
      </c>
      <c r="I491" s="4">
        <v>0</v>
      </c>
    </row>
    <row r="492" spans="1:9" x14ac:dyDescent="0.2">
      <c r="A492" s="2">
        <v>20</v>
      </c>
      <c r="B492" s="1" t="s">
        <v>104</v>
      </c>
      <c r="C492" s="4">
        <v>10</v>
      </c>
      <c r="D492" s="8">
        <v>1.04</v>
      </c>
      <c r="E492" s="4">
        <v>6</v>
      </c>
      <c r="F492" s="8">
        <v>0.94</v>
      </c>
      <c r="G492" s="4">
        <v>4</v>
      </c>
      <c r="H492" s="8">
        <v>1.25</v>
      </c>
      <c r="I492" s="4">
        <v>0</v>
      </c>
    </row>
    <row r="493" spans="1:9" x14ac:dyDescent="0.2">
      <c r="A493" s="2">
        <v>20</v>
      </c>
      <c r="B493" s="1" t="s">
        <v>100</v>
      </c>
      <c r="C493" s="4">
        <v>10</v>
      </c>
      <c r="D493" s="8">
        <v>1.04</v>
      </c>
      <c r="E493" s="4">
        <v>5</v>
      </c>
      <c r="F493" s="8">
        <v>0.79</v>
      </c>
      <c r="G493" s="4">
        <v>5</v>
      </c>
      <c r="H493" s="8">
        <v>1.56</v>
      </c>
      <c r="I493" s="4">
        <v>0</v>
      </c>
    </row>
    <row r="494" spans="1:9" x14ac:dyDescent="0.2">
      <c r="A494" s="2">
        <v>20</v>
      </c>
      <c r="B494" s="1" t="s">
        <v>96</v>
      </c>
      <c r="C494" s="4">
        <v>10</v>
      </c>
      <c r="D494" s="8">
        <v>1.04</v>
      </c>
      <c r="E494" s="4">
        <v>0</v>
      </c>
      <c r="F494" s="8">
        <v>0</v>
      </c>
      <c r="G494" s="4">
        <v>9</v>
      </c>
      <c r="H494" s="8">
        <v>2.8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22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83</v>
      </c>
      <c r="C497" s="4">
        <v>128</v>
      </c>
      <c r="D497" s="8">
        <v>11.81</v>
      </c>
      <c r="E497" s="4">
        <v>114</v>
      </c>
      <c r="F497" s="8">
        <v>17.190000000000001</v>
      </c>
      <c r="G497" s="4">
        <v>14</v>
      </c>
      <c r="H497" s="8">
        <v>3.41</v>
      </c>
      <c r="I497" s="4">
        <v>0</v>
      </c>
    </row>
    <row r="498" spans="1:9" x14ac:dyDescent="0.2">
      <c r="A498" s="2">
        <v>2</v>
      </c>
      <c r="B498" s="1" t="s">
        <v>82</v>
      </c>
      <c r="C498" s="4">
        <v>96</v>
      </c>
      <c r="D498" s="8">
        <v>8.86</v>
      </c>
      <c r="E498" s="4">
        <v>88</v>
      </c>
      <c r="F498" s="8">
        <v>13.27</v>
      </c>
      <c r="G498" s="4">
        <v>8</v>
      </c>
      <c r="H498" s="8">
        <v>1.95</v>
      </c>
      <c r="I498" s="4">
        <v>0</v>
      </c>
    </row>
    <row r="499" spans="1:9" x14ac:dyDescent="0.2">
      <c r="A499" s="2">
        <v>3</v>
      </c>
      <c r="B499" s="1" t="s">
        <v>69</v>
      </c>
      <c r="C499" s="4">
        <v>89</v>
      </c>
      <c r="D499" s="8">
        <v>8.2100000000000009</v>
      </c>
      <c r="E499" s="4">
        <v>39</v>
      </c>
      <c r="F499" s="8">
        <v>5.88</v>
      </c>
      <c r="G499" s="4">
        <v>50</v>
      </c>
      <c r="H499" s="8">
        <v>12.17</v>
      </c>
      <c r="I499" s="4">
        <v>0</v>
      </c>
    </row>
    <row r="500" spans="1:9" x14ac:dyDescent="0.2">
      <c r="A500" s="2">
        <v>4</v>
      </c>
      <c r="B500" s="1" t="s">
        <v>68</v>
      </c>
      <c r="C500" s="4">
        <v>83</v>
      </c>
      <c r="D500" s="8">
        <v>7.66</v>
      </c>
      <c r="E500" s="4">
        <v>34</v>
      </c>
      <c r="F500" s="8">
        <v>5.13</v>
      </c>
      <c r="G500" s="4">
        <v>49</v>
      </c>
      <c r="H500" s="8">
        <v>11.92</v>
      </c>
      <c r="I500" s="4">
        <v>0</v>
      </c>
    </row>
    <row r="501" spans="1:9" x14ac:dyDescent="0.2">
      <c r="A501" s="2">
        <v>5</v>
      </c>
      <c r="B501" s="1" t="s">
        <v>77</v>
      </c>
      <c r="C501" s="4">
        <v>74</v>
      </c>
      <c r="D501" s="8">
        <v>6.83</v>
      </c>
      <c r="E501" s="4">
        <v>40</v>
      </c>
      <c r="F501" s="8">
        <v>6.03</v>
      </c>
      <c r="G501" s="4">
        <v>34</v>
      </c>
      <c r="H501" s="8">
        <v>8.27</v>
      </c>
      <c r="I501" s="4">
        <v>0</v>
      </c>
    </row>
    <row r="502" spans="1:9" x14ac:dyDescent="0.2">
      <c r="A502" s="2">
        <v>6</v>
      </c>
      <c r="B502" s="1" t="s">
        <v>76</v>
      </c>
      <c r="C502" s="4">
        <v>58</v>
      </c>
      <c r="D502" s="8">
        <v>5.35</v>
      </c>
      <c r="E502" s="4">
        <v>40</v>
      </c>
      <c r="F502" s="8">
        <v>6.03</v>
      </c>
      <c r="G502" s="4">
        <v>18</v>
      </c>
      <c r="H502" s="8">
        <v>4.38</v>
      </c>
      <c r="I502" s="4">
        <v>0</v>
      </c>
    </row>
    <row r="503" spans="1:9" x14ac:dyDescent="0.2">
      <c r="A503" s="2">
        <v>7</v>
      </c>
      <c r="B503" s="1" t="s">
        <v>70</v>
      </c>
      <c r="C503" s="4">
        <v>53</v>
      </c>
      <c r="D503" s="8">
        <v>4.8899999999999997</v>
      </c>
      <c r="E503" s="4">
        <v>23</v>
      </c>
      <c r="F503" s="8">
        <v>3.47</v>
      </c>
      <c r="G503" s="4">
        <v>30</v>
      </c>
      <c r="H503" s="8">
        <v>7.3</v>
      </c>
      <c r="I503" s="4">
        <v>0</v>
      </c>
    </row>
    <row r="504" spans="1:9" x14ac:dyDescent="0.2">
      <c r="A504" s="2">
        <v>8</v>
      </c>
      <c r="B504" s="1" t="s">
        <v>79</v>
      </c>
      <c r="C504" s="4">
        <v>47</v>
      </c>
      <c r="D504" s="8">
        <v>4.34</v>
      </c>
      <c r="E504" s="4">
        <v>33</v>
      </c>
      <c r="F504" s="8">
        <v>4.9800000000000004</v>
      </c>
      <c r="G504" s="4">
        <v>14</v>
      </c>
      <c r="H504" s="8">
        <v>3.41</v>
      </c>
      <c r="I504" s="4">
        <v>0</v>
      </c>
    </row>
    <row r="505" spans="1:9" x14ac:dyDescent="0.2">
      <c r="A505" s="2">
        <v>9</v>
      </c>
      <c r="B505" s="1" t="s">
        <v>75</v>
      </c>
      <c r="C505" s="4">
        <v>46</v>
      </c>
      <c r="D505" s="8">
        <v>4.24</v>
      </c>
      <c r="E505" s="4">
        <v>34</v>
      </c>
      <c r="F505" s="8">
        <v>5.13</v>
      </c>
      <c r="G505" s="4">
        <v>12</v>
      </c>
      <c r="H505" s="8">
        <v>2.92</v>
      </c>
      <c r="I505" s="4">
        <v>0</v>
      </c>
    </row>
    <row r="506" spans="1:9" x14ac:dyDescent="0.2">
      <c r="A506" s="2">
        <v>10</v>
      </c>
      <c r="B506" s="1" t="s">
        <v>86</v>
      </c>
      <c r="C506" s="4">
        <v>44</v>
      </c>
      <c r="D506" s="8">
        <v>4.0599999999999996</v>
      </c>
      <c r="E506" s="4">
        <v>41</v>
      </c>
      <c r="F506" s="8">
        <v>6.18</v>
      </c>
      <c r="G506" s="4">
        <v>3</v>
      </c>
      <c r="H506" s="8">
        <v>0.73</v>
      </c>
      <c r="I506" s="4">
        <v>0</v>
      </c>
    </row>
    <row r="507" spans="1:9" x14ac:dyDescent="0.2">
      <c r="A507" s="2">
        <v>11</v>
      </c>
      <c r="B507" s="1" t="s">
        <v>87</v>
      </c>
      <c r="C507" s="4">
        <v>38</v>
      </c>
      <c r="D507" s="8">
        <v>3.51</v>
      </c>
      <c r="E507" s="4">
        <v>32</v>
      </c>
      <c r="F507" s="8">
        <v>4.83</v>
      </c>
      <c r="G507" s="4">
        <v>6</v>
      </c>
      <c r="H507" s="8">
        <v>1.46</v>
      </c>
      <c r="I507" s="4">
        <v>0</v>
      </c>
    </row>
    <row r="508" spans="1:9" x14ac:dyDescent="0.2">
      <c r="A508" s="2">
        <v>12</v>
      </c>
      <c r="B508" s="1" t="s">
        <v>85</v>
      </c>
      <c r="C508" s="4">
        <v>24</v>
      </c>
      <c r="D508" s="8">
        <v>2.21</v>
      </c>
      <c r="E508" s="4">
        <v>17</v>
      </c>
      <c r="F508" s="8">
        <v>2.56</v>
      </c>
      <c r="G508" s="4">
        <v>6</v>
      </c>
      <c r="H508" s="8">
        <v>1.46</v>
      </c>
      <c r="I508" s="4">
        <v>1</v>
      </c>
    </row>
    <row r="509" spans="1:9" x14ac:dyDescent="0.2">
      <c r="A509" s="2">
        <v>13</v>
      </c>
      <c r="B509" s="1" t="s">
        <v>81</v>
      </c>
      <c r="C509" s="4">
        <v>23</v>
      </c>
      <c r="D509" s="8">
        <v>2.12</v>
      </c>
      <c r="E509" s="4">
        <v>11</v>
      </c>
      <c r="F509" s="8">
        <v>1.66</v>
      </c>
      <c r="G509" s="4">
        <v>12</v>
      </c>
      <c r="H509" s="8">
        <v>2.92</v>
      </c>
      <c r="I509" s="4">
        <v>0</v>
      </c>
    </row>
    <row r="510" spans="1:9" x14ac:dyDescent="0.2">
      <c r="A510" s="2">
        <v>14</v>
      </c>
      <c r="B510" s="1" t="s">
        <v>80</v>
      </c>
      <c r="C510" s="4">
        <v>18</v>
      </c>
      <c r="D510" s="8">
        <v>1.66</v>
      </c>
      <c r="E510" s="4">
        <v>13</v>
      </c>
      <c r="F510" s="8">
        <v>1.96</v>
      </c>
      <c r="G510" s="4">
        <v>5</v>
      </c>
      <c r="H510" s="8">
        <v>1.22</v>
      </c>
      <c r="I510" s="4">
        <v>0</v>
      </c>
    </row>
    <row r="511" spans="1:9" x14ac:dyDescent="0.2">
      <c r="A511" s="2">
        <v>15</v>
      </c>
      <c r="B511" s="1" t="s">
        <v>72</v>
      </c>
      <c r="C511" s="4">
        <v>17</v>
      </c>
      <c r="D511" s="8">
        <v>1.57</v>
      </c>
      <c r="E511" s="4">
        <v>9</v>
      </c>
      <c r="F511" s="8">
        <v>1.36</v>
      </c>
      <c r="G511" s="4">
        <v>8</v>
      </c>
      <c r="H511" s="8">
        <v>1.95</v>
      </c>
      <c r="I511" s="4">
        <v>0</v>
      </c>
    </row>
    <row r="512" spans="1:9" x14ac:dyDescent="0.2">
      <c r="A512" s="2">
        <v>15</v>
      </c>
      <c r="B512" s="1" t="s">
        <v>96</v>
      </c>
      <c r="C512" s="4">
        <v>17</v>
      </c>
      <c r="D512" s="8">
        <v>1.57</v>
      </c>
      <c r="E512" s="4">
        <v>1</v>
      </c>
      <c r="F512" s="8">
        <v>0.15</v>
      </c>
      <c r="G512" s="4">
        <v>14</v>
      </c>
      <c r="H512" s="8">
        <v>3.41</v>
      </c>
      <c r="I512" s="4">
        <v>0</v>
      </c>
    </row>
    <row r="513" spans="1:9" x14ac:dyDescent="0.2">
      <c r="A513" s="2">
        <v>17</v>
      </c>
      <c r="B513" s="1" t="s">
        <v>71</v>
      </c>
      <c r="C513" s="4">
        <v>16</v>
      </c>
      <c r="D513" s="8">
        <v>1.48</v>
      </c>
      <c r="E513" s="4">
        <v>12</v>
      </c>
      <c r="F513" s="8">
        <v>1.81</v>
      </c>
      <c r="G513" s="4">
        <v>4</v>
      </c>
      <c r="H513" s="8">
        <v>0.97</v>
      </c>
      <c r="I513" s="4">
        <v>0</v>
      </c>
    </row>
    <row r="514" spans="1:9" x14ac:dyDescent="0.2">
      <c r="A514" s="2">
        <v>17</v>
      </c>
      <c r="B514" s="1" t="s">
        <v>74</v>
      </c>
      <c r="C514" s="4">
        <v>16</v>
      </c>
      <c r="D514" s="8">
        <v>1.48</v>
      </c>
      <c r="E514" s="4">
        <v>14</v>
      </c>
      <c r="F514" s="8">
        <v>2.11</v>
      </c>
      <c r="G514" s="4">
        <v>2</v>
      </c>
      <c r="H514" s="8">
        <v>0.49</v>
      </c>
      <c r="I514" s="4">
        <v>0</v>
      </c>
    </row>
    <row r="515" spans="1:9" x14ac:dyDescent="0.2">
      <c r="A515" s="2">
        <v>19</v>
      </c>
      <c r="B515" s="1" t="s">
        <v>84</v>
      </c>
      <c r="C515" s="4">
        <v>14</v>
      </c>
      <c r="D515" s="8">
        <v>1.29</v>
      </c>
      <c r="E515" s="4">
        <v>7</v>
      </c>
      <c r="F515" s="8">
        <v>1.06</v>
      </c>
      <c r="G515" s="4">
        <v>7</v>
      </c>
      <c r="H515" s="8">
        <v>1.7</v>
      </c>
      <c r="I515" s="4">
        <v>0</v>
      </c>
    </row>
    <row r="516" spans="1:9" x14ac:dyDescent="0.2">
      <c r="A516" s="2">
        <v>20</v>
      </c>
      <c r="B516" s="1" t="s">
        <v>73</v>
      </c>
      <c r="C516" s="4">
        <v>13</v>
      </c>
      <c r="D516" s="8">
        <v>1.2</v>
      </c>
      <c r="E516" s="4">
        <v>1</v>
      </c>
      <c r="F516" s="8">
        <v>0.15</v>
      </c>
      <c r="G516" s="4">
        <v>12</v>
      </c>
      <c r="H516" s="8">
        <v>2.92</v>
      </c>
      <c r="I516" s="4">
        <v>0</v>
      </c>
    </row>
    <row r="517" spans="1:9" x14ac:dyDescent="0.2">
      <c r="A517" s="1"/>
      <c r="C517" s="4"/>
      <c r="D517" s="8"/>
      <c r="E517" s="4"/>
      <c r="F517" s="8"/>
      <c r="G517" s="4"/>
      <c r="H517" s="8"/>
      <c r="I517" s="4"/>
    </row>
    <row r="518" spans="1:9" x14ac:dyDescent="0.2">
      <c r="A518" s="1" t="s">
        <v>23</v>
      </c>
      <c r="C518" s="4"/>
      <c r="D518" s="8"/>
      <c r="E518" s="4"/>
      <c r="F518" s="8"/>
      <c r="G518" s="4"/>
      <c r="H518" s="8"/>
      <c r="I518" s="4"/>
    </row>
    <row r="519" spans="1:9" x14ac:dyDescent="0.2">
      <c r="A519" s="2">
        <v>1</v>
      </c>
      <c r="B519" s="1" t="s">
        <v>83</v>
      </c>
      <c r="C519" s="4">
        <v>298</v>
      </c>
      <c r="D519" s="8">
        <v>10.94</v>
      </c>
      <c r="E519" s="4">
        <v>275</v>
      </c>
      <c r="F519" s="8">
        <v>17.37</v>
      </c>
      <c r="G519" s="4">
        <v>22</v>
      </c>
      <c r="H519" s="8">
        <v>1.97</v>
      </c>
      <c r="I519" s="4">
        <v>0</v>
      </c>
    </row>
    <row r="520" spans="1:9" x14ac:dyDescent="0.2">
      <c r="A520" s="2">
        <v>2</v>
      </c>
      <c r="B520" s="1" t="s">
        <v>68</v>
      </c>
      <c r="C520" s="4">
        <v>232</v>
      </c>
      <c r="D520" s="8">
        <v>8.51</v>
      </c>
      <c r="E520" s="4">
        <v>93</v>
      </c>
      <c r="F520" s="8">
        <v>5.87</v>
      </c>
      <c r="G520" s="4">
        <v>139</v>
      </c>
      <c r="H520" s="8">
        <v>12.43</v>
      </c>
      <c r="I520" s="4">
        <v>0</v>
      </c>
    </row>
    <row r="521" spans="1:9" x14ac:dyDescent="0.2">
      <c r="A521" s="2">
        <v>3</v>
      </c>
      <c r="B521" s="1" t="s">
        <v>82</v>
      </c>
      <c r="C521" s="4">
        <v>229</v>
      </c>
      <c r="D521" s="8">
        <v>8.4</v>
      </c>
      <c r="E521" s="4">
        <v>192</v>
      </c>
      <c r="F521" s="8">
        <v>12.13</v>
      </c>
      <c r="G521" s="4">
        <v>37</v>
      </c>
      <c r="H521" s="8">
        <v>3.31</v>
      </c>
      <c r="I521" s="4">
        <v>0</v>
      </c>
    </row>
    <row r="522" spans="1:9" x14ac:dyDescent="0.2">
      <c r="A522" s="2">
        <v>4</v>
      </c>
      <c r="B522" s="1" t="s">
        <v>77</v>
      </c>
      <c r="C522" s="4">
        <v>193</v>
      </c>
      <c r="D522" s="8">
        <v>7.08</v>
      </c>
      <c r="E522" s="4">
        <v>109</v>
      </c>
      <c r="F522" s="8">
        <v>6.89</v>
      </c>
      <c r="G522" s="4">
        <v>84</v>
      </c>
      <c r="H522" s="8">
        <v>7.51</v>
      </c>
      <c r="I522" s="4">
        <v>0</v>
      </c>
    </row>
    <row r="523" spans="1:9" x14ac:dyDescent="0.2">
      <c r="A523" s="2">
        <v>5</v>
      </c>
      <c r="B523" s="1" t="s">
        <v>69</v>
      </c>
      <c r="C523" s="4">
        <v>155</v>
      </c>
      <c r="D523" s="8">
        <v>5.69</v>
      </c>
      <c r="E523" s="4">
        <v>76</v>
      </c>
      <c r="F523" s="8">
        <v>4.8</v>
      </c>
      <c r="G523" s="4">
        <v>79</v>
      </c>
      <c r="H523" s="8">
        <v>7.07</v>
      </c>
      <c r="I523" s="4">
        <v>0</v>
      </c>
    </row>
    <row r="524" spans="1:9" x14ac:dyDescent="0.2">
      <c r="A524" s="2">
        <v>6</v>
      </c>
      <c r="B524" s="1" t="s">
        <v>79</v>
      </c>
      <c r="C524" s="4">
        <v>126</v>
      </c>
      <c r="D524" s="8">
        <v>4.62</v>
      </c>
      <c r="E524" s="4">
        <v>83</v>
      </c>
      <c r="F524" s="8">
        <v>5.24</v>
      </c>
      <c r="G524" s="4">
        <v>43</v>
      </c>
      <c r="H524" s="8">
        <v>3.85</v>
      </c>
      <c r="I524" s="4">
        <v>0</v>
      </c>
    </row>
    <row r="525" spans="1:9" x14ac:dyDescent="0.2">
      <c r="A525" s="2">
        <v>7</v>
      </c>
      <c r="B525" s="1" t="s">
        <v>75</v>
      </c>
      <c r="C525" s="4">
        <v>122</v>
      </c>
      <c r="D525" s="8">
        <v>4.4800000000000004</v>
      </c>
      <c r="E525" s="4">
        <v>91</v>
      </c>
      <c r="F525" s="8">
        <v>5.75</v>
      </c>
      <c r="G525" s="4">
        <v>31</v>
      </c>
      <c r="H525" s="8">
        <v>2.77</v>
      </c>
      <c r="I525" s="4">
        <v>0</v>
      </c>
    </row>
    <row r="526" spans="1:9" x14ac:dyDescent="0.2">
      <c r="A526" s="2">
        <v>8</v>
      </c>
      <c r="B526" s="1" t="s">
        <v>70</v>
      </c>
      <c r="C526" s="4">
        <v>120</v>
      </c>
      <c r="D526" s="8">
        <v>4.4000000000000004</v>
      </c>
      <c r="E526" s="4">
        <v>33</v>
      </c>
      <c r="F526" s="8">
        <v>2.08</v>
      </c>
      <c r="G526" s="4">
        <v>87</v>
      </c>
      <c r="H526" s="8">
        <v>7.78</v>
      </c>
      <c r="I526" s="4">
        <v>0</v>
      </c>
    </row>
    <row r="527" spans="1:9" x14ac:dyDescent="0.2">
      <c r="A527" s="2">
        <v>9</v>
      </c>
      <c r="B527" s="1" t="s">
        <v>76</v>
      </c>
      <c r="C527" s="4">
        <v>114</v>
      </c>
      <c r="D527" s="8">
        <v>4.18</v>
      </c>
      <c r="E527" s="4">
        <v>78</v>
      </c>
      <c r="F527" s="8">
        <v>4.93</v>
      </c>
      <c r="G527" s="4">
        <v>36</v>
      </c>
      <c r="H527" s="8">
        <v>3.22</v>
      </c>
      <c r="I527" s="4">
        <v>0</v>
      </c>
    </row>
    <row r="528" spans="1:9" x14ac:dyDescent="0.2">
      <c r="A528" s="2">
        <v>10</v>
      </c>
      <c r="B528" s="1" t="s">
        <v>71</v>
      </c>
      <c r="C528" s="4">
        <v>80</v>
      </c>
      <c r="D528" s="8">
        <v>2.94</v>
      </c>
      <c r="E528" s="4">
        <v>38</v>
      </c>
      <c r="F528" s="8">
        <v>2.4</v>
      </c>
      <c r="G528" s="4">
        <v>42</v>
      </c>
      <c r="H528" s="8">
        <v>3.76</v>
      </c>
      <c r="I528" s="4">
        <v>0</v>
      </c>
    </row>
    <row r="529" spans="1:9" x14ac:dyDescent="0.2">
      <c r="A529" s="2">
        <v>11</v>
      </c>
      <c r="B529" s="1" t="s">
        <v>87</v>
      </c>
      <c r="C529" s="4">
        <v>78</v>
      </c>
      <c r="D529" s="8">
        <v>2.86</v>
      </c>
      <c r="E529" s="4">
        <v>69</v>
      </c>
      <c r="F529" s="8">
        <v>4.3600000000000003</v>
      </c>
      <c r="G529" s="4">
        <v>9</v>
      </c>
      <c r="H529" s="8">
        <v>0.81</v>
      </c>
      <c r="I529" s="4">
        <v>0</v>
      </c>
    </row>
    <row r="530" spans="1:9" x14ac:dyDescent="0.2">
      <c r="A530" s="2">
        <v>12</v>
      </c>
      <c r="B530" s="1" t="s">
        <v>85</v>
      </c>
      <c r="C530" s="4">
        <v>76</v>
      </c>
      <c r="D530" s="8">
        <v>2.79</v>
      </c>
      <c r="E530" s="4">
        <v>50</v>
      </c>
      <c r="F530" s="8">
        <v>3.16</v>
      </c>
      <c r="G530" s="4">
        <v>11</v>
      </c>
      <c r="H530" s="8">
        <v>0.98</v>
      </c>
      <c r="I530" s="4">
        <v>0</v>
      </c>
    </row>
    <row r="531" spans="1:9" x14ac:dyDescent="0.2">
      <c r="A531" s="2">
        <v>13</v>
      </c>
      <c r="B531" s="1" t="s">
        <v>86</v>
      </c>
      <c r="C531" s="4">
        <v>75</v>
      </c>
      <c r="D531" s="8">
        <v>2.75</v>
      </c>
      <c r="E531" s="4">
        <v>71</v>
      </c>
      <c r="F531" s="8">
        <v>4.49</v>
      </c>
      <c r="G531" s="4">
        <v>4</v>
      </c>
      <c r="H531" s="8">
        <v>0.36</v>
      </c>
      <c r="I531" s="4">
        <v>0</v>
      </c>
    </row>
    <row r="532" spans="1:9" x14ac:dyDescent="0.2">
      <c r="A532" s="2">
        <v>14</v>
      </c>
      <c r="B532" s="1" t="s">
        <v>74</v>
      </c>
      <c r="C532" s="4">
        <v>53</v>
      </c>
      <c r="D532" s="8">
        <v>1.94</v>
      </c>
      <c r="E532" s="4">
        <v>29</v>
      </c>
      <c r="F532" s="8">
        <v>1.83</v>
      </c>
      <c r="G532" s="4">
        <v>24</v>
      </c>
      <c r="H532" s="8">
        <v>2.15</v>
      </c>
      <c r="I532" s="4">
        <v>0</v>
      </c>
    </row>
    <row r="533" spans="1:9" x14ac:dyDescent="0.2">
      <c r="A533" s="2">
        <v>15</v>
      </c>
      <c r="B533" s="1" t="s">
        <v>81</v>
      </c>
      <c r="C533" s="4">
        <v>46</v>
      </c>
      <c r="D533" s="8">
        <v>1.69</v>
      </c>
      <c r="E533" s="4">
        <v>23</v>
      </c>
      <c r="F533" s="8">
        <v>1.45</v>
      </c>
      <c r="G533" s="4">
        <v>21</v>
      </c>
      <c r="H533" s="8">
        <v>1.88</v>
      </c>
      <c r="I533" s="4">
        <v>0</v>
      </c>
    </row>
    <row r="534" spans="1:9" x14ac:dyDescent="0.2">
      <c r="A534" s="2">
        <v>16</v>
      </c>
      <c r="B534" s="1" t="s">
        <v>80</v>
      </c>
      <c r="C534" s="4">
        <v>43</v>
      </c>
      <c r="D534" s="8">
        <v>1.58</v>
      </c>
      <c r="E534" s="4">
        <v>37</v>
      </c>
      <c r="F534" s="8">
        <v>2.34</v>
      </c>
      <c r="G534" s="4">
        <v>6</v>
      </c>
      <c r="H534" s="8">
        <v>0.54</v>
      </c>
      <c r="I534" s="4">
        <v>0</v>
      </c>
    </row>
    <row r="535" spans="1:9" x14ac:dyDescent="0.2">
      <c r="A535" s="2">
        <v>17</v>
      </c>
      <c r="B535" s="1" t="s">
        <v>92</v>
      </c>
      <c r="C535" s="4">
        <v>41</v>
      </c>
      <c r="D535" s="8">
        <v>1.5</v>
      </c>
      <c r="E535" s="4">
        <v>12</v>
      </c>
      <c r="F535" s="8">
        <v>0.76</v>
      </c>
      <c r="G535" s="4">
        <v>29</v>
      </c>
      <c r="H535" s="8">
        <v>2.59</v>
      </c>
      <c r="I535" s="4">
        <v>0</v>
      </c>
    </row>
    <row r="536" spans="1:9" x14ac:dyDescent="0.2">
      <c r="A536" s="2">
        <v>18</v>
      </c>
      <c r="B536" s="1" t="s">
        <v>72</v>
      </c>
      <c r="C536" s="4">
        <v>39</v>
      </c>
      <c r="D536" s="8">
        <v>1.43</v>
      </c>
      <c r="E536" s="4">
        <v>8</v>
      </c>
      <c r="F536" s="8">
        <v>0.51</v>
      </c>
      <c r="G536" s="4">
        <v>31</v>
      </c>
      <c r="H536" s="8">
        <v>2.77</v>
      </c>
      <c r="I536" s="4">
        <v>0</v>
      </c>
    </row>
    <row r="537" spans="1:9" x14ac:dyDescent="0.2">
      <c r="A537" s="2">
        <v>19</v>
      </c>
      <c r="B537" s="1" t="s">
        <v>101</v>
      </c>
      <c r="C537" s="4">
        <v>38</v>
      </c>
      <c r="D537" s="8">
        <v>1.39</v>
      </c>
      <c r="E537" s="4">
        <v>24</v>
      </c>
      <c r="F537" s="8">
        <v>1.52</v>
      </c>
      <c r="G537" s="4">
        <v>14</v>
      </c>
      <c r="H537" s="8">
        <v>1.25</v>
      </c>
      <c r="I537" s="4">
        <v>0</v>
      </c>
    </row>
    <row r="538" spans="1:9" x14ac:dyDescent="0.2">
      <c r="A538" s="2">
        <v>20</v>
      </c>
      <c r="B538" s="1" t="s">
        <v>93</v>
      </c>
      <c r="C538" s="4">
        <v>36</v>
      </c>
      <c r="D538" s="8">
        <v>1.32</v>
      </c>
      <c r="E538" s="4">
        <v>11</v>
      </c>
      <c r="F538" s="8">
        <v>0.69</v>
      </c>
      <c r="G538" s="4">
        <v>25</v>
      </c>
      <c r="H538" s="8">
        <v>2.2400000000000002</v>
      </c>
      <c r="I538" s="4">
        <v>0</v>
      </c>
    </row>
    <row r="539" spans="1:9" x14ac:dyDescent="0.2">
      <c r="A539" s="1"/>
      <c r="C539" s="4"/>
      <c r="D539" s="8"/>
      <c r="E539" s="4"/>
      <c r="F539" s="8"/>
      <c r="G539" s="4"/>
      <c r="H539" s="8"/>
      <c r="I539" s="4"/>
    </row>
    <row r="540" spans="1:9" x14ac:dyDescent="0.2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2">
      <c r="A541" s="2">
        <v>1</v>
      </c>
      <c r="B541" s="1" t="s">
        <v>68</v>
      </c>
      <c r="C541" s="4">
        <v>183</v>
      </c>
      <c r="D541" s="8">
        <v>11.31</v>
      </c>
      <c r="E541" s="4">
        <v>83</v>
      </c>
      <c r="F541" s="8">
        <v>8.91</v>
      </c>
      <c r="G541" s="4">
        <v>100</v>
      </c>
      <c r="H541" s="8">
        <v>14.84</v>
      </c>
      <c r="I541" s="4">
        <v>0</v>
      </c>
    </row>
    <row r="542" spans="1:9" x14ac:dyDescent="0.2">
      <c r="A542" s="2">
        <v>2</v>
      </c>
      <c r="B542" s="1" t="s">
        <v>69</v>
      </c>
      <c r="C542" s="4">
        <v>160</v>
      </c>
      <c r="D542" s="8">
        <v>9.89</v>
      </c>
      <c r="E542" s="4">
        <v>94</v>
      </c>
      <c r="F542" s="8">
        <v>10.09</v>
      </c>
      <c r="G542" s="4">
        <v>66</v>
      </c>
      <c r="H542" s="8">
        <v>9.7899999999999991</v>
      </c>
      <c r="I542" s="4">
        <v>0</v>
      </c>
    </row>
    <row r="543" spans="1:9" x14ac:dyDescent="0.2">
      <c r="A543" s="2">
        <v>3</v>
      </c>
      <c r="B543" s="1" t="s">
        <v>83</v>
      </c>
      <c r="C543" s="4">
        <v>152</v>
      </c>
      <c r="D543" s="8">
        <v>9.39</v>
      </c>
      <c r="E543" s="4">
        <v>140</v>
      </c>
      <c r="F543" s="8">
        <v>15.02</v>
      </c>
      <c r="G543" s="4">
        <v>12</v>
      </c>
      <c r="H543" s="8">
        <v>1.78</v>
      </c>
      <c r="I543" s="4">
        <v>0</v>
      </c>
    </row>
    <row r="544" spans="1:9" x14ac:dyDescent="0.2">
      <c r="A544" s="2">
        <v>4</v>
      </c>
      <c r="B544" s="1" t="s">
        <v>77</v>
      </c>
      <c r="C544" s="4">
        <v>111</v>
      </c>
      <c r="D544" s="8">
        <v>6.86</v>
      </c>
      <c r="E544" s="4">
        <v>62</v>
      </c>
      <c r="F544" s="8">
        <v>6.65</v>
      </c>
      <c r="G544" s="4">
        <v>48</v>
      </c>
      <c r="H544" s="8">
        <v>7.12</v>
      </c>
      <c r="I544" s="4">
        <v>1</v>
      </c>
    </row>
    <row r="545" spans="1:9" x14ac:dyDescent="0.2">
      <c r="A545" s="2">
        <v>4</v>
      </c>
      <c r="B545" s="1" t="s">
        <v>82</v>
      </c>
      <c r="C545" s="4">
        <v>111</v>
      </c>
      <c r="D545" s="8">
        <v>6.86</v>
      </c>
      <c r="E545" s="4">
        <v>99</v>
      </c>
      <c r="F545" s="8">
        <v>10.62</v>
      </c>
      <c r="G545" s="4">
        <v>12</v>
      </c>
      <c r="H545" s="8">
        <v>1.78</v>
      </c>
      <c r="I545" s="4">
        <v>0</v>
      </c>
    </row>
    <row r="546" spans="1:9" x14ac:dyDescent="0.2">
      <c r="A546" s="2">
        <v>6</v>
      </c>
      <c r="B546" s="1" t="s">
        <v>70</v>
      </c>
      <c r="C546" s="4">
        <v>74</v>
      </c>
      <c r="D546" s="8">
        <v>4.57</v>
      </c>
      <c r="E546" s="4">
        <v>32</v>
      </c>
      <c r="F546" s="8">
        <v>3.43</v>
      </c>
      <c r="G546" s="4">
        <v>42</v>
      </c>
      <c r="H546" s="8">
        <v>6.23</v>
      </c>
      <c r="I546" s="4">
        <v>0</v>
      </c>
    </row>
    <row r="547" spans="1:9" x14ac:dyDescent="0.2">
      <c r="A547" s="2">
        <v>7</v>
      </c>
      <c r="B547" s="1" t="s">
        <v>79</v>
      </c>
      <c r="C547" s="4">
        <v>63</v>
      </c>
      <c r="D547" s="8">
        <v>3.89</v>
      </c>
      <c r="E547" s="4">
        <v>41</v>
      </c>
      <c r="F547" s="8">
        <v>4.4000000000000004</v>
      </c>
      <c r="G547" s="4">
        <v>22</v>
      </c>
      <c r="H547" s="8">
        <v>3.26</v>
      </c>
      <c r="I547" s="4">
        <v>0</v>
      </c>
    </row>
    <row r="548" spans="1:9" x14ac:dyDescent="0.2">
      <c r="A548" s="2">
        <v>8</v>
      </c>
      <c r="B548" s="1" t="s">
        <v>75</v>
      </c>
      <c r="C548" s="4">
        <v>62</v>
      </c>
      <c r="D548" s="8">
        <v>3.83</v>
      </c>
      <c r="E548" s="4">
        <v>46</v>
      </c>
      <c r="F548" s="8">
        <v>4.9400000000000004</v>
      </c>
      <c r="G548" s="4">
        <v>16</v>
      </c>
      <c r="H548" s="8">
        <v>2.37</v>
      </c>
      <c r="I548" s="4">
        <v>0</v>
      </c>
    </row>
    <row r="549" spans="1:9" x14ac:dyDescent="0.2">
      <c r="A549" s="2">
        <v>9</v>
      </c>
      <c r="B549" s="1" t="s">
        <v>76</v>
      </c>
      <c r="C549" s="4">
        <v>55</v>
      </c>
      <c r="D549" s="8">
        <v>3.4</v>
      </c>
      <c r="E549" s="4">
        <v>38</v>
      </c>
      <c r="F549" s="8">
        <v>4.08</v>
      </c>
      <c r="G549" s="4">
        <v>17</v>
      </c>
      <c r="H549" s="8">
        <v>2.52</v>
      </c>
      <c r="I549" s="4">
        <v>0</v>
      </c>
    </row>
    <row r="550" spans="1:9" x14ac:dyDescent="0.2">
      <c r="A550" s="2">
        <v>10</v>
      </c>
      <c r="B550" s="1" t="s">
        <v>87</v>
      </c>
      <c r="C550" s="4">
        <v>52</v>
      </c>
      <c r="D550" s="8">
        <v>3.21</v>
      </c>
      <c r="E550" s="4">
        <v>43</v>
      </c>
      <c r="F550" s="8">
        <v>4.6100000000000003</v>
      </c>
      <c r="G550" s="4">
        <v>9</v>
      </c>
      <c r="H550" s="8">
        <v>1.34</v>
      </c>
      <c r="I550" s="4">
        <v>0</v>
      </c>
    </row>
    <row r="551" spans="1:9" x14ac:dyDescent="0.2">
      <c r="A551" s="2">
        <v>11</v>
      </c>
      <c r="B551" s="1" t="s">
        <v>86</v>
      </c>
      <c r="C551" s="4">
        <v>45</v>
      </c>
      <c r="D551" s="8">
        <v>2.78</v>
      </c>
      <c r="E551" s="4">
        <v>40</v>
      </c>
      <c r="F551" s="8">
        <v>4.29</v>
      </c>
      <c r="G551" s="4">
        <v>5</v>
      </c>
      <c r="H551" s="8">
        <v>0.74</v>
      </c>
      <c r="I551" s="4">
        <v>0</v>
      </c>
    </row>
    <row r="552" spans="1:9" x14ac:dyDescent="0.2">
      <c r="A552" s="2">
        <v>12</v>
      </c>
      <c r="B552" s="1" t="s">
        <v>71</v>
      </c>
      <c r="C552" s="4">
        <v>43</v>
      </c>
      <c r="D552" s="8">
        <v>2.66</v>
      </c>
      <c r="E552" s="4">
        <v>17</v>
      </c>
      <c r="F552" s="8">
        <v>1.82</v>
      </c>
      <c r="G552" s="4">
        <v>26</v>
      </c>
      <c r="H552" s="8">
        <v>3.86</v>
      </c>
      <c r="I552" s="4">
        <v>0</v>
      </c>
    </row>
    <row r="553" spans="1:9" x14ac:dyDescent="0.2">
      <c r="A553" s="2">
        <v>13</v>
      </c>
      <c r="B553" s="1" t="s">
        <v>91</v>
      </c>
      <c r="C553" s="4">
        <v>30</v>
      </c>
      <c r="D553" s="8">
        <v>1.85</v>
      </c>
      <c r="E553" s="4">
        <v>12</v>
      </c>
      <c r="F553" s="8">
        <v>1.29</v>
      </c>
      <c r="G553" s="4">
        <v>18</v>
      </c>
      <c r="H553" s="8">
        <v>2.67</v>
      </c>
      <c r="I553" s="4">
        <v>0</v>
      </c>
    </row>
    <row r="554" spans="1:9" x14ac:dyDescent="0.2">
      <c r="A554" s="2">
        <v>14</v>
      </c>
      <c r="B554" s="1" t="s">
        <v>74</v>
      </c>
      <c r="C554" s="4">
        <v>28</v>
      </c>
      <c r="D554" s="8">
        <v>1.73</v>
      </c>
      <c r="E554" s="4">
        <v>18</v>
      </c>
      <c r="F554" s="8">
        <v>1.93</v>
      </c>
      <c r="G554" s="4">
        <v>10</v>
      </c>
      <c r="H554" s="8">
        <v>1.48</v>
      </c>
      <c r="I554" s="4">
        <v>0</v>
      </c>
    </row>
    <row r="555" spans="1:9" x14ac:dyDescent="0.2">
      <c r="A555" s="2">
        <v>15</v>
      </c>
      <c r="B555" s="1" t="s">
        <v>85</v>
      </c>
      <c r="C555" s="4">
        <v>25</v>
      </c>
      <c r="D555" s="8">
        <v>1.55</v>
      </c>
      <c r="E555" s="4">
        <v>20</v>
      </c>
      <c r="F555" s="8">
        <v>2.15</v>
      </c>
      <c r="G555" s="4">
        <v>2</v>
      </c>
      <c r="H555" s="8">
        <v>0.3</v>
      </c>
      <c r="I555" s="4">
        <v>0</v>
      </c>
    </row>
    <row r="556" spans="1:9" x14ac:dyDescent="0.2">
      <c r="A556" s="2">
        <v>16</v>
      </c>
      <c r="B556" s="1" t="s">
        <v>94</v>
      </c>
      <c r="C556" s="4">
        <v>24</v>
      </c>
      <c r="D556" s="8">
        <v>1.48</v>
      </c>
      <c r="E556" s="4">
        <v>17</v>
      </c>
      <c r="F556" s="8">
        <v>1.82</v>
      </c>
      <c r="G556" s="4">
        <v>7</v>
      </c>
      <c r="H556" s="8">
        <v>1.04</v>
      </c>
      <c r="I556" s="4">
        <v>0</v>
      </c>
    </row>
    <row r="557" spans="1:9" x14ac:dyDescent="0.2">
      <c r="A557" s="2">
        <v>16</v>
      </c>
      <c r="B557" s="1" t="s">
        <v>72</v>
      </c>
      <c r="C557" s="4">
        <v>24</v>
      </c>
      <c r="D557" s="8">
        <v>1.48</v>
      </c>
      <c r="E557" s="4">
        <v>4</v>
      </c>
      <c r="F557" s="8">
        <v>0.43</v>
      </c>
      <c r="G557" s="4">
        <v>20</v>
      </c>
      <c r="H557" s="8">
        <v>2.97</v>
      </c>
      <c r="I557" s="4">
        <v>0</v>
      </c>
    </row>
    <row r="558" spans="1:9" x14ac:dyDescent="0.2">
      <c r="A558" s="2">
        <v>16</v>
      </c>
      <c r="B558" s="1" t="s">
        <v>73</v>
      </c>
      <c r="C558" s="4">
        <v>24</v>
      </c>
      <c r="D558" s="8">
        <v>1.48</v>
      </c>
      <c r="E558" s="4">
        <v>2</v>
      </c>
      <c r="F558" s="8">
        <v>0.21</v>
      </c>
      <c r="G558" s="4">
        <v>22</v>
      </c>
      <c r="H558" s="8">
        <v>3.26</v>
      </c>
      <c r="I558" s="4">
        <v>0</v>
      </c>
    </row>
    <row r="559" spans="1:9" x14ac:dyDescent="0.2">
      <c r="A559" s="2">
        <v>19</v>
      </c>
      <c r="B559" s="1" t="s">
        <v>81</v>
      </c>
      <c r="C559" s="4">
        <v>23</v>
      </c>
      <c r="D559" s="8">
        <v>1.42</v>
      </c>
      <c r="E559" s="4">
        <v>14</v>
      </c>
      <c r="F559" s="8">
        <v>1.5</v>
      </c>
      <c r="G559" s="4">
        <v>9</v>
      </c>
      <c r="H559" s="8">
        <v>1.34</v>
      </c>
      <c r="I559" s="4">
        <v>0</v>
      </c>
    </row>
    <row r="560" spans="1:9" x14ac:dyDescent="0.2">
      <c r="A560" s="2">
        <v>20</v>
      </c>
      <c r="B560" s="1" t="s">
        <v>80</v>
      </c>
      <c r="C560" s="4">
        <v>22</v>
      </c>
      <c r="D560" s="8">
        <v>1.36</v>
      </c>
      <c r="E560" s="4">
        <v>21</v>
      </c>
      <c r="F560" s="8">
        <v>2.25</v>
      </c>
      <c r="G560" s="4">
        <v>1</v>
      </c>
      <c r="H560" s="8">
        <v>0.15</v>
      </c>
      <c r="I560" s="4">
        <v>0</v>
      </c>
    </row>
    <row r="561" spans="1:9" x14ac:dyDescent="0.2">
      <c r="A561" s="1"/>
      <c r="C561" s="4"/>
      <c r="D561" s="8"/>
      <c r="E561" s="4"/>
      <c r="F561" s="8"/>
      <c r="G561" s="4"/>
      <c r="H561" s="8"/>
      <c r="I561" s="4"/>
    </row>
    <row r="562" spans="1:9" x14ac:dyDescent="0.2">
      <c r="A562" s="1" t="s">
        <v>25</v>
      </c>
      <c r="C562" s="4"/>
      <c r="D562" s="8"/>
      <c r="E562" s="4"/>
      <c r="F562" s="8"/>
      <c r="G562" s="4"/>
      <c r="H562" s="8"/>
      <c r="I562" s="4"/>
    </row>
    <row r="563" spans="1:9" x14ac:dyDescent="0.2">
      <c r="A563" s="2">
        <v>1</v>
      </c>
      <c r="B563" s="1" t="s">
        <v>83</v>
      </c>
      <c r="C563" s="4">
        <v>101</v>
      </c>
      <c r="D563" s="8">
        <v>10.61</v>
      </c>
      <c r="E563" s="4">
        <v>90</v>
      </c>
      <c r="F563" s="8">
        <v>16.27</v>
      </c>
      <c r="G563" s="4">
        <v>11</v>
      </c>
      <c r="H563" s="8">
        <v>2.78</v>
      </c>
      <c r="I563" s="4">
        <v>0</v>
      </c>
    </row>
    <row r="564" spans="1:9" x14ac:dyDescent="0.2">
      <c r="A564" s="2">
        <v>2</v>
      </c>
      <c r="B564" s="1" t="s">
        <v>68</v>
      </c>
      <c r="C564" s="4">
        <v>96</v>
      </c>
      <c r="D564" s="8">
        <v>10.08</v>
      </c>
      <c r="E564" s="4">
        <v>42</v>
      </c>
      <c r="F564" s="8">
        <v>7.59</v>
      </c>
      <c r="G564" s="4">
        <v>54</v>
      </c>
      <c r="H564" s="8">
        <v>13.64</v>
      </c>
      <c r="I564" s="4">
        <v>0</v>
      </c>
    </row>
    <row r="565" spans="1:9" x14ac:dyDescent="0.2">
      <c r="A565" s="2">
        <v>3</v>
      </c>
      <c r="B565" s="1" t="s">
        <v>69</v>
      </c>
      <c r="C565" s="4">
        <v>80</v>
      </c>
      <c r="D565" s="8">
        <v>8.4</v>
      </c>
      <c r="E565" s="4">
        <v>51</v>
      </c>
      <c r="F565" s="8">
        <v>9.2200000000000006</v>
      </c>
      <c r="G565" s="4">
        <v>29</v>
      </c>
      <c r="H565" s="8">
        <v>7.32</v>
      </c>
      <c r="I565" s="4">
        <v>0</v>
      </c>
    </row>
    <row r="566" spans="1:9" x14ac:dyDescent="0.2">
      <c r="A566" s="2">
        <v>4</v>
      </c>
      <c r="B566" s="1" t="s">
        <v>77</v>
      </c>
      <c r="C566" s="4">
        <v>77</v>
      </c>
      <c r="D566" s="8">
        <v>8.09</v>
      </c>
      <c r="E566" s="4">
        <v>51</v>
      </c>
      <c r="F566" s="8">
        <v>9.2200000000000006</v>
      </c>
      <c r="G566" s="4">
        <v>26</v>
      </c>
      <c r="H566" s="8">
        <v>6.57</v>
      </c>
      <c r="I566" s="4">
        <v>0</v>
      </c>
    </row>
    <row r="567" spans="1:9" x14ac:dyDescent="0.2">
      <c r="A567" s="2">
        <v>5</v>
      </c>
      <c r="B567" s="1" t="s">
        <v>82</v>
      </c>
      <c r="C567" s="4">
        <v>53</v>
      </c>
      <c r="D567" s="8">
        <v>5.57</v>
      </c>
      <c r="E567" s="4">
        <v>50</v>
      </c>
      <c r="F567" s="8">
        <v>9.0399999999999991</v>
      </c>
      <c r="G567" s="4">
        <v>3</v>
      </c>
      <c r="H567" s="8">
        <v>0.76</v>
      </c>
      <c r="I567" s="4">
        <v>0</v>
      </c>
    </row>
    <row r="568" spans="1:9" x14ac:dyDescent="0.2">
      <c r="A568" s="2">
        <v>6</v>
      </c>
      <c r="B568" s="1" t="s">
        <v>75</v>
      </c>
      <c r="C568" s="4">
        <v>51</v>
      </c>
      <c r="D568" s="8">
        <v>5.36</v>
      </c>
      <c r="E568" s="4">
        <v>42</v>
      </c>
      <c r="F568" s="8">
        <v>7.59</v>
      </c>
      <c r="G568" s="4">
        <v>9</v>
      </c>
      <c r="H568" s="8">
        <v>2.27</v>
      </c>
      <c r="I568" s="4">
        <v>0</v>
      </c>
    </row>
    <row r="569" spans="1:9" x14ac:dyDescent="0.2">
      <c r="A569" s="2">
        <v>6</v>
      </c>
      <c r="B569" s="1" t="s">
        <v>76</v>
      </c>
      <c r="C569" s="4">
        <v>51</v>
      </c>
      <c r="D569" s="8">
        <v>5.36</v>
      </c>
      <c r="E569" s="4">
        <v>38</v>
      </c>
      <c r="F569" s="8">
        <v>6.87</v>
      </c>
      <c r="G569" s="4">
        <v>13</v>
      </c>
      <c r="H569" s="8">
        <v>3.28</v>
      </c>
      <c r="I569" s="4">
        <v>0</v>
      </c>
    </row>
    <row r="570" spans="1:9" x14ac:dyDescent="0.2">
      <c r="A570" s="2">
        <v>8</v>
      </c>
      <c r="B570" s="1" t="s">
        <v>87</v>
      </c>
      <c r="C570" s="4">
        <v>35</v>
      </c>
      <c r="D570" s="8">
        <v>3.68</v>
      </c>
      <c r="E570" s="4">
        <v>31</v>
      </c>
      <c r="F570" s="8">
        <v>5.61</v>
      </c>
      <c r="G570" s="4">
        <v>4</v>
      </c>
      <c r="H570" s="8">
        <v>1.01</v>
      </c>
      <c r="I570" s="4">
        <v>0</v>
      </c>
    </row>
    <row r="571" spans="1:9" x14ac:dyDescent="0.2">
      <c r="A571" s="2">
        <v>9</v>
      </c>
      <c r="B571" s="1" t="s">
        <v>70</v>
      </c>
      <c r="C571" s="4">
        <v>34</v>
      </c>
      <c r="D571" s="8">
        <v>3.57</v>
      </c>
      <c r="E571" s="4">
        <v>17</v>
      </c>
      <c r="F571" s="8">
        <v>3.07</v>
      </c>
      <c r="G571" s="4">
        <v>17</v>
      </c>
      <c r="H571" s="8">
        <v>4.29</v>
      </c>
      <c r="I571" s="4">
        <v>0</v>
      </c>
    </row>
    <row r="572" spans="1:9" x14ac:dyDescent="0.2">
      <c r="A572" s="2">
        <v>10</v>
      </c>
      <c r="B572" s="1" t="s">
        <v>86</v>
      </c>
      <c r="C572" s="4">
        <v>32</v>
      </c>
      <c r="D572" s="8">
        <v>3.36</v>
      </c>
      <c r="E572" s="4">
        <v>26</v>
      </c>
      <c r="F572" s="8">
        <v>4.7</v>
      </c>
      <c r="G572" s="4">
        <v>6</v>
      </c>
      <c r="H572" s="8">
        <v>1.52</v>
      </c>
      <c r="I572" s="4">
        <v>0</v>
      </c>
    </row>
    <row r="573" spans="1:9" x14ac:dyDescent="0.2">
      <c r="A573" s="2">
        <v>11</v>
      </c>
      <c r="B573" s="1" t="s">
        <v>74</v>
      </c>
      <c r="C573" s="4">
        <v>29</v>
      </c>
      <c r="D573" s="8">
        <v>3.05</v>
      </c>
      <c r="E573" s="4">
        <v>12</v>
      </c>
      <c r="F573" s="8">
        <v>2.17</v>
      </c>
      <c r="G573" s="4">
        <v>17</v>
      </c>
      <c r="H573" s="8">
        <v>4.29</v>
      </c>
      <c r="I573" s="4">
        <v>0</v>
      </c>
    </row>
    <row r="574" spans="1:9" x14ac:dyDescent="0.2">
      <c r="A574" s="2">
        <v>12</v>
      </c>
      <c r="B574" s="1" t="s">
        <v>79</v>
      </c>
      <c r="C574" s="4">
        <v>24</v>
      </c>
      <c r="D574" s="8">
        <v>2.52</v>
      </c>
      <c r="E574" s="4">
        <v>16</v>
      </c>
      <c r="F574" s="8">
        <v>2.89</v>
      </c>
      <c r="G574" s="4">
        <v>8</v>
      </c>
      <c r="H574" s="8">
        <v>2.02</v>
      </c>
      <c r="I574" s="4">
        <v>0</v>
      </c>
    </row>
    <row r="575" spans="1:9" x14ac:dyDescent="0.2">
      <c r="A575" s="2">
        <v>13</v>
      </c>
      <c r="B575" s="1" t="s">
        <v>85</v>
      </c>
      <c r="C575" s="4">
        <v>18</v>
      </c>
      <c r="D575" s="8">
        <v>1.89</v>
      </c>
      <c r="E575" s="4">
        <v>11</v>
      </c>
      <c r="F575" s="8">
        <v>1.99</v>
      </c>
      <c r="G575" s="4">
        <v>7</v>
      </c>
      <c r="H575" s="8">
        <v>1.77</v>
      </c>
      <c r="I575" s="4">
        <v>0</v>
      </c>
    </row>
    <row r="576" spans="1:9" x14ac:dyDescent="0.2">
      <c r="A576" s="2">
        <v>14</v>
      </c>
      <c r="B576" s="1" t="s">
        <v>71</v>
      </c>
      <c r="C576" s="4">
        <v>17</v>
      </c>
      <c r="D576" s="8">
        <v>1.79</v>
      </c>
      <c r="E576" s="4">
        <v>4</v>
      </c>
      <c r="F576" s="8">
        <v>0.72</v>
      </c>
      <c r="G576" s="4">
        <v>13</v>
      </c>
      <c r="H576" s="8">
        <v>3.28</v>
      </c>
      <c r="I576" s="4">
        <v>0</v>
      </c>
    </row>
    <row r="577" spans="1:9" x14ac:dyDescent="0.2">
      <c r="A577" s="2">
        <v>15</v>
      </c>
      <c r="B577" s="1" t="s">
        <v>91</v>
      </c>
      <c r="C577" s="4">
        <v>15</v>
      </c>
      <c r="D577" s="8">
        <v>1.58</v>
      </c>
      <c r="E577" s="4">
        <v>6</v>
      </c>
      <c r="F577" s="8">
        <v>1.08</v>
      </c>
      <c r="G577" s="4">
        <v>9</v>
      </c>
      <c r="H577" s="8">
        <v>2.27</v>
      </c>
      <c r="I577" s="4">
        <v>0</v>
      </c>
    </row>
    <row r="578" spans="1:9" x14ac:dyDescent="0.2">
      <c r="A578" s="2">
        <v>15</v>
      </c>
      <c r="B578" s="1" t="s">
        <v>81</v>
      </c>
      <c r="C578" s="4">
        <v>15</v>
      </c>
      <c r="D578" s="8">
        <v>1.58</v>
      </c>
      <c r="E578" s="4">
        <v>7</v>
      </c>
      <c r="F578" s="8">
        <v>1.27</v>
      </c>
      <c r="G578" s="4">
        <v>8</v>
      </c>
      <c r="H578" s="8">
        <v>2.02</v>
      </c>
      <c r="I578" s="4">
        <v>0</v>
      </c>
    </row>
    <row r="579" spans="1:9" x14ac:dyDescent="0.2">
      <c r="A579" s="2">
        <v>17</v>
      </c>
      <c r="B579" s="1" t="s">
        <v>72</v>
      </c>
      <c r="C579" s="4">
        <v>13</v>
      </c>
      <c r="D579" s="8">
        <v>1.37</v>
      </c>
      <c r="E579" s="4">
        <v>1</v>
      </c>
      <c r="F579" s="8">
        <v>0.18</v>
      </c>
      <c r="G579" s="4">
        <v>12</v>
      </c>
      <c r="H579" s="8">
        <v>3.03</v>
      </c>
      <c r="I579" s="4">
        <v>0</v>
      </c>
    </row>
    <row r="580" spans="1:9" x14ac:dyDescent="0.2">
      <c r="A580" s="2">
        <v>17</v>
      </c>
      <c r="B580" s="1" t="s">
        <v>84</v>
      </c>
      <c r="C580" s="4">
        <v>13</v>
      </c>
      <c r="D580" s="8">
        <v>1.37</v>
      </c>
      <c r="E580" s="4">
        <v>5</v>
      </c>
      <c r="F580" s="8">
        <v>0.9</v>
      </c>
      <c r="G580" s="4">
        <v>8</v>
      </c>
      <c r="H580" s="8">
        <v>2.02</v>
      </c>
      <c r="I580" s="4">
        <v>0</v>
      </c>
    </row>
    <row r="581" spans="1:9" x14ac:dyDescent="0.2">
      <c r="A581" s="2">
        <v>19</v>
      </c>
      <c r="B581" s="1" t="s">
        <v>93</v>
      </c>
      <c r="C581" s="4">
        <v>12</v>
      </c>
      <c r="D581" s="8">
        <v>1.26</v>
      </c>
      <c r="E581" s="4">
        <v>3</v>
      </c>
      <c r="F581" s="8">
        <v>0.54</v>
      </c>
      <c r="G581" s="4">
        <v>9</v>
      </c>
      <c r="H581" s="8">
        <v>2.27</v>
      </c>
      <c r="I581" s="4">
        <v>0</v>
      </c>
    </row>
    <row r="582" spans="1:9" x14ac:dyDescent="0.2">
      <c r="A582" s="2">
        <v>20</v>
      </c>
      <c r="B582" s="1" t="s">
        <v>97</v>
      </c>
      <c r="C582" s="4">
        <v>11</v>
      </c>
      <c r="D582" s="8">
        <v>1.1599999999999999</v>
      </c>
      <c r="E582" s="4">
        <v>6</v>
      </c>
      <c r="F582" s="8">
        <v>1.08</v>
      </c>
      <c r="G582" s="4">
        <v>5</v>
      </c>
      <c r="H582" s="8">
        <v>1.26</v>
      </c>
      <c r="I582" s="4">
        <v>0</v>
      </c>
    </row>
    <row r="583" spans="1:9" x14ac:dyDescent="0.2">
      <c r="A583" s="2">
        <v>20</v>
      </c>
      <c r="B583" s="1" t="s">
        <v>100</v>
      </c>
      <c r="C583" s="4">
        <v>11</v>
      </c>
      <c r="D583" s="8">
        <v>1.1599999999999999</v>
      </c>
      <c r="E583" s="4">
        <v>6</v>
      </c>
      <c r="F583" s="8">
        <v>1.08</v>
      </c>
      <c r="G583" s="4">
        <v>5</v>
      </c>
      <c r="H583" s="8">
        <v>1.26</v>
      </c>
      <c r="I583" s="4">
        <v>0</v>
      </c>
    </row>
    <row r="584" spans="1:9" x14ac:dyDescent="0.2">
      <c r="A584" s="1"/>
      <c r="C584" s="4"/>
      <c r="D584" s="8"/>
      <c r="E584" s="4"/>
      <c r="F584" s="8"/>
      <c r="G584" s="4"/>
      <c r="H584" s="8"/>
      <c r="I584" s="4"/>
    </row>
    <row r="585" spans="1:9" x14ac:dyDescent="0.2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2">
      <c r="A586" s="2">
        <v>1</v>
      </c>
      <c r="B586" s="1" t="s">
        <v>79</v>
      </c>
      <c r="C586" s="4">
        <v>95</v>
      </c>
      <c r="D586" s="8">
        <v>11.36</v>
      </c>
      <c r="E586" s="4">
        <v>71</v>
      </c>
      <c r="F586" s="8">
        <v>15.27</v>
      </c>
      <c r="G586" s="4">
        <v>24</v>
      </c>
      <c r="H586" s="8">
        <v>6.58</v>
      </c>
      <c r="I586" s="4">
        <v>0</v>
      </c>
    </row>
    <row r="587" spans="1:9" x14ac:dyDescent="0.2">
      <c r="A587" s="2">
        <v>2</v>
      </c>
      <c r="B587" s="1" t="s">
        <v>83</v>
      </c>
      <c r="C587" s="4">
        <v>86</v>
      </c>
      <c r="D587" s="8">
        <v>10.29</v>
      </c>
      <c r="E587" s="4">
        <v>79</v>
      </c>
      <c r="F587" s="8">
        <v>16.989999999999998</v>
      </c>
      <c r="G587" s="4">
        <v>7</v>
      </c>
      <c r="H587" s="8">
        <v>1.92</v>
      </c>
      <c r="I587" s="4">
        <v>0</v>
      </c>
    </row>
    <row r="588" spans="1:9" x14ac:dyDescent="0.2">
      <c r="A588" s="2">
        <v>3</v>
      </c>
      <c r="B588" s="1" t="s">
        <v>68</v>
      </c>
      <c r="C588" s="4">
        <v>85</v>
      </c>
      <c r="D588" s="8">
        <v>10.17</v>
      </c>
      <c r="E588" s="4">
        <v>24</v>
      </c>
      <c r="F588" s="8">
        <v>5.16</v>
      </c>
      <c r="G588" s="4">
        <v>61</v>
      </c>
      <c r="H588" s="8">
        <v>16.71</v>
      </c>
      <c r="I588" s="4">
        <v>0</v>
      </c>
    </row>
    <row r="589" spans="1:9" x14ac:dyDescent="0.2">
      <c r="A589" s="2">
        <v>4</v>
      </c>
      <c r="B589" s="1" t="s">
        <v>69</v>
      </c>
      <c r="C589" s="4">
        <v>60</v>
      </c>
      <c r="D589" s="8">
        <v>7.18</v>
      </c>
      <c r="E589" s="4">
        <v>38</v>
      </c>
      <c r="F589" s="8">
        <v>8.17</v>
      </c>
      <c r="G589" s="4">
        <v>22</v>
      </c>
      <c r="H589" s="8">
        <v>6.03</v>
      </c>
      <c r="I589" s="4">
        <v>0</v>
      </c>
    </row>
    <row r="590" spans="1:9" x14ac:dyDescent="0.2">
      <c r="A590" s="2">
        <v>5</v>
      </c>
      <c r="B590" s="1" t="s">
        <v>70</v>
      </c>
      <c r="C590" s="4">
        <v>54</v>
      </c>
      <c r="D590" s="8">
        <v>6.46</v>
      </c>
      <c r="E590" s="4">
        <v>21</v>
      </c>
      <c r="F590" s="8">
        <v>4.5199999999999996</v>
      </c>
      <c r="G590" s="4">
        <v>33</v>
      </c>
      <c r="H590" s="8">
        <v>9.0399999999999991</v>
      </c>
      <c r="I590" s="4">
        <v>0</v>
      </c>
    </row>
    <row r="591" spans="1:9" x14ac:dyDescent="0.2">
      <c r="A591" s="2">
        <v>6</v>
      </c>
      <c r="B591" s="1" t="s">
        <v>82</v>
      </c>
      <c r="C591" s="4">
        <v>43</v>
      </c>
      <c r="D591" s="8">
        <v>5.14</v>
      </c>
      <c r="E591" s="4">
        <v>41</v>
      </c>
      <c r="F591" s="8">
        <v>8.82</v>
      </c>
      <c r="G591" s="4">
        <v>2</v>
      </c>
      <c r="H591" s="8">
        <v>0.55000000000000004</v>
      </c>
      <c r="I591" s="4">
        <v>0</v>
      </c>
    </row>
    <row r="592" spans="1:9" x14ac:dyDescent="0.2">
      <c r="A592" s="2">
        <v>7</v>
      </c>
      <c r="B592" s="1" t="s">
        <v>87</v>
      </c>
      <c r="C592" s="4">
        <v>37</v>
      </c>
      <c r="D592" s="8">
        <v>4.43</v>
      </c>
      <c r="E592" s="4">
        <v>30</v>
      </c>
      <c r="F592" s="8">
        <v>6.45</v>
      </c>
      <c r="G592" s="4">
        <v>7</v>
      </c>
      <c r="H592" s="8">
        <v>1.92</v>
      </c>
      <c r="I592" s="4">
        <v>0</v>
      </c>
    </row>
    <row r="593" spans="1:9" x14ac:dyDescent="0.2">
      <c r="A593" s="2">
        <v>8</v>
      </c>
      <c r="B593" s="1" t="s">
        <v>76</v>
      </c>
      <c r="C593" s="4">
        <v>36</v>
      </c>
      <c r="D593" s="8">
        <v>4.3099999999999996</v>
      </c>
      <c r="E593" s="4">
        <v>23</v>
      </c>
      <c r="F593" s="8">
        <v>4.95</v>
      </c>
      <c r="G593" s="4">
        <v>13</v>
      </c>
      <c r="H593" s="8">
        <v>3.56</v>
      </c>
      <c r="I593" s="4">
        <v>0</v>
      </c>
    </row>
    <row r="594" spans="1:9" x14ac:dyDescent="0.2">
      <c r="A594" s="2">
        <v>8</v>
      </c>
      <c r="B594" s="1" t="s">
        <v>77</v>
      </c>
      <c r="C594" s="4">
        <v>36</v>
      </c>
      <c r="D594" s="8">
        <v>4.3099999999999996</v>
      </c>
      <c r="E594" s="4">
        <v>19</v>
      </c>
      <c r="F594" s="8">
        <v>4.09</v>
      </c>
      <c r="G594" s="4">
        <v>17</v>
      </c>
      <c r="H594" s="8">
        <v>4.66</v>
      </c>
      <c r="I594" s="4">
        <v>0</v>
      </c>
    </row>
    <row r="595" spans="1:9" x14ac:dyDescent="0.2">
      <c r="A595" s="2">
        <v>10</v>
      </c>
      <c r="B595" s="1" t="s">
        <v>75</v>
      </c>
      <c r="C595" s="4">
        <v>34</v>
      </c>
      <c r="D595" s="8">
        <v>4.07</v>
      </c>
      <c r="E595" s="4">
        <v>28</v>
      </c>
      <c r="F595" s="8">
        <v>6.02</v>
      </c>
      <c r="G595" s="4">
        <v>5</v>
      </c>
      <c r="H595" s="8">
        <v>1.37</v>
      </c>
      <c r="I595" s="4">
        <v>1</v>
      </c>
    </row>
    <row r="596" spans="1:9" x14ac:dyDescent="0.2">
      <c r="A596" s="2">
        <v>11</v>
      </c>
      <c r="B596" s="1" t="s">
        <v>96</v>
      </c>
      <c r="C596" s="4">
        <v>19</v>
      </c>
      <c r="D596" s="8">
        <v>2.27</v>
      </c>
      <c r="E596" s="4">
        <v>0</v>
      </c>
      <c r="F596" s="8">
        <v>0</v>
      </c>
      <c r="G596" s="4">
        <v>18</v>
      </c>
      <c r="H596" s="8">
        <v>4.93</v>
      </c>
      <c r="I596" s="4">
        <v>0</v>
      </c>
    </row>
    <row r="597" spans="1:9" x14ac:dyDescent="0.2">
      <c r="A597" s="2">
        <v>12</v>
      </c>
      <c r="B597" s="1" t="s">
        <v>85</v>
      </c>
      <c r="C597" s="4">
        <v>18</v>
      </c>
      <c r="D597" s="8">
        <v>2.15</v>
      </c>
      <c r="E597" s="4">
        <v>11</v>
      </c>
      <c r="F597" s="8">
        <v>2.37</v>
      </c>
      <c r="G597" s="4">
        <v>5</v>
      </c>
      <c r="H597" s="8">
        <v>1.37</v>
      </c>
      <c r="I597" s="4">
        <v>0</v>
      </c>
    </row>
    <row r="598" spans="1:9" x14ac:dyDescent="0.2">
      <c r="A598" s="2">
        <v>13</v>
      </c>
      <c r="B598" s="1" t="s">
        <v>86</v>
      </c>
      <c r="C598" s="4">
        <v>15</v>
      </c>
      <c r="D598" s="8">
        <v>1.79</v>
      </c>
      <c r="E598" s="4">
        <v>14</v>
      </c>
      <c r="F598" s="8">
        <v>3.01</v>
      </c>
      <c r="G598" s="4">
        <v>1</v>
      </c>
      <c r="H598" s="8">
        <v>0.27</v>
      </c>
      <c r="I598" s="4">
        <v>0</v>
      </c>
    </row>
    <row r="599" spans="1:9" x14ac:dyDescent="0.2">
      <c r="A599" s="2">
        <v>14</v>
      </c>
      <c r="B599" s="1" t="s">
        <v>71</v>
      </c>
      <c r="C599" s="4">
        <v>14</v>
      </c>
      <c r="D599" s="8">
        <v>1.67</v>
      </c>
      <c r="E599" s="4">
        <v>2</v>
      </c>
      <c r="F599" s="8">
        <v>0.43</v>
      </c>
      <c r="G599" s="4">
        <v>12</v>
      </c>
      <c r="H599" s="8">
        <v>3.29</v>
      </c>
      <c r="I599" s="4">
        <v>0</v>
      </c>
    </row>
    <row r="600" spans="1:9" x14ac:dyDescent="0.2">
      <c r="A600" s="2">
        <v>15</v>
      </c>
      <c r="B600" s="1" t="s">
        <v>72</v>
      </c>
      <c r="C600" s="4">
        <v>13</v>
      </c>
      <c r="D600" s="8">
        <v>1.56</v>
      </c>
      <c r="E600" s="4">
        <v>2</v>
      </c>
      <c r="F600" s="8">
        <v>0.43</v>
      </c>
      <c r="G600" s="4">
        <v>11</v>
      </c>
      <c r="H600" s="8">
        <v>3.01</v>
      </c>
      <c r="I600" s="4">
        <v>0</v>
      </c>
    </row>
    <row r="601" spans="1:9" x14ac:dyDescent="0.2">
      <c r="A601" s="2">
        <v>16</v>
      </c>
      <c r="B601" s="1" t="s">
        <v>93</v>
      </c>
      <c r="C601" s="4">
        <v>12</v>
      </c>
      <c r="D601" s="8">
        <v>1.44</v>
      </c>
      <c r="E601" s="4">
        <v>3</v>
      </c>
      <c r="F601" s="8">
        <v>0.65</v>
      </c>
      <c r="G601" s="4">
        <v>9</v>
      </c>
      <c r="H601" s="8">
        <v>2.4700000000000002</v>
      </c>
      <c r="I601" s="4">
        <v>0</v>
      </c>
    </row>
    <row r="602" spans="1:9" x14ac:dyDescent="0.2">
      <c r="A602" s="2">
        <v>17</v>
      </c>
      <c r="B602" s="1" t="s">
        <v>80</v>
      </c>
      <c r="C602" s="4">
        <v>11</v>
      </c>
      <c r="D602" s="8">
        <v>1.32</v>
      </c>
      <c r="E602" s="4">
        <v>7</v>
      </c>
      <c r="F602" s="8">
        <v>1.51</v>
      </c>
      <c r="G602" s="4">
        <v>4</v>
      </c>
      <c r="H602" s="8">
        <v>1.1000000000000001</v>
      </c>
      <c r="I602" s="4">
        <v>0</v>
      </c>
    </row>
    <row r="603" spans="1:9" x14ac:dyDescent="0.2">
      <c r="A603" s="2">
        <v>17</v>
      </c>
      <c r="B603" s="1" t="s">
        <v>105</v>
      </c>
      <c r="C603" s="4">
        <v>11</v>
      </c>
      <c r="D603" s="8">
        <v>1.32</v>
      </c>
      <c r="E603" s="4">
        <v>2</v>
      </c>
      <c r="F603" s="8">
        <v>0.43</v>
      </c>
      <c r="G603" s="4">
        <v>9</v>
      </c>
      <c r="H603" s="8">
        <v>2.4700000000000002</v>
      </c>
      <c r="I603" s="4">
        <v>0</v>
      </c>
    </row>
    <row r="604" spans="1:9" x14ac:dyDescent="0.2">
      <c r="A604" s="2">
        <v>19</v>
      </c>
      <c r="B604" s="1" t="s">
        <v>78</v>
      </c>
      <c r="C604" s="4">
        <v>10</v>
      </c>
      <c r="D604" s="8">
        <v>1.2</v>
      </c>
      <c r="E604" s="4">
        <v>1</v>
      </c>
      <c r="F604" s="8">
        <v>0.22</v>
      </c>
      <c r="G604" s="4">
        <v>9</v>
      </c>
      <c r="H604" s="8">
        <v>2.4700000000000002</v>
      </c>
      <c r="I604" s="4">
        <v>0</v>
      </c>
    </row>
    <row r="605" spans="1:9" x14ac:dyDescent="0.2">
      <c r="A605" s="2">
        <v>20</v>
      </c>
      <c r="B605" s="1" t="s">
        <v>97</v>
      </c>
      <c r="C605" s="4">
        <v>9</v>
      </c>
      <c r="D605" s="8">
        <v>1.08</v>
      </c>
      <c r="E605" s="4">
        <v>5</v>
      </c>
      <c r="F605" s="8">
        <v>1.08</v>
      </c>
      <c r="G605" s="4">
        <v>4</v>
      </c>
      <c r="H605" s="8">
        <v>1.1000000000000001</v>
      </c>
      <c r="I605" s="4">
        <v>0</v>
      </c>
    </row>
    <row r="606" spans="1:9" x14ac:dyDescent="0.2">
      <c r="A606" s="2">
        <v>20</v>
      </c>
      <c r="B606" s="1" t="s">
        <v>81</v>
      </c>
      <c r="C606" s="4">
        <v>9</v>
      </c>
      <c r="D606" s="8">
        <v>1.08</v>
      </c>
      <c r="E606" s="4">
        <v>5</v>
      </c>
      <c r="F606" s="8">
        <v>1.08</v>
      </c>
      <c r="G606" s="4">
        <v>4</v>
      </c>
      <c r="H606" s="8">
        <v>1.1000000000000001</v>
      </c>
      <c r="I606" s="4">
        <v>0</v>
      </c>
    </row>
    <row r="607" spans="1:9" x14ac:dyDescent="0.2">
      <c r="A607" s="2">
        <v>20</v>
      </c>
      <c r="B607" s="1" t="s">
        <v>106</v>
      </c>
      <c r="C607" s="4">
        <v>9</v>
      </c>
      <c r="D607" s="8">
        <v>1.08</v>
      </c>
      <c r="E607" s="4">
        <v>3</v>
      </c>
      <c r="F607" s="8">
        <v>0.65</v>
      </c>
      <c r="G607" s="4">
        <v>6</v>
      </c>
      <c r="H607" s="8">
        <v>1.64</v>
      </c>
      <c r="I607" s="4">
        <v>0</v>
      </c>
    </row>
    <row r="608" spans="1:9" x14ac:dyDescent="0.2">
      <c r="A608" s="2">
        <v>20</v>
      </c>
      <c r="B608" s="1" t="s">
        <v>89</v>
      </c>
      <c r="C608" s="4">
        <v>9</v>
      </c>
      <c r="D608" s="8">
        <v>1.08</v>
      </c>
      <c r="E608" s="4">
        <v>0</v>
      </c>
      <c r="F608" s="8">
        <v>0</v>
      </c>
      <c r="G608" s="4">
        <v>9</v>
      </c>
      <c r="H608" s="8">
        <v>2.4700000000000002</v>
      </c>
      <c r="I608" s="4">
        <v>0</v>
      </c>
    </row>
    <row r="609" spans="1:9" x14ac:dyDescent="0.2">
      <c r="A609" s="1"/>
      <c r="C609" s="4"/>
      <c r="D609" s="8"/>
      <c r="E609" s="4"/>
      <c r="F609" s="8"/>
      <c r="G609" s="4"/>
      <c r="H609" s="8"/>
      <c r="I609" s="4"/>
    </row>
    <row r="610" spans="1:9" x14ac:dyDescent="0.2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2">
      <c r="A611" s="2">
        <v>1</v>
      </c>
      <c r="B611" s="1" t="s">
        <v>95</v>
      </c>
      <c r="C611" s="4">
        <v>238</v>
      </c>
      <c r="D611" s="8">
        <v>18.420000000000002</v>
      </c>
      <c r="E611" s="4">
        <v>118</v>
      </c>
      <c r="F611" s="8">
        <v>15.23</v>
      </c>
      <c r="G611" s="4">
        <v>120</v>
      </c>
      <c r="H611" s="8">
        <v>23.62</v>
      </c>
      <c r="I611" s="4">
        <v>0</v>
      </c>
    </row>
    <row r="612" spans="1:9" x14ac:dyDescent="0.2">
      <c r="A612" s="2">
        <v>2</v>
      </c>
      <c r="B612" s="1" t="s">
        <v>77</v>
      </c>
      <c r="C612" s="4">
        <v>122</v>
      </c>
      <c r="D612" s="8">
        <v>9.44</v>
      </c>
      <c r="E612" s="4">
        <v>72</v>
      </c>
      <c r="F612" s="8">
        <v>9.2899999999999991</v>
      </c>
      <c r="G612" s="4">
        <v>50</v>
      </c>
      <c r="H612" s="8">
        <v>9.84</v>
      </c>
      <c r="I612" s="4">
        <v>0</v>
      </c>
    </row>
    <row r="613" spans="1:9" x14ac:dyDescent="0.2">
      <c r="A613" s="2">
        <v>3</v>
      </c>
      <c r="B613" s="1" t="s">
        <v>83</v>
      </c>
      <c r="C613" s="4">
        <v>114</v>
      </c>
      <c r="D613" s="8">
        <v>8.82</v>
      </c>
      <c r="E613" s="4">
        <v>104</v>
      </c>
      <c r="F613" s="8">
        <v>13.42</v>
      </c>
      <c r="G613" s="4">
        <v>10</v>
      </c>
      <c r="H613" s="8">
        <v>1.97</v>
      </c>
      <c r="I613" s="4">
        <v>0</v>
      </c>
    </row>
    <row r="614" spans="1:9" x14ac:dyDescent="0.2">
      <c r="A614" s="2">
        <v>4</v>
      </c>
      <c r="B614" s="1" t="s">
        <v>68</v>
      </c>
      <c r="C614" s="4">
        <v>99</v>
      </c>
      <c r="D614" s="8">
        <v>7.66</v>
      </c>
      <c r="E614" s="4">
        <v>48</v>
      </c>
      <c r="F614" s="8">
        <v>6.19</v>
      </c>
      <c r="G614" s="4">
        <v>51</v>
      </c>
      <c r="H614" s="8">
        <v>10.039999999999999</v>
      </c>
      <c r="I614" s="4">
        <v>0</v>
      </c>
    </row>
    <row r="615" spans="1:9" x14ac:dyDescent="0.2">
      <c r="A615" s="2">
        <v>5</v>
      </c>
      <c r="B615" s="1" t="s">
        <v>69</v>
      </c>
      <c r="C615" s="4">
        <v>95</v>
      </c>
      <c r="D615" s="8">
        <v>7.35</v>
      </c>
      <c r="E615" s="4">
        <v>59</v>
      </c>
      <c r="F615" s="8">
        <v>7.61</v>
      </c>
      <c r="G615" s="4">
        <v>36</v>
      </c>
      <c r="H615" s="8">
        <v>7.09</v>
      </c>
      <c r="I615" s="4">
        <v>0</v>
      </c>
    </row>
    <row r="616" spans="1:9" x14ac:dyDescent="0.2">
      <c r="A616" s="2">
        <v>6</v>
      </c>
      <c r="B616" s="1" t="s">
        <v>82</v>
      </c>
      <c r="C616" s="4">
        <v>78</v>
      </c>
      <c r="D616" s="8">
        <v>6.04</v>
      </c>
      <c r="E616" s="4">
        <v>73</v>
      </c>
      <c r="F616" s="8">
        <v>9.42</v>
      </c>
      <c r="G616" s="4">
        <v>5</v>
      </c>
      <c r="H616" s="8">
        <v>0.98</v>
      </c>
      <c r="I616" s="4">
        <v>0</v>
      </c>
    </row>
    <row r="617" spans="1:9" x14ac:dyDescent="0.2">
      <c r="A617" s="2">
        <v>7</v>
      </c>
      <c r="B617" s="1" t="s">
        <v>75</v>
      </c>
      <c r="C617" s="4">
        <v>61</v>
      </c>
      <c r="D617" s="8">
        <v>4.72</v>
      </c>
      <c r="E617" s="4">
        <v>56</v>
      </c>
      <c r="F617" s="8">
        <v>7.23</v>
      </c>
      <c r="G617" s="4">
        <v>5</v>
      </c>
      <c r="H617" s="8">
        <v>0.98</v>
      </c>
      <c r="I617" s="4">
        <v>0</v>
      </c>
    </row>
    <row r="618" spans="1:9" x14ac:dyDescent="0.2">
      <c r="A618" s="2">
        <v>8</v>
      </c>
      <c r="B618" s="1" t="s">
        <v>70</v>
      </c>
      <c r="C618" s="4">
        <v>41</v>
      </c>
      <c r="D618" s="8">
        <v>3.17</v>
      </c>
      <c r="E618" s="4">
        <v>18</v>
      </c>
      <c r="F618" s="8">
        <v>2.3199999999999998</v>
      </c>
      <c r="G618" s="4">
        <v>23</v>
      </c>
      <c r="H618" s="8">
        <v>4.53</v>
      </c>
      <c r="I618" s="4">
        <v>0</v>
      </c>
    </row>
    <row r="619" spans="1:9" x14ac:dyDescent="0.2">
      <c r="A619" s="2">
        <v>9</v>
      </c>
      <c r="B619" s="1" t="s">
        <v>87</v>
      </c>
      <c r="C619" s="4">
        <v>40</v>
      </c>
      <c r="D619" s="8">
        <v>3.1</v>
      </c>
      <c r="E619" s="4">
        <v>33</v>
      </c>
      <c r="F619" s="8">
        <v>4.26</v>
      </c>
      <c r="G619" s="4">
        <v>7</v>
      </c>
      <c r="H619" s="8">
        <v>1.38</v>
      </c>
      <c r="I619" s="4">
        <v>0</v>
      </c>
    </row>
    <row r="620" spans="1:9" x14ac:dyDescent="0.2">
      <c r="A620" s="2">
        <v>10</v>
      </c>
      <c r="B620" s="1" t="s">
        <v>76</v>
      </c>
      <c r="C620" s="4">
        <v>38</v>
      </c>
      <c r="D620" s="8">
        <v>2.94</v>
      </c>
      <c r="E620" s="4">
        <v>24</v>
      </c>
      <c r="F620" s="8">
        <v>3.1</v>
      </c>
      <c r="G620" s="4">
        <v>14</v>
      </c>
      <c r="H620" s="8">
        <v>2.76</v>
      </c>
      <c r="I620" s="4">
        <v>0</v>
      </c>
    </row>
    <row r="621" spans="1:9" x14ac:dyDescent="0.2">
      <c r="A621" s="2">
        <v>11</v>
      </c>
      <c r="B621" s="1" t="s">
        <v>86</v>
      </c>
      <c r="C621" s="4">
        <v>29</v>
      </c>
      <c r="D621" s="8">
        <v>2.2400000000000002</v>
      </c>
      <c r="E621" s="4">
        <v>26</v>
      </c>
      <c r="F621" s="8">
        <v>3.35</v>
      </c>
      <c r="G621" s="4">
        <v>3</v>
      </c>
      <c r="H621" s="8">
        <v>0.59</v>
      </c>
      <c r="I621" s="4">
        <v>0</v>
      </c>
    </row>
    <row r="622" spans="1:9" x14ac:dyDescent="0.2">
      <c r="A622" s="2">
        <v>12</v>
      </c>
      <c r="B622" s="1" t="s">
        <v>72</v>
      </c>
      <c r="C622" s="4">
        <v>28</v>
      </c>
      <c r="D622" s="8">
        <v>2.17</v>
      </c>
      <c r="E622" s="4">
        <v>4</v>
      </c>
      <c r="F622" s="8">
        <v>0.52</v>
      </c>
      <c r="G622" s="4">
        <v>24</v>
      </c>
      <c r="H622" s="8">
        <v>4.72</v>
      </c>
      <c r="I622" s="4">
        <v>0</v>
      </c>
    </row>
    <row r="623" spans="1:9" x14ac:dyDescent="0.2">
      <c r="A623" s="2">
        <v>13</v>
      </c>
      <c r="B623" s="1" t="s">
        <v>79</v>
      </c>
      <c r="C623" s="4">
        <v>25</v>
      </c>
      <c r="D623" s="8">
        <v>1.93</v>
      </c>
      <c r="E623" s="4">
        <v>9</v>
      </c>
      <c r="F623" s="8">
        <v>1.1599999999999999</v>
      </c>
      <c r="G623" s="4">
        <v>16</v>
      </c>
      <c r="H623" s="8">
        <v>3.15</v>
      </c>
      <c r="I623" s="4">
        <v>0</v>
      </c>
    </row>
    <row r="624" spans="1:9" x14ac:dyDescent="0.2">
      <c r="A624" s="2">
        <v>13</v>
      </c>
      <c r="B624" s="1" t="s">
        <v>80</v>
      </c>
      <c r="C624" s="4">
        <v>25</v>
      </c>
      <c r="D624" s="8">
        <v>1.93</v>
      </c>
      <c r="E624" s="4">
        <v>17</v>
      </c>
      <c r="F624" s="8">
        <v>2.19</v>
      </c>
      <c r="G624" s="4">
        <v>8</v>
      </c>
      <c r="H624" s="8">
        <v>1.57</v>
      </c>
      <c r="I624" s="4">
        <v>0</v>
      </c>
    </row>
    <row r="625" spans="1:9" x14ac:dyDescent="0.2">
      <c r="A625" s="2">
        <v>15</v>
      </c>
      <c r="B625" s="1" t="s">
        <v>71</v>
      </c>
      <c r="C625" s="4">
        <v>24</v>
      </c>
      <c r="D625" s="8">
        <v>1.86</v>
      </c>
      <c r="E625" s="4">
        <v>11</v>
      </c>
      <c r="F625" s="8">
        <v>1.42</v>
      </c>
      <c r="G625" s="4">
        <v>13</v>
      </c>
      <c r="H625" s="8">
        <v>2.56</v>
      </c>
      <c r="I625" s="4">
        <v>0</v>
      </c>
    </row>
    <row r="626" spans="1:9" x14ac:dyDescent="0.2">
      <c r="A626" s="2">
        <v>16</v>
      </c>
      <c r="B626" s="1" t="s">
        <v>88</v>
      </c>
      <c r="C626" s="4">
        <v>20</v>
      </c>
      <c r="D626" s="8">
        <v>1.55</v>
      </c>
      <c r="E626" s="4">
        <v>8</v>
      </c>
      <c r="F626" s="8">
        <v>1.03</v>
      </c>
      <c r="G626" s="4">
        <v>12</v>
      </c>
      <c r="H626" s="8">
        <v>2.36</v>
      </c>
      <c r="I626" s="4">
        <v>0</v>
      </c>
    </row>
    <row r="627" spans="1:9" x14ac:dyDescent="0.2">
      <c r="A627" s="2">
        <v>17</v>
      </c>
      <c r="B627" s="1" t="s">
        <v>74</v>
      </c>
      <c r="C627" s="4">
        <v>19</v>
      </c>
      <c r="D627" s="8">
        <v>1.47</v>
      </c>
      <c r="E627" s="4">
        <v>15</v>
      </c>
      <c r="F627" s="8">
        <v>1.94</v>
      </c>
      <c r="G627" s="4">
        <v>4</v>
      </c>
      <c r="H627" s="8">
        <v>0.79</v>
      </c>
      <c r="I627" s="4">
        <v>0</v>
      </c>
    </row>
    <row r="628" spans="1:9" x14ac:dyDescent="0.2">
      <c r="A628" s="2">
        <v>18</v>
      </c>
      <c r="B628" s="1" t="s">
        <v>81</v>
      </c>
      <c r="C628" s="4">
        <v>17</v>
      </c>
      <c r="D628" s="8">
        <v>1.32</v>
      </c>
      <c r="E628" s="4">
        <v>8</v>
      </c>
      <c r="F628" s="8">
        <v>1.03</v>
      </c>
      <c r="G628" s="4">
        <v>8</v>
      </c>
      <c r="H628" s="8">
        <v>1.57</v>
      </c>
      <c r="I628" s="4">
        <v>0</v>
      </c>
    </row>
    <row r="629" spans="1:9" x14ac:dyDescent="0.2">
      <c r="A629" s="2">
        <v>19</v>
      </c>
      <c r="B629" s="1" t="s">
        <v>85</v>
      </c>
      <c r="C629" s="4">
        <v>15</v>
      </c>
      <c r="D629" s="8">
        <v>1.1599999999999999</v>
      </c>
      <c r="E629" s="4">
        <v>11</v>
      </c>
      <c r="F629" s="8">
        <v>1.42</v>
      </c>
      <c r="G629" s="4">
        <v>4</v>
      </c>
      <c r="H629" s="8">
        <v>0.79</v>
      </c>
      <c r="I629" s="4">
        <v>0</v>
      </c>
    </row>
    <row r="630" spans="1:9" x14ac:dyDescent="0.2">
      <c r="A630" s="2">
        <v>20</v>
      </c>
      <c r="B630" s="1" t="s">
        <v>101</v>
      </c>
      <c r="C630" s="4">
        <v>14</v>
      </c>
      <c r="D630" s="8">
        <v>1.08</v>
      </c>
      <c r="E630" s="4">
        <v>1</v>
      </c>
      <c r="F630" s="8">
        <v>0.13</v>
      </c>
      <c r="G630" s="4">
        <v>13</v>
      </c>
      <c r="H630" s="8">
        <v>2.56</v>
      </c>
      <c r="I630" s="4">
        <v>0</v>
      </c>
    </row>
    <row r="631" spans="1:9" x14ac:dyDescent="0.2">
      <c r="A631" s="1"/>
      <c r="C631" s="4"/>
      <c r="D631" s="8"/>
      <c r="E631" s="4"/>
      <c r="F631" s="8"/>
      <c r="G631" s="4"/>
      <c r="H631" s="8"/>
      <c r="I631" s="4"/>
    </row>
    <row r="632" spans="1:9" x14ac:dyDescent="0.2">
      <c r="A632" s="1" t="s">
        <v>28</v>
      </c>
      <c r="C632" s="4"/>
      <c r="D632" s="8"/>
      <c r="E632" s="4"/>
      <c r="F632" s="8"/>
      <c r="G632" s="4"/>
      <c r="H632" s="8"/>
      <c r="I632" s="4"/>
    </row>
    <row r="633" spans="1:9" x14ac:dyDescent="0.2">
      <c r="A633" s="2">
        <v>1</v>
      </c>
      <c r="B633" s="1" t="s">
        <v>83</v>
      </c>
      <c r="C633" s="4">
        <v>249</v>
      </c>
      <c r="D633" s="8">
        <v>10.96</v>
      </c>
      <c r="E633" s="4">
        <v>221</v>
      </c>
      <c r="F633" s="8">
        <v>19.32</v>
      </c>
      <c r="G633" s="4">
        <v>28</v>
      </c>
      <c r="H633" s="8">
        <v>2.52</v>
      </c>
      <c r="I633" s="4">
        <v>0</v>
      </c>
    </row>
    <row r="634" spans="1:9" x14ac:dyDescent="0.2">
      <c r="A634" s="2">
        <v>2</v>
      </c>
      <c r="B634" s="1" t="s">
        <v>82</v>
      </c>
      <c r="C634" s="4">
        <v>231</v>
      </c>
      <c r="D634" s="8">
        <v>10.17</v>
      </c>
      <c r="E634" s="4">
        <v>197</v>
      </c>
      <c r="F634" s="8">
        <v>17.22</v>
      </c>
      <c r="G634" s="4">
        <v>34</v>
      </c>
      <c r="H634" s="8">
        <v>3.06</v>
      </c>
      <c r="I634" s="4">
        <v>0</v>
      </c>
    </row>
    <row r="635" spans="1:9" x14ac:dyDescent="0.2">
      <c r="A635" s="2">
        <v>3</v>
      </c>
      <c r="B635" s="1" t="s">
        <v>79</v>
      </c>
      <c r="C635" s="4">
        <v>208</v>
      </c>
      <c r="D635" s="8">
        <v>9.16</v>
      </c>
      <c r="E635" s="4">
        <v>144</v>
      </c>
      <c r="F635" s="8">
        <v>12.59</v>
      </c>
      <c r="G635" s="4">
        <v>64</v>
      </c>
      <c r="H635" s="8">
        <v>5.77</v>
      </c>
      <c r="I635" s="4">
        <v>0</v>
      </c>
    </row>
    <row r="636" spans="1:9" x14ac:dyDescent="0.2">
      <c r="A636" s="2">
        <v>4</v>
      </c>
      <c r="B636" s="1" t="s">
        <v>70</v>
      </c>
      <c r="C636" s="4">
        <v>191</v>
      </c>
      <c r="D636" s="8">
        <v>8.41</v>
      </c>
      <c r="E636" s="4">
        <v>20</v>
      </c>
      <c r="F636" s="8">
        <v>1.75</v>
      </c>
      <c r="G636" s="4">
        <v>171</v>
      </c>
      <c r="H636" s="8">
        <v>15.41</v>
      </c>
      <c r="I636" s="4">
        <v>0</v>
      </c>
    </row>
    <row r="637" spans="1:9" x14ac:dyDescent="0.2">
      <c r="A637" s="2">
        <v>5</v>
      </c>
      <c r="B637" s="1" t="s">
        <v>68</v>
      </c>
      <c r="C637" s="4">
        <v>182</v>
      </c>
      <c r="D637" s="8">
        <v>8.01</v>
      </c>
      <c r="E637" s="4">
        <v>54</v>
      </c>
      <c r="F637" s="8">
        <v>4.72</v>
      </c>
      <c r="G637" s="4">
        <v>128</v>
      </c>
      <c r="H637" s="8">
        <v>11.53</v>
      </c>
      <c r="I637" s="4">
        <v>0</v>
      </c>
    </row>
    <row r="638" spans="1:9" x14ac:dyDescent="0.2">
      <c r="A638" s="2">
        <v>6</v>
      </c>
      <c r="B638" s="1" t="s">
        <v>69</v>
      </c>
      <c r="C638" s="4">
        <v>122</v>
      </c>
      <c r="D638" s="8">
        <v>5.37</v>
      </c>
      <c r="E638" s="4">
        <v>33</v>
      </c>
      <c r="F638" s="8">
        <v>2.88</v>
      </c>
      <c r="G638" s="4">
        <v>89</v>
      </c>
      <c r="H638" s="8">
        <v>8.02</v>
      </c>
      <c r="I638" s="4">
        <v>0</v>
      </c>
    </row>
    <row r="639" spans="1:9" x14ac:dyDescent="0.2">
      <c r="A639" s="2">
        <v>7</v>
      </c>
      <c r="B639" s="1" t="s">
        <v>77</v>
      </c>
      <c r="C639" s="4">
        <v>115</v>
      </c>
      <c r="D639" s="8">
        <v>5.0599999999999996</v>
      </c>
      <c r="E639" s="4">
        <v>60</v>
      </c>
      <c r="F639" s="8">
        <v>5.24</v>
      </c>
      <c r="G639" s="4">
        <v>55</v>
      </c>
      <c r="H639" s="8">
        <v>4.95</v>
      </c>
      <c r="I639" s="4">
        <v>0</v>
      </c>
    </row>
    <row r="640" spans="1:9" x14ac:dyDescent="0.2">
      <c r="A640" s="2">
        <v>8</v>
      </c>
      <c r="B640" s="1" t="s">
        <v>75</v>
      </c>
      <c r="C640" s="4">
        <v>96</v>
      </c>
      <c r="D640" s="8">
        <v>4.2300000000000004</v>
      </c>
      <c r="E640" s="4">
        <v>77</v>
      </c>
      <c r="F640" s="8">
        <v>6.73</v>
      </c>
      <c r="G640" s="4">
        <v>18</v>
      </c>
      <c r="H640" s="8">
        <v>1.62</v>
      </c>
      <c r="I640" s="4">
        <v>1</v>
      </c>
    </row>
    <row r="641" spans="1:9" x14ac:dyDescent="0.2">
      <c r="A641" s="2">
        <v>9</v>
      </c>
      <c r="B641" s="1" t="s">
        <v>85</v>
      </c>
      <c r="C641" s="4">
        <v>62</v>
      </c>
      <c r="D641" s="8">
        <v>2.73</v>
      </c>
      <c r="E641" s="4">
        <v>41</v>
      </c>
      <c r="F641" s="8">
        <v>3.58</v>
      </c>
      <c r="G641" s="4">
        <v>18</v>
      </c>
      <c r="H641" s="8">
        <v>1.62</v>
      </c>
      <c r="I641" s="4">
        <v>0</v>
      </c>
    </row>
    <row r="642" spans="1:9" x14ac:dyDescent="0.2">
      <c r="A642" s="2">
        <v>10</v>
      </c>
      <c r="B642" s="1" t="s">
        <v>87</v>
      </c>
      <c r="C642" s="4">
        <v>56</v>
      </c>
      <c r="D642" s="8">
        <v>2.4700000000000002</v>
      </c>
      <c r="E642" s="4">
        <v>43</v>
      </c>
      <c r="F642" s="8">
        <v>3.76</v>
      </c>
      <c r="G642" s="4">
        <v>13</v>
      </c>
      <c r="H642" s="8">
        <v>1.17</v>
      </c>
      <c r="I642" s="4">
        <v>0</v>
      </c>
    </row>
    <row r="643" spans="1:9" x14ac:dyDescent="0.2">
      <c r="A643" s="2">
        <v>11</v>
      </c>
      <c r="B643" s="1" t="s">
        <v>86</v>
      </c>
      <c r="C643" s="4">
        <v>52</v>
      </c>
      <c r="D643" s="8">
        <v>2.29</v>
      </c>
      <c r="E643" s="4">
        <v>45</v>
      </c>
      <c r="F643" s="8">
        <v>3.93</v>
      </c>
      <c r="G643" s="4">
        <v>7</v>
      </c>
      <c r="H643" s="8">
        <v>0.63</v>
      </c>
      <c r="I643" s="4">
        <v>0</v>
      </c>
    </row>
    <row r="644" spans="1:9" x14ac:dyDescent="0.2">
      <c r="A644" s="2">
        <v>12</v>
      </c>
      <c r="B644" s="1" t="s">
        <v>72</v>
      </c>
      <c r="C644" s="4">
        <v>45</v>
      </c>
      <c r="D644" s="8">
        <v>1.98</v>
      </c>
      <c r="E644" s="4">
        <v>4</v>
      </c>
      <c r="F644" s="8">
        <v>0.35</v>
      </c>
      <c r="G644" s="4">
        <v>41</v>
      </c>
      <c r="H644" s="8">
        <v>3.69</v>
      </c>
      <c r="I644" s="4">
        <v>0</v>
      </c>
    </row>
    <row r="645" spans="1:9" x14ac:dyDescent="0.2">
      <c r="A645" s="2">
        <v>13</v>
      </c>
      <c r="B645" s="1" t="s">
        <v>81</v>
      </c>
      <c r="C645" s="4">
        <v>44</v>
      </c>
      <c r="D645" s="8">
        <v>1.94</v>
      </c>
      <c r="E645" s="4">
        <v>14</v>
      </c>
      <c r="F645" s="8">
        <v>1.22</v>
      </c>
      <c r="G645" s="4">
        <v>29</v>
      </c>
      <c r="H645" s="8">
        <v>2.61</v>
      </c>
      <c r="I645" s="4">
        <v>0</v>
      </c>
    </row>
    <row r="646" spans="1:9" x14ac:dyDescent="0.2">
      <c r="A646" s="2">
        <v>14</v>
      </c>
      <c r="B646" s="1" t="s">
        <v>107</v>
      </c>
      <c r="C646" s="4">
        <v>41</v>
      </c>
      <c r="D646" s="8">
        <v>1.81</v>
      </c>
      <c r="E646" s="4">
        <v>0</v>
      </c>
      <c r="F646" s="8">
        <v>0</v>
      </c>
      <c r="G646" s="4">
        <v>41</v>
      </c>
      <c r="H646" s="8">
        <v>3.69</v>
      </c>
      <c r="I646" s="4">
        <v>0</v>
      </c>
    </row>
    <row r="647" spans="1:9" x14ac:dyDescent="0.2">
      <c r="A647" s="2">
        <v>15</v>
      </c>
      <c r="B647" s="1" t="s">
        <v>76</v>
      </c>
      <c r="C647" s="4">
        <v>39</v>
      </c>
      <c r="D647" s="8">
        <v>1.72</v>
      </c>
      <c r="E647" s="4">
        <v>25</v>
      </c>
      <c r="F647" s="8">
        <v>2.19</v>
      </c>
      <c r="G647" s="4">
        <v>14</v>
      </c>
      <c r="H647" s="8">
        <v>1.26</v>
      </c>
      <c r="I647" s="4">
        <v>0</v>
      </c>
    </row>
    <row r="648" spans="1:9" x14ac:dyDescent="0.2">
      <c r="A648" s="2">
        <v>16</v>
      </c>
      <c r="B648" s="1" t="s">
        <v>73</v>
      </c>
      <c r="C648" s="4">
        <v>36</v>
      </c>
      <c r="D648" s="8">
        <v>1.59</v>
      </c>
      <c r="E648" s="4">
        <v>3</v>
      </c>
      <c r="F648" s="8">
        <v>0.26</v>
      </c>
      <c r="G648" s="4">
        <v>33</v>
      </c>
      <c r="H648" s="8">
        <v>2.97</v>
      </c>
      <c r="I648" s="4">
        <v>0</v>
      </c>
    </row>
    <row r="649" spans="1:9" x14ac:dyDescent="0.2">
      <c r="A649" s="2">
        <v>17</v>
      </c>
      <c r="B649" s="1" t="s">
        <v>99</v>
      </c>
      <c r="C649" s="4">
        <v>35</v>
      </c>
      <c r="D649" s="8">
        <v>1.54</v>
      </c>
      <c r="E649" s="4">
        <v>23</v>
      </c>
      <c r="F649" s="8">
        <v>2.0099999999999998</v>
      </c>
      <c r="G649" s="4">
        <v>12</v>
      </c>
      <c r="H649" s="8">
        <v>1.08</v>
      </c>
      <c r="I649" s="4">
        <v>0</v>
      </c>
    </row>
    <row r="650" spans="1:9" x14ac:dyDescent="0.2">
      <c r="A650" s="2">
        <v>18</v>
      </c>
      <c r="B650" s="1" t="s">
        <v>74</v>
      </c>
      <c r="C650" s="4">
        <v>31</v>
      </c>
      <c r="D650" s="8">
        <v>1.37</v>
      </c>
      <c r="E650" s="4">
        <v>18</v>
      </c>
      <c r="F650" s="8">
        <v>1.57</v>
      </c>
      <c r="G650" s="4">
        <v>13</v>
      </c>
      <c r="H650" s="8">
        <v>1.17</v>
      </c>
      <c r="I650" s="4">
        <v>0</v>
      </c>
    </row>
    <row r="651" spans="1:9" x14ac:dyDescent="0.2">
      <c r="A651" s="2">
        <v>19</v>
      </c>
      <c r="B651" s="1" t="s">
        <v>78</v>
      </c>
      <c r="C651" s="4">
        <v>29</v>
      </c>
      <c r="D651" s="8">
        <v>1.28</v>
      </c>
      <c r="E651" s="4">
        <v>8</v>
      </c>
      <c r="F651" s="8">
        <v>0.7</v>
      </c>
      <c r="G651" s="4">
        <v>21</v>
      </c>
      <c r="H651" s="8">
        <v>1.89</v>
      </c>
      <c r="I651" s="4">
        <v>0</v>
      </c>
    </row>
    <row r="652" spans="1:9" x14ac:dyDescent="0.2">
      <c r="A652" s="2">
        <v>20</v>
      </c>
      <c r="B652" s="1" t="s">
        <v>84</v>
      </c>
      <c r="C652" s="4">
        <v>24</v>
      </c>
      <c r="D652" s="8">
        <v>1.06</v>
      </c>
      <c r="E652" s="4">
        <v>11</v>
      </c>
      <c r="F652" s="8">
        <v>0.96</v>
      </c>
      <c r="G652" s="4">
        <v>13</v>
      </c>
      <c r="H652" s="8">
        <v>1.17</v>
      </c>
      <c r="I652" s="4">
        <v>0</v>
      </c>
    </row>
    <row r="653" spans="1:9" x14ac:dyDescent="0.2">
      <c r="A653" s="1"/>
      <c r="C653" s="4"/>
      <c r="D653" s="8"/>
      <c r="E653" s="4"/>
      <c r="F653" s="8"/>
      <c r="G653" s="4"/>
      <c r="H653" s="8"/>
      <c r="I653" s="4"/>
    </row>
    <row r="654" spans="1:9" x14ac:dyDescent="0.2">
      <c r="A654" s="1" t="s">
        <v>29</v>
      </c>
      <c r="C654" s="4"/>
      <c r="D654" s="8"/>
      <c r="E654" s="4"/>
      <c r="F654" s="8"/>
      <c r="G654" s="4"/>
      <c r="H654" s="8"/>
      <c r="I654" s="4"/>
    </row>
    <row r="655" spans="1:9" x14ac:dyDescent="0.2">
      <c r="A655" s="2">
        <v>1</v>
      </c>
      <c r="B655" s="1" t="s">
        <v>68</v>
      </c>
      <c r="C655" s="4">
        <v>125</v>
      </c>
      <c r="D655" s="8">
        <v>13.21</v>
      </c>
      <c r="E655" s="4">
        <v>75</v>
      </c>
      <c r="F655" s="8">
        <v>11.42</v>
      </c>
      <c r="G655" s="4">
        <v>50</v>
      </c>
      <c r="H655" s="8">
        <v>17.73</v>
      </c>
      <c r="I655" s="4">
        <v>0</v>
      </c>
    </row>
    <row r="656" spans="1:9" x14ac:dyDescent="0.2">
      <c r="A656" s="2">
        <v>2</v>
      </c>
      <c r="B656" s="1" t="s">
        <v>83</v>
      </c>
      <c r="C656" s="4">
        <v>90</v>
      </c>
      <c r="D656" s="8">
        <v>9.51</v>
      </c>
      <c r="E656" s="4">
        <v>84</v>
      </c>
      <c r="F656" s="8">
        <v>12.79</v>
      </c>
      <c r="G656" s="4">
        <v>6</v>
      </c>
      <c r="H656" s="8">
        <v>2.13</v>
      </c>
      <c r="I656" s="4">
        <v>0</v>
      </c>
    </row>
    <row r="657" spans="1:9" x14ac:dyDescent="0.2">
      <c r="A657" s="2">
        <v>3</v>
      </c>
      <c r="B657" s="1" t="s">
        <v>69</v>
      </c>
      <c r="C657" s="4">
        <v>78</v>
      </c>
      <c r="D657" s="8">
        <v>8.25</v>
      </c>
      <c r="E657" s="4">
        <v>61</v>
      </c>
      <c r="F657" s="8">
        <v>9.2799999999999994</v>
      </c>
      <c r="G657" s="4">
        <v>17</v>
      </c>
      <c r="H657" s="8">
        <v>6.03</v>
      </c>
      <c r="I657" s="4">
        <v>0</v>
      </c>
    </row>
    <row r="658" spans="1:9" x14ac:dyDescent="0.2">
      <c r="A658" s="2">
        <v>4</v>
      </c>
      <c r="B658" s="1" t="s">
        <v>75</v>
      </c>
      <c r="C658" s="4">
        <v>75</v>
      </c>
      <c r="D658" s="8">
        <v>7.93</v>
      </c>
      <c r="E658" s="4">
        <v>65</v>
      </c>
      <c r="F658" s="8">
        <v>9.89</v>
      </c>
      <c r="G658" s="4">
        <v>9</v>
      </c>
      <c r="H658" s="8">
        <v>3.19</v>
      </c>
      <c r="I658" s="4">
        <v>1</v>
      </c>
    </row>
    <row r="659" spans="1:9" x14ac:dyDescent="0.2">
      <c r="A659" s="2">
        <v>5</v>
      </c>
      <c r="B659" s="1" t="s">
        <v>77</v>
      </c>
      <c r="C659" s="4">
        <v>73</v>
      </c>
      <c r="D659" s="8">
        <v>7.72</v>
      </c>
      <c r="E659" s="4">
        <v>57</v>
      </c>
      <c r="F659" s="8">
        <v>8.68</v>
      </c>
      <c r="G659" s="4">
        <v>16</v>
      </c>
      <c r="H659" s="8">
        <v>5.67</v>
      </c>
      <c r="I659" s="4">
        <v>0</v>
      </c>
    </row>
    <row r="660" spans="1:9" x14ac:dyDescent="0.2">
      <c r="A660" s="2">
        <v>6</v>
      </c>
      <c r="B660" s="1" t="s">
        <v>82</v>
      </c>
      <c r="C660" s="4">
        <v>58</v>
      </c>
      <c r="D660" s="8">
        <v>6.13</v>
      </c>
      <c r="E660" s="4">
        <v>54</v>
      </c>
      <c r="F660" s="8">
        <v>8.2200000000000006</v>
      </c>
      <c r="G660" s="4">
        <v>4</v>
      </c>
      <c r="H660" s="8">
        <v>1.42</v>
      </c>
      <c r="I660" s="4">
        <v>0</v>
      </c>
    </row>
    <row r="661" spans="1:9" x14ac:dyDescent="0.2">
      <c r="A661" s="2">
        <v>7</v>
      </c>
      <c r="B661" s="1" t="s">
        <v>70</v>
      </c>
      <c r="C661" s="4">
        <v>46</v>
      </c>
      <c r="D661" s="8">
        <v>4.8600000000000003</v>
      </c>
      <c r="E661" s="4">
        <v>24</v>
      </c>
      <c r="F661" s="8">
        <v>3.65</v>
      </c>
      <c r="G661" s="4">
        <v>22</v>
      </c>
      <c r="H661" s="8">
        <v>7.8</v>
      </c>
      <c r="I661" s="4">
        <v>0</v>
      </c>
    </row>
    <row r="662" spans="1:9" x14ac:dyDescent="0.2">
      <c r="A662" s="2">
        <v>8</v>
      </c>
      <c r="B662" s="1" t="s">
        <v>76</v>
      </c>
      <c r="C662" s="4">
        <v>42</v>
      </c>
      <c r="D662" s="8">
        <v>4.4400000000000004</v>
      </c>
      <c r="E662" s="4">
        <v>32</v>
      </c>
      <c r="F662" s="8">
        <v>4.87</v>
      </c>
      <c r="G662" s="4">
        <v>10</v>
      </c>
      <c r="H662" s="8">
        <v>3.55</v>
      </c>
      <c r="I662" s="4">
        <v>0</v>
      </c>
    </row>
    <row r="663" spans="1:9" x14ac:dyDescent="0.2">
      <c r="A663" s="2">
        <v>9</v>
      </c>
      <c r="B663" s="1" t="s">
        <v>87</v>
      </c>
      <c r="C663" s="4">
        <v>41</v>
      </c>
      <c r="D663" s="8">
        <v>4.33</v>
      </c>
      <c r="E663" s="4">
        <v>40</v>
      </c>
      <c r="F663" s="8">
        <v>6.09</v>
      </c>
      <c r="G663" s="4">
        <v>1</v>
      </c>
      <c r="H663" s="8">
        <v>0.35</v>
      </c>
      <c r="I663" s="4">
        <v>0</v>
      </c>
    </row>
    <row r="664" spans="1:9" x14ac:dyDescent="0.2">
      <c r="A664" s="2">
        <v>10</v>
      </c>
      <c r="B664" s="1" t="s">
        <v>97</v>
      </c>
      <c r="C664" s="4">
        <v>21</v>
      </c>
      <c r="D664" s="8">
        <v>2.2200000000000002</v>
      </c>
      <c r="E664" s="4">
        <v>17</v>
      </c>
      <c r="F664" s="8">
        <v>2.59</v>
      </c>
      <c r="G664" s="4">
        <v>4</v>
      </c>
      <c r="H664" s="8">
        <v>1.42</v>
      </c>
      <c r="I664" s="4">
        <v>0</v>
      </c>
    </row>
    <row r="665" spans="1:9" x14ac:dyDescent="0.2">
      <c r="A665" s="2">
        <v>10</v>
      </c>
      <c r="B665" s="1" t="s">
        <v>86</v>
      </c>
      <c r="C665" s="4">
        <v>21</v>
      </c>
      <c r="D665" s="8">
        <v>2.2200000000000002</v>
      </c>
      <c r="E665" s="4">
        <v>19</v>
      </c>
      <c r="F665" s="8">
        <v>2.89</v>
      </c>
      <c r="G665" s="4">
        <v>2</v>
      </c>
      <c r="H665" s="8">
        <v>0.71</v>
      </c>
      <c r="I665" s="4">
        <v>0</v>
      </c>
    </row>
    <row r="666" spans="1:9" x14ac:dyDescent="0.2">
      <c r="A666" s="2">
        <v>12</v>
      </c>
      <c r="B666" s="1" t="s">
        <v>71</v>
      </c>
      <c r="C666" s="4">
        <v>19</v>
      </c>
      <c r="D666" s="8">
        <v>2.0099999999999998</v>
      </c>
      <c r="E666" s="4">
        <v>9</v>
      </c>
      <c r="F666" s="8">
        <v>1.37</v>
      </c>
      <c r="G666" s="4">
        <v>10</v>
      </c>
      <c r="H666" s="8">
        <v>3.55</v>
      </c>
      <c r="I666" s="4">
        <v>0</v>
      </c>
    </row>
    <row r="667" spans="1:9" x14ac:dyDescent="0.2">
      <c r="A667" s="2">
        <v>13</v>
      </c>
      <c r="B667" s="1" t="s">
        <v>93</v>
      </c>
      <c r="C667" s="4">
        <v>18</v>
      </c>
      <c r="D667" s="8">
        <v>1.9</v>
      </c>
      <c r="E667" s="4">
        <v>6</v>
      </c>
      <c r="F667" s="8">
        <v>0.91</v>
      </c>
      <c r="G667" s="4">
        <v>12</v>
      </c>
      <c r="H667" s="8">
        <v>4.26</v>
      </c>
      <c r="I667" s="4">
        <v>0</v>
      </c>
    </row>
    <row r="668" spans="1:9" x14ac:dyDescent="0.2">
      <c r="A668" s="2">
        <v>13</v>
      </c>
      <c r="B668" s="1" t="s">
        <v>81</v>
      </c>
      <c r="C668" s="4">
        <v>18</v>
      </c>
      <c r="D668" s="8">
        <v>1.9</v>
      </c>
      <c r="E668" s="4">
        <v>11</v>
      </c>
      <c r="F668" s="8">
        <v>1.67</v>
      </c>
      <c r="G668" s="4">
        <v>5</v>
      </c>
      <c r="H668" s="8">
        <v>1.77</v>
      </c>
      <c r="I668" s="4">
        <v>0</v>
      </c>
    </row>
    <row r="669" spans="1:9" x14ac:dyDescent="0.2">
      <c r="A669" s="2">
        <v>15</v>
      </c>
      <c r="B669" s="1" t="s">
        <v>91</v>
      </c>
      <c r="C669" s="4">
        <v>16</v>
      </c>
      <c r="D669" s="8">
        <v>1.69</v>
      </c>
      <c r="E669" s="4">
        <v>10</v>
      </c>
      <c r="F669" s="8">
        <v>1.52</v>
      </c>
      <c r="G669" s="4">
        <v>6</v>
      </c>
      <c r="H669" s="8">
        <v>2.13</v>
      </c>
      <c r="I669" s="4">
        <v>0</v>
      </c>
    </row>
    <row r="670" spans="1:9" x14ac:dyDescent="0.2">
      <c r="A670" s="2">
        <v>16</v>
      </c>
      <c r="B670" s="1" t="s">
        <v>74</v>
      </c>
      <c r="C670" s="4">
        <v>15</v>
      </c>
      <c r="D670" s="8">
        <v>1.59</v>
      </c>
      <c r="E670" s="4">
        <v>9</v>
      </c>
      <c r="F670" s="8">
        <v>1.37</v>
      </c>
      <c r="G670" s="4">
        <v>6</v>
      </c>
      <c r="H670" s="8">
        <v>2.13</v>
      </c>
      <c r="I670" s="4">
        <v>0</v>
      </c>
    </row>
    <row r="671" spans="1:9" x14ac:dyDescent="0.2">
      <c r="A671" s="2">
        <v>16</v>
      </c>
      <c r="B671" s="1" t="s">
        <v>79</v>
      </c>
      <c r="C671" s="4">
        <v>15</v>
      </c>
      <c r="D671" s="8">
        <v>1.59</v>
      </c>
      <c r="E671" s="4">
        <v>9</v>
      </c>
      <c r="F671" s="8">
        <v>1.37</v>
      </c>
      <c r="G671" s="4">
        <v>6</v>
      </c>
      <c r="H671" s="8">
        <v>2.13</v>
      </c>
      <c r="I671" s="4">
        <v>0</v>
      </c>
    </row>
    <row r="672" spans="1:9" x14ac:dyDescent="0.2">
      <c r="A672" s="2">
        <v>16</v>
      </c>
      <c r="B672" s="1" t="s">
        <v>85</v>
      </c>
      <c r="C672" s="4">
        <v>15</v>
      </c>
      <c r="D672" s="8">
        <v>1.59</v>
      </c>
      <c r="E672" s="4">
        <v>12</v>
      </c>
      <c r="F672" s="8">
        <v>1.83</v>
      </c>
      <c r="G672" s="4">
        <v>1</v>
      </c>
      <c r="H672" s="8">
        <v>0.35</v>
      </c>
      <c r="I672" s="4">
        <v>0</v>
      </c>
    </row>
    <row r="673" spans="1:9" x14ac:dyDescent="0.2">
      <c r="A673" s="2">
        <v>19</v>
      </c>
      <c r="B673" s="1" t="s">
        <v>72</v>
      </c>
      <c r="C673" s="4">
        <v>13</v>
      </c>
      <c r="D673" s="8">
        <v>1.37</v>
      </c>
      <c r="E673" s="4">
        <v>7</v>
      </c>
      <c r="F673" s="8">
        <v>1.07</v>
      </c>
      <c r="G673" s="4">
        <v>6</v>
      </c>
      <c r="H673" s="8">
        <v>2.13</v>
      </c>
      <c r="I673" s="4">
        <v>0</v>
      </c>
    </row>
    <row r="674" spans="1:9" x14ac:dyDescent="0.2">
      <c r="A674" s="2">
        <v>20</v>
      </c>
      <c r="B674" s="1" t="s">
        <v>96</v>
      </c>
      <c r="C674" s="4">
        <v>11</v>
      </c>
      <c r="D674" s="8">
        <v>1.1599999999999999</v>
      </c>
      <c r="E674" s="4">
        <v>0</v>
      </c>
      <c r="F674" s="8">
        <v>0</v>
      </c>
      <c r="G674" s="4">
        <v>11</v>
      </c>
      <c r="H674" s="8">
        <v>3.9</v>
      </c>
      <c r="I674" s="4">
        <v>0</v>
      </c>
    </row>
    <row r="675" spans="1:9" x14ac:dyDescent="0.2">
      <c r="A675" s="1"/>
      <c r="C675" s="4"/>
      <c r="D675" s="8"/>
      <c r="E675" s="4"/>
      <c r="F675" s="8"/>
      <c r="G675" s="4"/>
      <c r="H675" s="8"/>
      <c r="I675" s="4"/>
    </row>
    <row r="676" spans="1:9" x14ac:dyDescent="0.2">
      <c r="A676" s="1" t="s">
        <v>30</v>
      </c>
      <c r="C676" s="4"/>
      <c r="D676" s="8"/>
      <c r="E676" s="4"/>
      <c r="F676" s="8"/>
      <c r="G676" s="4"/>
      <c r="H676" s="8"/>
      <c r="I676" s="4"/>
    </row>
    <row r="677" spans="1:9" x14ac:dyDescent="0.2">
      <c r="A677" s="2">
        <v>1</v>
      </c>
      <c r="B677" s="1" t="s">
        <v>83</v>
      </c>
      <c r="C677" s="4">
        <v>133</v>
      </c>
      <c r="D677" s="8">
        <v>12.91</v>
      </c>
      <c r="E677" s="4">
        <v>121</v>
      </c>
      <c r="F677" s="8">
        <v>17.64</v>
      </c>
      <c r="G677" s="4">
        <v>12</v>
      </c>
      <c r="H677" s="8">
        <v>3.59</v>
      </c>
      <c r="I677" s="4">
        <v>0</v>
      </c>
    </row>
    <row r="678" spans="1:9" x14ac:dyDescent="0.2">
      <c r="A678" s="2">
        <v>2</v>
      </c>
      <c r="B678" s="1" t="s">
        <v>68</v>
      </c>
      <c r="C678" s="4">
        <v>120</v>
      </c>
      <c r="D678" s="8">
        <v>11.65</v>
      </c>
      <c r="E678" s="4">
        <v>75</v>
      </c>
      <c r="F678" s="8">
        <v>10.93</v>
      </c>
      <c r="G678" s="4">
        <v>45</v>
      </c>
      <c r="H678" s="8">
        <v>13.47</v>
      </c>
      <c r="I678" s="4">
        <v>0</v>
      </c>
    </row>
    <row r="679" spans="1:9" x14ac:dyDescent="0.2">
      <c r="A679" s="2">
        <v>3</v>
      </c>
      <c r="B679" s="1" t="s">
        <v>77</v>
      </c>
      <c r="C679" s="4">
        <v>107</v>
      </c>
      <c r="D679" s="8">
        <v>10.39</v>
      </c>
      <c r="E679" s="4">
        <v>78</v>
      </c>
      <c r="F679" s="8">
        <v>11.37</v>
      </c>
      <c r="G679" s="4">
        <v>29</v>
      </c>
      <c r="H679" s="8">
        <v>8.68</v>
      </c>
      <c r="I679" s="4">
        <v>0</v>
      </c>
    </row>
    <row r="680" spans="1:9" x14ac:dyDescent="0.2">
      <c r="A680" s="2">
        <v>4</v>
      </c>
      <c r="B680" s="1" t="s">
        <v>82</v>
      </c>
      <c r="C680" s="4">
        <v>78</v>
      </c>
      <c r="D680" s="8">
        <v>7.57</v>
      </c>
      <c r="E680" s="4">
        <v>75</v>
      </c>
      <c r="F680" s="8">
        <v>10.93</v>
      </c>
      <c r="G680" s="4">
        <v>3</v>
      </c>
      <c r="H680" s="8">
        <v>0.9</v>
      </c>
      <c r="I680" s="4">
        <v>0</v>
      </c>
    </row>
    <row r="681" spans="1:9" x14ac:dyDescent="0.2">
      <c r="A681" s="2">
        <v>5</v>
      </c>
      <c r="B681" s="1" t="s">
        <v>69</v>
      </c>
      <c r="C681" s="4">
        <v>71</v>
      </c>
      <c r="D681" s="8">
        <v>6.89</v>
      </c>
      <c r="E681" s="4">
        <v>49</v>
      </c>
      <c r="F681" s="8">
        <v>7.14</v>
      </c>
      <c r="G681" s="4">
        <v>22</v>
      </c>
      <c r="H681" s="8">
        <v>6.59</v>
      </c>
      <c r="I681" s="4">
        <v>0</v>
      </c>
    </row>
    <row r="682" spans="1:9" x14ac:dyDescent="0.2">
      <c r="A682" s="2">
        <v>6</v>
      </c>
      <c r="B682" s="1" t="s">
        <v>70</v>
      </c>
      <c r="C682" s="4">
        <v>50</v>
      </c>
      <c r="D682" s="8">
        <v>4.8499999999999996</v>
      </c>
      <c r="E682" s="4">
        <v>24</v>
      </c>
      <c r="F682" s="8">
        <v>3.5</v>
      </c>
      <c r="G682" s="4">
        <v>26</v>
      </c>
      <c r="H682" s="8">
        <v>7.78</v>
      </c>
      <c r="I682" s="4">
        <v>0</v>
      </c>
    </row>
    <row r="683" spans="1:9" x14ac:dyDescent="0.2">
      <c r="A683" s="2">
        <v>7</v>
      </c>
      <c r="B683" s="1" t="s">
        <v>75</v>
      </c>
      <c r="C683" s="4">
        <v>43</v>
      </c>
      <c r="D683" s="8">
        <v>4.17</v>
      </c>
      <c r="E683" s="4">
        <v>36</v>
      </c>
      <c r="F683" s="8">
        <v>5.25</v>
      </c>
      <c r="G683" s="4">
        <v>7</v>
      </c>
      <c r="H683" s="8">
        <v>2.1</v>
      </c>
      <c r="I683" s="4">
        <v>0</v>
      </c>
    </row>
    <row r="684" spans="1:9" x14ac:dyDescent="0.2">
      <c r="A684" s="2">
        <v>8</v>
      </c>
      <c r="B684" s="1" t="s">
        <v>76</v>
      </c>
      <c r="C684" s="4">
        <v>37</v>
      </c>
      <c r="D684" s="8">
        <v>3.59</v>
      </c>
      <c r="E684" s="4">
        <v>30</v>
      </c>
      <c r="F684" s="8">
        <v>4.37</v>
      </c>
      <c r="G684" s="4">
        <v>7</v>
      </c>
      <c r="H684" s="8">
        <v>2.1</v>
      </c>
      <c r="I684" s="4">
        <v>0</v>
      </c>
    </row>
    <row r="685" spans="1:9" x14ac:dyDescent="0.2">
      <c r="A685" s="2">
        <v>9</v>
      </c>
      <c r="B685" s="1" t="s">
        <v>79</v>
      </c>
      <c r="C685" s="4">
        <v>35</v>
      </c>
      <c r="D685" s="8">
        <v>3.4</v>
      </c>
      <c r="E685" s="4">
        <v>23</v>
      </c>
      <c r="F685" s="8">
        <v>3.35</v>
      </c>
      <c r="G685" s="4">
        <v>12</v>
      </c>
      <c r="H685" s="8">
        <v>3.59</v>
      </c>
      <c r="I685" s="4">
        <v>0</v>
      </c>
    </row>
    <row r="686" spans="1:9" x14ac:dyDescent="0.2">
      <c r="A686" s="2">
        <v>10</v>
      </c>
      <c r="B686" s="1" t="s">
        <v>87</v>
      </c>
      <c r="C686" s="4">
        <v>34</v>
      </c>
      <c r="D686" s="8">
        <v>3.3</v>
      </c>
      <c r="E686" s="4">
        <v>33</v>
      </c>
      <c r="F686" s="8">
        <v>4.8099999999999996</v>
      </c>
      <c r="G686" s="4">
        <v>1</v>
      </c>
      <c r="H686" s="8">
        <v>0.3</v>
      </c>
      <c r="I686" s="4">
        <v>0</v>
      </c>
    </row>
    <row r="687" spans="1:9" x14ac:dyDescent="0.2">
      <c r="A687" s="2">
        <v>11</v>
      </c>
      <c r="B687" s="1" t="s">
        <v>86</v>
      </c>
      <c r="C687" s="4">
        <v>22</v>
      </c>
      <c r="D687" s="8">
        <v>2.14</v>
      </c>
      <c r="E687" s="4">
        <v>22</v>
      </c>
      <c r="F687" s="8">
        <v>3.21</v>
      </c>
      <c r="G687" s="4">
        <v>0</v>
      </c>
      <c r="H687" s="8">
        <v>0</v>
      </c>
      <c r="I687" s="4">
        <v>0</v>
      </c>
    </row>
    <row r="688" spans="1:9" x14ac:dyDescent="0.2">
      <c r="A688" s="2">
        <v>12</v>
      </c>
      <c r="B688" s="1" t="s">
        <v>85</v>
      </c>
      <c r="C688" s="4">
        <v>21</v>
      </c>
      <c r="D688" s="8">
        <v>2.04</v>
      </c>
      <c r="E688" s="4">
        <v>15</v>
      </c>
      <c r="F688" s="8">
        <v>2.19</v>
      </c>
      <c r="G688" s="4">
        <v>5</v>
      </c>
      <c r="H688" s="8">
        <v>1.5</v>
      </c>
      <c r="I688" s="4">
        <v>0</v>
      </c>
    </row>
    <row r="689" spans="1:9" x14ac:dyDescent="0.2">
      <c r="A689" s="2">
        <v>13</v>
      </c>
      <c r="B689" s="1" t="s">
        <v>80</v>
      </c>
      <c r="C689" s="4">
        <v>19</v>
      </c>
      <c r="D689" s="8">
        <v>1.84</v>
      </c>
      <c r="E689" s="4">
        <v>14</v>
      </c>
      <c r="F689" s="8">
        <v>2.04</v>
      </c>
      <c r="G689" s="4">
        <v>5</v>
      </c>
      <c r="H689" s="8">
        <v>1.5</v>
      </c>
      <c r="I689" s="4">
        <v>0</v>
      </c>
    </row>
    <row r="690" spans="1:9" x14ac:dyDescent="0.2">
      <c r="A690" s="2">
        <v>14</v>
      </c>
      <c r="B690" s="1" t="s">
        <v>93</v>
      </c>
      <c r="C690" s="4">
        <v>18</v>
      </c>
      <c r="D690" s="8">
        <v>1.75</v>
      </c>
      <c r="E690" s="4">
        <v>3</v>
      </c>
      <c r="F690" s="8">
        <v>0.44</v>
      </c>
      <c r="G690" s="4">
        <v>15</v>
      </c>
      <c r="H690" s="8">
        <v>4.49</v>
      </c>
      <c r="I690" s="4">
        <v>0</v>
      </c>
    </row>
    <row r="691" spans="1:9" x14ac:dyDescent="0.2">
      <c r="A691" s="2">
        <v>14</v>
      </c>
      <c r="B691" s="1" t="s">
        <v>81</v>
      </c>
      <c r="C691" s="4">
        <v>18</v>
      </c>
      <c r="D691" s="8">
        <v>1.75</v>
      </c>
      <c r="E691" s="4">
        <v>9</v>
      </c>
      <c r="F691" s="8">
        <v>1.31</v>
      </c>
      <c r="G691" s="4">
        <v>7</v>
      </c>
      <c r="H691" s="8">
        <v>2.1</v>
      </c>
      <c r="I691" s="4">
        <v>0</v>
      </c>
    </row>
    <row r="692" spans="1:9" x14ac:dyDescent="0.2">
      <c r="A692" s="2">
        <v>16</v>
      </c>
      <c r="B692" s="1" t="s">
        <v>96</v>
      </c>
      <c r="C692" s="4">
        <v>17</v>
      </c>
      <c r="D692" s="8">
        <v>1.65</v>
      </c>
      <c r="E692" s="4">
        <v>1</v>
      </c>
      <c r="F692" s="8">
        <v>0.15</v>
      </c>
      <c r="G692" s="4">
        <v>16</v>
      </c>
      <c r="H692" s="8">
        <v>4.79</v>
      </c>
      <c r="I692" s="4">
        <v>0</v>
      </c>
    </row>
    <row r="693" spans="1:9" x14ac:dyDescent="0.2">
      <c r="A693" s="2">
        <v>17</v>
      </c>
      <c r="B693" s="1" t="s">
        <v>88</v>
      </c>
      <c r="C693" s="4">
        <v>16</v>
      </c>
      <c r="D693" s="8">
        <v>1.55</v>
      </c>
      <c r="E693" s="4">
        <v>7</v>
      </c>
      <c r="F693" s="8">
        <v>1.02</v>
      </c>
      <c r="G693" s="4">
        <v>9</v>
      </c>
      <c r="H693" s="8">
        <v>2.69</v>
      </c>
      <c r="I693" s="4">
        <v>0</v>
      </c>
    </row>
    <row r="694" spans="1:9" x14ac:dyDescent="0.2">
      <c r="A694" s="2">
        <v>18</v>
      </c>
      <c r="B694" s="1" t="s">
        <v>78</v>
      </c>
      <c r="C694" s="4">
        <v>13</v>
      </c>
      <c r="D694" s="8">
        <v>1.26</v>
      </c>
      <c r="E694" s="4">
        <v>1</v>
      </c>
      <c r="F694" s="8">
        <v>0.15</v>
      </c>
      <c r="G694" s="4">
        <v>12</v>
      </c>
      <c r="H694" s="8">
        <v>3.59</v>
      </c>
      <c r="I694" s="4">
        <v>0</v>
      </c>
    </row>
    <row r="695" spans="1:9" x14ac:dyDescent="0.2">
      <c r="A695" s="2">
        <v>19</v>
      </c>
      <c r="B695" s="1" t="s">
        <v>74</v>
      </c>
      <c r="C695" s="4">
        <v>12</v>
      </c>
      <c r="D695" s="8">
        <v>1.17</v>
      </c>
      <c r="E695" s="4">
        <v>9</v>
      </c>
      <c r="F695" s="8">
        <v>1.31</v>
      </c>
      <c r="G695" s="4">
        <v>3</v>
      </c>
      <c r="H695" s="8">
        <v>0.9</v>
      </c>
      <c r="I695" s="4">
        <v>0</v>
      </c>
    </row>
    <row r="696" spans="1:9" x14ac:dyDescent="0.2">
      <c r="A696" s="2">
        <v>20</v>
      </c>
      <c r="B696" s="1" t="s">
        <v>97</v>
      </c>
      <c r="C696" s="4">
        <v>11</v>
      </c>
      <c r="D696" s="8">
        <v>1.07</v>
      </c>
      <c r="E696" s="4">
        <v>8</v>
      </c>
      <c r="F696" s="8">
        <v>1.17</v>
      </c>
      <c r="G696" s="4">
        <v>3</v>
      </c>
      <c r="H696" s="8">
        <v>0.9</v>
      </c>
      <c r="I696" s="4">
        <v>0</v>
      </c>
    </row>
    <row r="697" spans="1:9" x14ac:dyDescent="0.2">
      <c r="A697" s="1"/>
      <c r="C697" s="4"/>
      <c r="D697" s="8"/>
      <c r="E697" s="4"/>
      <c r="F697" s="8"/>
      <c r="G697" s="4"/>
      <c r="H697" s="8"/>
      <c r="I697" s="4"/>
    </row>
    <row r="698" spans="1:9" x14ac:dyDescent="0.2">
      <c r="A698" s="1" t="s">
        <v>31</v>
      </c>
      <c r="C698" s="4"/>
      <c r="D698" s="8"/>
      <c r="E698" s="4"/>
      <c r="F698" s="8"/>
      <c r="G698" s="4"/>
      <c r="H698" s="8"/>
      <c r="I698" s="4"/>
    </row>
    <row r="699" spans="1:9" x14ac:dyDescent="0.2">
      <c r="A699" s="2">
        <v>1</v>
      </c>
      <c r="B699" s="1" t="s">
        <v>83</v>
      </c>
      <c r="C699" s="4">
        <v>86</v>
      </c>
      <c r="D699" s="8">
        <v>11.05</v>
      </c>
      <c r="E699" s="4">
        <v>77</v>
      </c>
      <c r="F699" s="8">
        <v>21.04</v>
      </c>
      <c r="G699" s="4">
        <v>9</v>
      </c>
      <c r="H699" s="8">
        <v>2.2000000000000002</v>
      </c>
      <c r="I699" s="4">
        <v>0</v>
      </c>
    </row>
    <row r="700" spans="1:9" x14ac:dyDescent="0.2">
      <c r="A700" s="2">
        <v>2</v>
      </c>
      <c r="B700" s="1" t="s">
        <v>68</v>
      </c>
      <c r="C700" s="4">
        <v>85</v>
      </c>
      <c r="D700" s="8">
        <v>10.93</v>
      </c>
      <c r="E700" s="4">
        <v>30</v>
      </c>
      <c r="F700" s="8">
        <v>8.1999999999999993</v>
      </c>
      <c r="G700" s="4">
        <v>55</v>
      </c>
      <c r="H700" s="8">
        <v>13.45</v>
      </c>
      <c r="I700" s="4">
        <v>0</v>
      </c>
    </row>
    <row r="701" spans="1:9" x14ac:dyDescent="0.2">
      <c r="A701" s="2">
        <v>3</v>
      </c>
      <c r="B701" s="1" t="s">
        <v>69</v>
      </c>
      <c r="C701" s="4">
        <v>61</v>
      </c>
      <c r="D701" s="8">
        <v>7.84</v>
      </c>
      <c r="E701" s="4">
        <v>33</v>
      </c>
      <c r="F701" s="8">
        <v>9.02</v>
      </c>
      <c r="G701" s="4">
        <v>28</v>
      </c>
      <c r="H701" s="8">
        <v>6.85</v>
      </c>
      <c r="I701" s="4">
        <v>0</v>
      </c>
    </row>
    <row r="702" spans="1:9" x14ac:dyDescent="0.2">
      <c r="A702" s="2">
        <v>4</v>
      </c>
      <c r="B702" s="1" t="s">
        <v>82</v>
      </c>
      <c r="C702" s="4">
        <v>54</v>
      </c>
      <c r="D702" s="8">
        <v>6.94</v>
      </c>
      <c r="E702" s="4">
        <v>46</v>
      </c>
      <c r="F702" s="8">
        <v>12.57</v>
      </c>
      <c r="G702" s="4">
        <v>8</v>
      </c>
      <c r="H702" s="8">
        <v>1.96</v>
      </c>
      <c r="I702" s="4">
        <v>0</v>
      </c>
    </row>
    <row r="703" spans="1:9" x14ac:dyDescent="0.2">
      <c r="A703" s="2">
        <v>5</v>
      </c>
      <c r="B703" s="1" t="s">
        <v>77</v>
      </c>
      <c r="C703" s="4">
        <v>45</v>
      </c>
      <c r="D703" s="8">
        <v>5.78</v>
      </c>
      <c r="E703" s="4">
        <v>18</v>
      </c>
      <c r="F703" s="8">
        <v>4.92</v>
      </c>
      <c r="G703" s="4">
        <v>27</v>
      </c>
      <c r="H703" s="8">
        <v>6.6</v>
      </c>
      <c r="I703" s="4">
        <v>0</v>
      </c>
    </row>
    <row r="704" spans="1:9" x14ac:dyDescent="0.2">
      <c r="A704" s="2">
        <v>6</v>
      </c>
      <c r="B704" s="1" t="s">
        <v>70</v>
      </c>
      <c r="C704" s="4">
        <v>42</v>
      </c>
      <c r="D704" s="8">
        <v>5.4</v>
      </c>
      <c r="E704" s="4">
        <v>10</v>
      </c>
      <c r="F704" s="8">
        <v>2.73</v>
      </c>
      <c r="G704" s="4">
        <v>32</v>
      </c>
      <c r="H704" s="8">
        <v>7.82</v>
      </c>
      <c r="I704" s="4">
        <v>0</v>
      </c>
    </row>
    <row r="705" spans="1:9" x14ac:dyDescent="0.2">
      <c r="A705" s="2">
        <v>7</v>
      </c>
      <c r="B705" s="1" t="s">
        <v>76</v>
      </c>
      <c r="C705" s="4">
        <v>39</v>
      </c>
      <c r="D705" s="8">
        <v>5.01</v>
      </c>
      <c r="E705" s="4">
        <v>26</v>
      </c>
      <c r="F705" s="8">
        <v>7.1</v>
      </c>
      <c r="G705" s="4">
        <v>13</v>
      </c>
      <c r="H705" s="8">
        <v>3.18</v>
      </c>
      <c r="I705" s="4">
        <v>0</v>
      </c>
    </row>
    <row r="706" spans="1:9" x14ac:dyDescent="0.2">
      <c r="A706" s="2">
        <v>8</v>
      </c>
      <c r="B706" s="1" t="s">
        <v>75</v>
      </c>
      <c r="C706" s="4">
        <v>32</v>
      </c>
      <c r="D706" s="8">
        <v>4.1100000000000003</v>
      </c>
      <c r="E706" s="4">
        <v>24</v>
      </c>
      <c r="F706" s="8">
        <v>6.56</v>
      </c>
      <c r="G706" s="4">
        <v>8</v>
      </c>
      <c r="H706" s="8">
        <v>1.96</v>
      </c>
      <c r="I706" s="4">
        <v>0</v>
      </c>
    </row>
    <row r="707" spans="1:9" x14ac:dyDescent="0.2">
      <c r="A707" s="2">
        <v>9</v>
      </c>
      <c r="B707" s="1" t="s">
        <v>79</v>
      </c>
      <c r="C707" s="4">
        <v>25</v>
      </c>
      <c r="D707" s="8">
        <v>3.21</v>
      </c>
      <c r="E707" s="4">
        <v>2</v>
      </c>
      <c r="F707" s="8">
        <v>0.55000000000000004</v>
      </c>
      <c r="G707" s="4">
        <v>23</v>
      </c>
      <c r="H707" s="8">
        <v>5.62</v>
      </c>
      <c r="I707" s="4">
        <v>0</v>
      </c>
    </row>
    <row r="708" spans="1:9" x14ac:dyDescent="0.2">
      <c r="A708" s="2">
        <v>10</v>
      </c>
      <c r="B708" s="1" t="s">
        <v>81</v>
      </c>
      <c r="C708" s="4">
        <v>23</v>
      </c>
      <c r="D708" s="8">
        <v>2.96</v>
      </c>
      <c r="E708" s="4">
        <v>7</v>
      </c>
      <c r="F708" s="8">
        <v>1.91</v>
      </c>
      <c r="G708" s="4">
        <v>16</v>
      </c>
      <c r="H708" s="8">
        <v>3.91</v>
      </c>
      <c r="I708" s="4">
        <v>0</v>
      </c>
    </row>
    <row r="709" spans="1:9" x14ac:dyDescent="0.2">
      <c r="A709" s="2">
        <v>10</v>
      </c>
      <c r="B709" s="1" t="s">
        <v>86</v>
      </c>
      <c r="C709" s="4">
        <v>23</v>
      </c>
      <c r="D709" s="8">
        <v>2.96</v>
      </c>
      <c r="E709" s="4">
        <v>19</v>
      </c>
      <c r="F709" s="8">
        <v>5.19</v>
      </c>
      <c r="G709" s="4">
        <v>4</v>
      </c>
      <c r="H709" s="8">
        <v>0.98</v>
      </c>
      <c r="I709" s="4">
        <v>0</v>
      </c>
    </row>
    <row r="710" spans="1:9" x14ac:dyDescent="0.2">
      <c r="A710" s="2">
        <v>12</v>
      </c>
      <c r="B710" s="1" t="s">
        <v>85</v>
      </c>
      <c r="C710" s="4">
        <v>22</v>
      </c>
      <c r="D710" s="8">
        <v>2.83</v>
      </c>
      <c r="E710" s="4">
        <v>15</v>
      </c>
      <c r="F710" s="8">
        <v>4.0999999999999996</v>
      </c>
      <c r="G710" s="4">
        <v>5</v>
      </c>
      <c r="H710" s="8">
        <v>1.22</v>
      </c>
      <c r="I710" s="4">
        <v>0</v>
      </c>
    </row>
    <row r="711" spans="1:9" x14ac:dyDescent="0.2">
      <c r="A711" s="2">
        <v>13</v>
      </c>
      <c r="B711" s="1" t="s">
        <v>80</v>
      </c>
      <c r="C711" s="4">
        <v>18</v>
      </c>
      <c r="D711" s="8">
        <v>2.31</v>
      </c>
      <c r="E711" s="4">
        <v>7</v>
      </c>
      <c r="F711" s="8">
        <v>1.91</v>
      </c>
      <c r="G711" s="4">
        <v>11</v>
      </c>
      <c r="H711" s="8">
        <v>2.69</v>
      </c>
      <c r="I711" s="4">
        <v>0</v>
      </c>
    </row>
    <row r="712" spans="1:9" x14ac:dyDescent="0.2">
      <c r="A712" s="2">
        <v>13</v>
      </c>
      <c r="B712" s="1" t="s">
        <v>87</v>
      </c>
      <c r="C712" s="4">
        <v>18</v>
      </c>
      <c r="D712" s="8">
        <v>2.31</v>
      </c>
      <c r="E712" s="4">
        <v>14</v>
      </c>
      <c r="F712" s="8">
        <v>3.83</v>
      </c>
      <c r="G712" s="4">
        <v>4</v>
      </c>
      <c r="H712" s="8">
        <v>0.98</v>
      </c>
      <c r="I712" s="4">
        <v>0</v>
      </c>
    </row>
    <row r="713" spans="1:9" x14ac:dyDescent="0.2">
      <c r="A713" s="2">
        <v>15</v>
      </c>
      <c r="B713" s="1" t="s">
        <v>72</v>
      </c>
      <c r="C713" s="4">
        <v>13</v>
      </c>
      <c r="D713" s="8">
        <v>1.67</v>
      </c>
      <c r="E713" s="4">
        <v>2</v>
      </c>
      <c r="F713" s="8">
        <v>0.55000000000000004</v>
      </c>
      <c r="G713" s="4">
        <v>11</v>
      </c>
      <c r="H713" s="8">
        <v>2.69</v>
      </c>
      <c r="I713" s="4">
        <v>0</v>
      </c>
    </row>
    <row r="714" spans="1:9" x14ac:dyDescent="0.2">
      <c r="A714" s="2">
        <v>16</v>
      </c>
      <c r="B714" s="1" t="s">
        <v>71</v>
      </c>
      <c r="C714" s="4">
        <v>12</v>
      </c>
      <c r="D714" s="8">
        <v>1.54</v>
      </c>
      <c r="E714" s="4">
        <v>3</v>
      </c>
      <c r="F714" s="8">
        <v>0.82</v>
      </c>
      <c r="G714" s="4">
        <v>9</v>
      </c>
      <c r="H714" s="8">
        <v>2.2000000000000002</v>
      </c>
      <c r="I714" s="4">
        <v>0</v>
      </c>
    </row>
    <row r="715" spans="1:9" x14ac:dyDescent="0.2">
      <c r="A715" s="2">
        <v>17</v>
      </c>
      <c r="B715" s="1" t="s">
        <v>92</v>
      </c>
      <c r="C715" s="4">
        <v>11</v>
      </c>
      <c r="D715" s="8">
        <v>1.41</v>
      </c>
      <c r="E715" s="4">
        <v>3</v>
      </c>
      <c r="F715" s="8">
        <v>0.82</v>
      </c>
      <c r="G715" s="4">
        <v>8</v>
      </c>
      <c r="H715" s="8">
        <v>1.96</v>
      </c>
      <c r="I715" s="4">
        <v>0</v>
      </c>
    </row>
    <row r="716" spans="1:9" x14ac:dyDescent="0.2">
      <c r="A716" s="2">
        <v>17</v>
      </c>
      <c r="B716" s="1" t="s">
        <v>108</v>
      </c>
      <c r="C716" s="4">
        <v>11</v>
      </c>
      <c r="D716" s="8">
        <v>1.41</v>
      </c>
      <c r="E716" s="4">
        <v>2</v>
      </c>
      <c r="F716" s="8">
        <v>0.55000000000000004</v>
      </c>
      <c r="G716" s="4">
        <v>9</v>
      </c>
      <c r="H716" s="8">
        <v>2.2000000000000002</v>
      </c>
      <c r="I716" s="4">
        <v>0</v>
      </c>
    </row>
    <row r="717" spans="1:9" x14ac:dyDescent="0.2">
      <c r="A717" s="2">
        <v>17</v>
      </c>
      <c r="B717" s="1" t="s">
        <v>74</v>
      </c>
      <c r="C717" s="4">
        <v>11</v>
      </c>
      <c r="D717" s="8">
        <v>1.41</v>
      </c>
      <c r="E717" s="4">
        <v>5</v>
      </c>
      <c r="F717" s="8">
        <v>1.37</v>
      </c>
      <c r="G717" s="4">
        <v>6</v>
      </c>
      <c r="H717" s="8">
        <v>1.47</v>
      </c>
      <c r="I717" s="4">
        <v>0</v>
      </c>
    </row>
    <row r="718" spans="1:9" x14ac:dyDescent="0.2">
      <c r="A718" s="2">
        <v>20</v>
      </c>
      <c r="B718" s="1" t="s">
        <v>73</v>
      </c>
      <c r="C718" s="4">
        <v>10</v>
      </c>
      <c r="D718" s="8">
        <v>1.29</v>
      </c>
      <c r="E718" s="4">
        <v>1</v>
      </c>
      <c r="F718" s="8">
        <v>0.27</v>
      </c>
      <c r="G718" s="4">
        <v>9</v>
      </c>
      <c r="H718" s="8">
        <v>2.2000000000000002</v>
      </c>
      <c r="I718" s="4">
        <v>0</v>
      </c>
    </row>
    <row r="719" spans="1:9" x14ac:dyDescent="0.2">
      <c r="A719" s="1"/>
      <c r="C719" s="4"/>
      <c r="D719" s="8"/>
      <c r="E719" s="4"/>
      <c r="F719" s="8"/>
      <c r="G719" s="4"/>
      <c r="H719" s="8"/>
      <c r="I719" s="4"/>
    </row>
    <row r="720" spans="1:9" x14ac:dyDescent="0.2">
      <c r="A720" s="1" t="s">
        <v>32</v>
      </c>
      <c r="C720" s="4"/>
      <c r="D720" s="8"/>
      <c r="E720" s="4"/>
      <c r="F720" s="8"/>
      <c r="G720" s="4"/>
      <c r="H720" s="8"/>
      <c r="I720" s="4"/>
    </row>
    <row r="721" spans="1:9" x14ac:dyDescent="0.2">
      <c r="A721" s="2">
        <v>1</v>
      </c>
      <c r="B721" s="1" t="s">
        <v>83</v>
      </c>
      <c r="C721" s="4">
        <v>122</v>
      </c>
      <c r="D721" s="8">
        <v>12.35</v>
      </c>
      <c r="E721" s="4">
        <v>112</v>
      </c>
      <c r="F721" s="8">
        <v>21.05</v>
      </c>
      <c r="G721" s="4">
        <v>10</v>
      </c>
      <c r="H721" s="8">
        <v>2.23</v>
      </c>
      <c r="I721" s="4">
        <v>0</v>
      </c>
    </row>
    <row r="722" spans="1:9" x14ac:dyDescent="0.2">
      <c r="A722" s="2">
        <v>2</v>
      </c>
      <c r="B722" s="1" t="s">
        <v>68</v>
      </c>
      <c r="C722" s="4">
        <v>110</v>
      </c>
      <c r="D722" s="8">
        <v>11.13</v>
      </c>
      <c r="E722" s="4">
        <v>42</v>
      </c>
      <c r="F722" s="8">
        <v>7.89</v>
      </c>
      <c r="G722" s="4">
        <v>68</v>
      </c>
      <c r="H722" s="8">
        <v>15.14</v>
      </c>
      <c r="I722" s="4">
        <v>0</v>
      </c>
    </row>
    <row r="723" spans="1:9" x14ac:dyDescent="0.2">
      <c r="A723" s="2">
        <v>3</v>
      </c>
      <c r="B723" s="1" t="s">
        <v>69</v>
      </c>
      <c r="C723" s="4">
        <v>71</v>
      </c>
      <c r="D723" s="8">
        <v>7.19</v>
      </c>
      <c r="E723" s="4">
        <v>47</v>
      </c>
      <c r="F723" s="8">
        <v>8.83</v>
      </c>
      <c r="G723" s="4">
        <v>24</v>
      </c>
      <c r="H723" s="8">
        <v>5.35</v>
      </c>
      <c r="I723" s="4">
        <v>0</v>
      </c>
    </row>
    <row r="724" spans="1:9" x14ac:dyDescent="0.2">
      <c r="A724" s="2">
        <v>4</v>
      </c>
      <c r="B724" s="1" t="s">
        <v>77</v>
      </c>
      <c r="C724" s="4">
        <v>62</v>
      </c>
      <c r="D724" s="8">
        <v>6.28</v>
      </c>
      <c r="E724" s="4">
        <v>30</v>
      </c>
      <c r="F724" s="8">
        <v>5.64</v>
      </c>
      <c r="G724" s="4">
        <v>32</v>
      </c>
      <c r="H724" s="8">
        <v>7.13</v>
      </c>
      <c r="I724" s="4">
        <v>0</v>
      </c>
    </row>
    <row r="725" spans="1:9" x14ac:dyDescent="0.2">
      <c r="A725" s="2">
        <v>5</v>
      </c>
      <c r="B725" s="1" t="s">
        <v>82</v>
      </c>
      <c r="C725" s="4">
        <v>56</v>
      </c>
      <c r="D725" s="8">
        <v>5.67</v>
      </c>
      <c r="E725" s="4">
        <v>51</v>
      </c>
      <c r="F725" s="8">
        <v>9.59</v>
      </c>
      <c r="G725" s="4">
        <v>5</v>
      </c>
      <c r="H725" s="8">
        <v>1.1100000000000001</v>
      </c>
      <c r="I725" s="4">
        <v>0</v>
      </c>
    </row>
    <row r="726" spans="1:9" x14ac:dyDescent="0.2">
      <c r="A726" s="2">
        <v>6</v>
      </c>
      <c r="B726" s="1" t="s">
        <v>79</v>
      </c>
      <c r="C726" s="4">
        <v>52</v>
      </c>
      <c r="D726" s="8">
        <v>5.26</v>
      </c>
      <c r="E726" s="4">
        <v>32</v>
      </c>
      <c r="F726" s="8">
        <v>6.02</v>
      </c>
      <c r="G726" s="4">
        <v>20</v>
      </c>
      <c r="H726" s="8">
        <v>4.45</v>
      </c>
      <c r="I726" s="4">
        <v>0</v>
      </c>
    </row>
    <row r="727" spans="1:9" x14ac:dyDescent="0.2">
      <c r="A727" s="2">
        <v>7</v>
      </c>
      <c r="B727" s="1" t="s">
        <v>70</v>
      </c>
      <c r="C727" s="4">
        <v>47</v>
      </c>
      <c r="D727" s="8">
        <v>4.76</v>
      </c>
      <c r="E727" s="4">
        <v>17</v>
      </c>
      <c r="F727" s="8">
        <v>3.2</v>
      </c>
      <c r="G727" s="4">
        <v>30</v>
      </c>
      <c r="H727" s="8">
        <v>6.68</v>
      </c>
      <c r="I727" s="4">
        <v>0</v>
      </c>
    </row>
    <row r="728" spans="1:9" x14ac:dyDescent="0.2">
      <c r="A728" s="2">
        <v>8</v>
      </c>
      <c r="B728" s="1" t="s">
        <v>75</v>
      </c>
      <c r="C728" s="4">
        <v>40</v>
      </c>
      <c r="D728" s="8">
        <v>4.05</v>
      </c>
      <c r="E728" s="4">
        <v>32</v>
      </c>
      <c r="F728" s="8">
        <v>6.02</v>
      </c>
      <c r="G728" s="4">
        <v>8</v>
      </c>
      <c r="H728" s="8">
        <v>1.78</v>
      </c>
      <c r="I728" s="4">
        <v>0</v>
      </c>
    </row>
    <row r="729" spans="1:9" x14ac:dyDescent="0.2">
      <c r="A729" s="2">
        <v>9</v>
      </c>
      <c r="B729" s="1" t="s">
        <v>87</v>
      </c>
      <c r="C729" s="4">
        <v>39</v>
      </c>
      <c r="D729" s="8">
        <v>3.95</v>
      </c>
      <c r="E729" s="4">
        <v>29</v>
      </c>
      <c r="F729" s="8">
        <v>5.45</v>
      </c>
      <c r="G729" s="4">
        <v>10</v>
      </c>
      <c r="H729" s="8">
        <v>2.23</v>
      </c>
      <c r="I729" s="4">
        <v>0</v>
      </c>
    </row>
    <row r="730" spans="1:9" x14ac:dyDescent="0.2">
      <c r="A730" s="2">
        <v>10</v>
      </c>
      <c r="B730" s="1" t="s">
        <v>76</v>
      </c>
      <c r="C730" s="4">
        <v>35</v>
      </c>
      <c r="D730" s="8">
        <v>3.54</v>
      </c>
      <c r="E730" s="4">
        <v>27</v>
      </c>
      <c r="F730" s="8">
        <v>5.08</v>
      </c>
      <c r="G730" s="4">
        <v>8</v>
      </c>
      <c r="H730" s="8">
        <v>1.78</v>
      </c>
      <c r="I730" s="4">
        <v>0</v>
      </c>
    </row>
    <row r="731" spans="1:9" x14ac:dyDescent="0.2">
      <c r="A731" s="2">
        <v>11</v>
      </c>
      <c r="B731" s="1" t="s">
        <v>85</v>
      </c>
      <c r="C731" s="4">
        <v>25</v>
      </c>
      <c r="D731" s="8">
        <v>2.5299999999999998</v>
      </c>
      <c r="E731" s="4">
        <v>15</v>
      </c>
      <c r="F731" s="8">
        <v>2.82</v>
      </c>
      <c r="G731" s="4">
        <v>5</v>
      </c>
      <c r="H731" s="8">
        <v>1.1100000000000001</v>
      </c>
      <c r="I731" s="4">
        <v>0</v>
      </c>
    </row>
    <row r="732" spans="1:9" x14ac:dyDescent="0.2">
      <c r="A732" s="2">
        <v>12</v>
      </c>
      <c r="B732" s="1" t="s">
        <v>81</v>
      </c>
      <c r="C732" s="4">
        <v>21</v>
      </c>
      <c r="D732" s="8">
        <v>2.13</v>
      </c>
      <c r="E732" s="4">
        <v>11</v>
      </c>
      <c r="F732" s="8">
        <v>2.0699999999999998</v>
      </c>
      <c r="G732" s="4">
        <v>10</v>
      </c>
      <c r="H732" s="8">
        <v>2.23</v>
      </c>
      <c r="I732" s="4">
        <v>0</v>
      </c>
    </row>
    <row r="733" spans="1:9" x14ac:dyDescent="0.2">
      <c r="A733" s="2">
        <v>13</v>
      </c>
      <c r="B733" s="1" t="s">
        <v>74</v>
      </c>
      <c r="C733" s="4">
        <v>18</v>
      </c>
      <c r="D733" s="8">
        <v>1.82</v>
      </c>
      <c r="E733" s="4">
        <v>12</v>
      </c>
      <c r="F733" s="8">
        <v>2.2599999999999998</v>
      </c>
      <c r="G733" s="4">
        <v>6</v>
      </c>
      <c r="H733" s="8">
        <v>1.34</v>
      </c>
      <c r="I733" s="4">
        <v>0</v>
      </c>
    </row>
    <row r="734" spans="1:9" x14ac:dyDescent="0.2">
      <c r="A734" s="2">
        <v>14</v>
      </c>
      <c r="B734" s="1" t="s">
        <v>72</v>
      </c>
      <c r="C734" s="4">
        <v>16</v>
      </c>
      <c r="D734" s="8">
        <v>1.62</v>
      </c>
      <c r="E734" s="4">
        <v>3</v>
      </c>
      <c r="F734" s="8">
        <v>0.56000000000000005</v>
      </c>
      <c r="G734" s="4">
        <v>13</v>
      </c>
      <c r="H734" s="8">
        <v>2.9</v>
      </c>
      <c r="I734" s="4">
        <v>0</v>
      </c>
    </row>
    <row r="735" spans="1:9" x14ac:dyDescent="0.2">
      <c r="A735" s="2">
        <v>14</v>
      </c>
      <c r="B735" s="1" t="s">
        <v>86</v>
      </c>
      <c r="C735" s="4">
        <v>16</v>
      </c>
      <c r="D735" s="8">
        <v>1.62</v>
      </c>
      <c r="E735" s="4">
        <v>14</v>
      </c>
      <c r="F735" s="8">
        <v>2.63</v>
      </c>
      <c r="G735" s="4">
        <v>2</v>
      </c>
      <c r="H735" s="8">
        <v>0.45</v>
      </c>
      <c r="I735" s="4">
        <v>0</v>
      </c>
    </row>
    <row r="736" spans="1:9" x14ac:dyDescent="0.2">
      <c r="A736" s="2">
        <v>16</v>
      </c>
      <c r="B736" s="1" t="s">
        <v>78</v>
      </c>
      <c r="C736" s="4">
        <v>15</v>
      </c>
      <c r="D736" s="8">
        <v>1.52</v>
      </c>
      <c r="E736" s="4">
        <v>2</v>
      </c>
      <c r="F736" s="8">
        <v>0.38</v>
      </c>
      <c r="G736" s="4">
        <v>13</v>
      </c>
      <c r="H736" s="8">
        <v>2.9</v>
      </c>
      <c r="I736" s="4">
        <v>0</v>
      </c>
    </row>
    <row r="737" spans="1:9" x14ac:dyDescent="0.2">
      <c r="A737" s="2">
        <v>16</v>
      </c>
      <c r="B737" s="1" t="s">
        <v>84</v>
      </c>
      <c r="C737" s="4">
        <v>15</v>
      </c>
      <c r="D737" s="8">
        <v>1.52</v>
      </c>
      <c r="E737" s="4">
        <v>5</v>
      </c>
      <c r="F737" s="8">
        <v>0.94</v>
      </c>
      <c r="G737" s="4">
        <v>10</v>
      </c>
      <c r="H737" s="8">
        <v>2.23</v>
      </c>
      <c r="I737" s="4">
        <v>0</v>
      </c>
    </row>
    <row r="738" spans="1:9" x14ac:dyDescent="0.2">
      <c r="A738" s="2">
        <v>18</v>
      </c>
      <c r="B738" s="1" t="s">
        <v>93</v>
      </c>
      <c r="C738" s="4">
        <v>14</v>
      </c>
      <c r="D738" s="8">
        <v>1.42</v>
      </c>
      <c r="E738" s="4">
        <v>3</v>
      </c>
      <c r="F738" s="8">
        <v>0.56000000000000005</v>
      </c>
      <c r="G738" s="4">
        <v>11</v>
      </c>
      <c r="H738" s="8">
        <v>2.4500000000000002</v>
      </c>
      <c r="I738" s="4">
        <v>0</v>
      </c>
    </row>
    <row r="739" spans="1:9" x14ac:dyDescent="0.2">
      <c r="A739" s="2">
        <v>18</v>
      </c>
      <c r="B739" s="1" t="s">
        <v>96</v>
      </c>
      <c r="C739" s="4">
        <v>14</v>
      </c>
      <c r="D739" s="8">
        <v>1.42</v>
      </c>
      <c r="E739" s="4">
        <v>0</v>
      </c>
      <c r="F739" s="8">
        <v>0</v>
      </c>
      <c r="G739" s="4">
        <v>14</v>
      </c>
      <c r="H739" s="8">
        <v>3.12</v>
      </c>
      <c r="I739" s="4">
        <v>0</v>
      </c>
    </row>
    <row r="740" spans="1:9" x14ac:dyDescent="0.2">
      <c r="A740" s="2">
        <v>20</v>
      </c>
      <c r="B740" s="1" t="s">
        <v>80</v>
      </c>
      <c r="C740" s="4">
        <v>13</v>
      </c>
      <c r="D740" s="8">
        <v>1.32</v>
      </c>
      <c r="E740" s="4">
        <v>7</v>
      </c>
      <c r="F740" s="8">
        <v>1.32</v>
      </c>
      <c r="G740" s="4">
        <v>6</v>
      </c>
      <c r="H740" s="8">
        <v>1.34</v>
      </c>
      <c r="I740" s="4">
        <v>0</v>
      </c>
    </row>
    <row r="741" spans="1:9" x14ac:dyDescent="0.2">
      <c r="A741" s="1"/>
      <c r="C741" s="4"/>
      <c r="D741" s="8"/>
      <c r="E741" s="4"/>
      <c r="F741" s="8"/>
      <c r="G741" s="4"/>
      <c r="H741" s="8"/>
      <c r="I741" s="4"/>
    </row>
    <row r="742" spans="1:9" x14ac:dyDescent="0.2">
      <c r="A742" s="1" t="s">
        <v>33</v>
      </c>
      <c r="C742" s="4"/>
      <c r="D742" s="8"/>
      <c r="E742" s="4"/>
      <c r="F742" s="8"/>
      <c r="G742" s="4"/>
      <c r="H742" s="8"/>
      <c r="I742" s="4"/>
    </row>
    <row r="743" spans="1:9" x14ac:dyDescent="0.2">
      <c r="A743" s="2">
        <v>1</v>
      </c>
      <c r="B743" s="1" t="s">
        <v>68</v>
      </c>
      <c r="C743" s="4">
        <v>83</v>
      </c>
      <c r="D743" s="8">
        <v>11.82</v>
      </c>
      <c r="E743" s="4">
        <v>39</v>
      </c>
      <c r="F743" s="8">
        <v>10</v>
      </c>
      <c r="G743" s="4">
        <v>44</v>
      </c>
      <c r="H743" s="8">
        <v>14.29</v>
      </c>
      <c r="I743" s="4">
        <v>0</v>
      </c>
    </row>
    <row r="744" spans="1:9" x14ac:dyDescent="0.2">
      <c r="A744" s="2">
        <v>2</v>
      </c>
      <c r="B744" s="1" t="s">
        <v>83</v>
      </c>
      <c r="C744" s="4">
        <v>79</v>
      </c>
      <c r="D744" s="8">
        <v>11.25</v>
      </c>
      <c r="E744" s="4">
        <v>72</v>
      </c>
      <c r="F744" s="8">
        <v>18.46</v>
      </c>
      <c r="G744" s="4">
        <v>7</v>
      </c>
      <c r="H744" s="8">
        <v>2.27</v>
      </c>
      <c r="I744" s="4">
        <v>0</v>
      </c>
    </row>
    <row r="745" spans="1:9" x14ac:dyDescent="0.2">
      <c r="A745" s="2">
        <v>3</v>
      </c>
      <c r="B745" s="1" t="s">
        <v>69</v>
      </c>
      <c r="C745" s="4">
        <v>65</v>
      </c>
      <c r="D745" s="8">
        <v>9.26</v>
      </c>
      <c r="E745" s="4">
        <v>35</v>
      </c>
      <c r="F745" s="8">
        <v>8.9700000000000006</v>
      </c>
      <c r="G745" s="4">
        <v>30</v>
      </c>
      <c r="H745" s="8">
        <v>9.74</v>
      </c>
      <c r="I745" s="4">
        <v>0</v>
      </c>
    </row>
    <row r="746" spans="1:9" x14ac:dyDescent="0.2">
      <c r="A746" s="2">
        <v>4</v>
      </c>
      <c r="B746" s="1" t="s">
        <v>70</v>
      </c>
      <c r="C746" s="4">
        <v>49</v>
      </c>
      <c r="D746" s="8">
        <v>6.98</v>
      </c>
      <c r="E746" s="4">
        <v>22</v>
      </c>
      <c r="F746" s="8">
        <v>5.64</v>
      </c>
      <c r="G746" s="4">
        <v>27</v>
      </c>
      <c r="H746" s="8">
        <v>8.77</v>
      </c>
      <c r="I746" s="4">
        <v>0</v>
      </c>
    </row>
    <row r="747" spans="1:9" x14ac:dyDescent="0.2">
      <c r="A747" s="2">
        <v>5</v>
      </c>
      <c r="B747" s="1" t="s">
        <v>75</v>
      </c>
      <c r="C747" s="4">
        <v>40</v>
      </c>
      <c r="D747" s="8">
        <v>5.7</v>
      </c>
      <c r="E747" s="4">
        <v>29</v>
      </c>
      <c r="F747" s="8">
        <v>7.44</v>
      </c>
      <c r="G747" s="4">
        <v>9</v>
      </c>
      <c r="H747" s="8">
        <v>2.92</v>
      </c>
      <c r="I747" s="4">
        <v>2</v>
      </c>
    </row>
    <row r="748" spans="1:9" x14ac:dyDescent="0.2">
      <c r="A748" s="2">
        <v>6</v>
      </c>
      <c r="B748" s="1" t="s">
        <v>87</v>
      </c>
      <c r="C748" s="4">
        <v>36</v>
      </c>
      <c r="D748" s="8">
        <v>5.13</v>
      </c>
      <c r="E748" s="4">
        <v>34</v>
      </c>
      <c r="F748" s="8">
        <v>8.7200000000000006</v>
      </c>
      <c r="G748" s="4">
        <v>2</v>
      </c>
      <c r="H748" s="8">
        <v>0.65</v>
      </c>
      <c r="I748" s="4">
        <v>0</v>
      </c>
    </row>
    <row r="749" spans="1:9" x14ac:dyDescent="0.2">
      <c r="A749" s="2">
        <v>7</v>
      </c>
      <c r="B749" s="1" t="s">
        <v>77</v>
      </c>
      <c r="C749" s="4">
        <v>35</v>
      </c>
      <c r="D749" s="8">
        <v>4.99</v>
      </c>
      <c r="E749" s="4">
        <v>14</v>
      </c>
      <c r="F749" s="8">
        <v>3.59</v>
      </c>
      <c r="G749" s="4">
        <v>21</v>
      </c>
      <c r="H749" s="8">
        <v>6.82</v>
      </c>
      <c r="I749" s="4">
        <v>0</v>
      </c>
    </row>
    <row r="750" spans="1:9" x14ac:dyDescent="0.2">
      <c r="A750" s="2">
        <v>8</v>
      </c>
      <c r="B750" s="1" t="s">
        <v>82</v>
      </c>
      <c r="C750" s="4">
        <v>32</v>
      </c>
      <c r="D750" s="8">
        <v>4.5599999999999996</v>
      </c>
      <c r="E750" s="4">
        <v>29</v>
      </c>
      <c r="F750" s="8">
        <v>7.44</v>
      </c>
      <c r="G750" s="4">
        <v>3</v>
      </c>
      <c r="H750" s="8">
        <v>0.97</v>
      </c>
      <c r="I750" s="4">
        <v>0</v>
      </c>
    </row>
    <row r="751" spans="1:9" x14ac:dyDescent="0.2">
      <c r="A751" s="2">
        <v>9</v>
      </c>
      <c r="B751" s="1" t="s">
        <v>76</v>
      </c>
      <c r="C751" s="4">
        <v>24</v>
      </c>
      <c r="D751" s="8">
        <v>3.42</v>
      </c>
      <c r="E751" s="4">
        <v>12</v>
      </c>
      <c r="F751" s="8">
        <v>3.08</v>
      </c>
      <c r="G751" s="4">
        <v>12</v>
      </c>
      <c r="H751" s="8">
        <v>3.9</v>
      </c>
      <c r="I751" s="4">
        <v>0</v>
      </c>
    </row>
    <row r="752" spans="1:9" x14ac:dyDescent="0.2">
      <c r="A752" s="2">
        <v>10</v>
      </c>
      <c r="B752" s="1" t="s">
        <v>79</v>
      </c>
      <c r="C752" s="4">
        <v>22</v>
      </c>
      <c r="D752" s="8">
        <v>3.13</v>
      </c>
      <c r="E752" s="4">
        <v>16</v>
      </c>
      <c r="F752" s="8">
        <v>4.0999999999999996</v>
      </c>
      <c r="G752" s="4">
        <v>6</v>
      </c>
      <c r="H752" s="8">
        <v>1.95</v>
      </c>
      <c r="I752" s="4">
        <v>0</v>
      </c>
    </row>
    <row r="753" spans="1:9" x14ac:dyDescent="0.2">
      <c r="A753" s="2">
        <v>11</v>
      </c>
      <c r="B753" s="1" t="s">
        <v>85</v>
      </c>
      <c r="C753" s="4">
        <v>16</v>
      </c>
      <c r="D753" s="8">
        <v>2.2799999999999998</v>
      </c>
      <c r="E753" s="4">
        <v>9</v>
      </c>
      <c r="F753" s="8">
        <v>2.31</v>
      </c>
      <c r="G753" s="4">
        <v>7</v>
      </c>
      <c r="H753" s="8">
        <v>2.27</v>
      </c>
      <c r="I753" s="4">
        <v>0</v>
      </c>
    </row>
    <row r="754" spans="1:9" x14ac:dyDescent="0.2">
      <c r="A754" s="2">
        <v>12</v>
      </c>
      <c r="B754" s="1" t="s">
        <v>86</v>
      </c>
      <c r="C754" s="4">
        <v>13</v>
      </c>
      <c r="D754" s="8">
        <v>1.85</v>
      </c>
      <c r="E754" s="4">
        <v>11</v>
      </c>
      <c r="F754" s="8">
        <v>2.82</v>
      </c>
      <c r="G754" s="4">
        <v>2</v>
      </c>
      <c r="H754" s="8">
        <v>0.65</v>
      </c>
      <c r="I754" s="4">
        <v>0</v>
      </c>
    </row>
    <row r="755" spans="1:9" x14ac:dyDescent="0.2">
      <c r="A755" s="2">
        <v>13</v>
      </c>
      <c r="B755" s="1" t="s">
        <v>108</v>
      </c>
      <c r="C755" s="4">
        <v>10</v>
      </c>
      <c r="D755" s="8">
        <v>1.42</v>
      </c>
      <c r="E755" s="4">
        <v>5</v>
      </c>
      <c r="F755" s="8">
        <v>1.28</v>
      </c>
      <c r="G755" s="4">
        <v>5</v>
      </c>
      <c r="H755" s="8">
        <v>1.62</v>
      </c>
      <c r="I755" s="4">
        <v>0</v>
      </c>
    </row>
    <row r="756" spans="1:9" x14ac:dyDescent="0.2">
      <c r="A756" s="2">
        <v>13</v>
      </c>
      <c r="B756" s="1" t="s">
        <v>73</v>
      </c>
      <c r="C756" s="4">
        <v>10</v>
      </c>
      <c r="D756" s="8">
        <v>1.42</v>
      </c>
      <c r="E756" s="4">
        <v>2</v>
      </c>
      <c r="F756" s="8">
        <v>0.51</v>
      </c>
      <c r="G756" s="4">
        <v>8</v>
      </c>
      <c r="H756" s="8">
        <v>2.6</v>
      </c>
      <c r="I756" s="4">
        <v>0</v>
      </c>
    </row>
    <row r="757" spans="1:9" x14ac:dyDescent="0.2">
      <c r="A757" s="2">
        <v>13</v>
      </c>
      <c r="B757" s="1" t="s">
        <v>74</v>
      </c>
      <c r="C757" s="4">
        <v>10</v>
      </c>
      <c r="D757" s="8">
        <v>1.42</v>
      </c>
      <c r="E757" s="4">
        <v>1</v>
      </c>
      <c r="F757" s="8">
        <v>0.26</v>
      </c>
      <c r="G757" s="4">
        <v>9</v>
      </c>
      <c r="H757" s="8">
        <v>2.92</v>
      </c>
      <c r="I757" s="4">
        <v>0</v>
      </c>
    </row>
    <row r="758" spans="1:9" x14ac:dyDescent="0.2">
      <c r="A758" s="2">
        <v>16</v>
      </c>
      <c r="B758" s="1" t="s">
        <v>97</v>
      </c>
      <c r="C758" s="4">
        <v>9</v>
      </c>
      <c r="D758" s="8">
        <v>1.28</v>
      </c>
      <c r="E758" s="4">
        <v>7</v>
      </c>
      <c r="F758" s="8">
        <v>1.79</v>
      </c>
      <c r="G758" s="4">
        <v>2</v>
      </c>
      <c r="H758" s="8">
        <v>0.65</v>
      </c>
      <c r="I758" s="4">
        <v>0</v>
      </c>
    </row>
    <row r="759" spans="1:9" x14ac:dyDescent="0.2">
      <c r="A759" s="2">
        <v>16</v>
      </c>
      <c r="B759" s="1" t="s">
        <v>104</v>
      </c>
      <c r="C759" s="4">
        <v>9</v>
      </c>
      <c r="D759" s="8">
        <v>1.28</v>
      </c>
      <c r="E759" s="4">
        <v>7</v>
      </c>
      <c r="F759" s="8">
        <v>1.79</v>
      </c>
      <c r="G759" s="4">
        <v>2</v>
      </c>
      <c r="H759" s="8">
        <v>0.65</v>
      </c>
      <c r="I759" s="4">
        <v>0</v>
      </c>
    </row>
    <row r="760" spans="1:9" x14ac:dyDescent="0.2">
      <c r="A760" s="2">
        <v>16</v>
      </c>
      <c r="B760" s="1" t="s">
        <v>72</v>
      </c>
      <c r="C760" s="4">
        <v>9</v>
      </c>
      <c r="D760" s="8">
        <v>1.28</v>
      </c>
      <c r="E760" s="4">
        <v>2</v>
      </c>
      <c r="F760" s="8">
        <v>0.51</v>
      </c>
      <c r="G760" s="4">
        <v>7</v>
      </c>
      <c r="H760" s="8">
        <v>2.27</v>
      </c>
      <c r="I760" s="4">
        <v>0</v>
      </c>
    </row>
    <row r="761" spans="1:9" x14ac:dyDescent="0.2">
      <c r="A761" s="2">
        <v>19</v>
      </c>
      <c r="B761" s="1" t="s">
        <v>109</v>
      </c>
      <c r="C761" s="4">
        <v>8</v>
      </c>
      <c r="D761" s="8">
        <v>1.1399999999999999</v>
      </c>
      <c r="E761" s="4">
        <v>7</v>
      </c>
      <c r="F761" s="8">
        <v>1.79</v>
      </c>
      <c r="G761" s="4">
        <v>1</v>
      </c>
      <c r="H761" s="8">
        <v>0.32</v>
      </c>
      <c r="I761" s="4">
        <v>0</v>
      </c>
    </row>
    <row r="762" spans="1:9" x14ac:dyDescent="0.2">
      <c r="A762" s="2">
        <v>19</v>
      </c>
      <c r="B762" s="1" t="s">
        <v>93</v>
      </c>
      <c r="C762" s="4">
        <v>8</v>
      </c>
      <c r="D762" s="8">
        <v>1.1399999999999999</v>
      </c>
      <c r="E762" s="4">
        <v>3</v>
      </c>
      <c r="F762" s="8">
        <v>0.77</v>
      </c>
      <c r="G762" s="4">
        <v>5</v>
      </c>
      <c r="H762" s="8">
        <v>1.62</v>
      </c>
      <c r="I762" s="4">
        <v>0</v>
      </c>
    </row>
    <row r="763" spans="1:9" x14ac:dyDescent="0.2">
      <c r="A763" s="2">
        <v>19</v>
      </c>
      <c r="B763" s="1" t="s">
        <v>81</v>
      </c>
      <c r="C763" s="4">
        <v>8</v>
      </c>
      <c r="D763" s="8">
        <v>1.1399999999999999</v>
      </c>
      <c r="E763" s="4">
        <v>3</v>
      </c>
      <c r="F763" s="8">
        <v>0.77</v>
      </c>
      <c r="G763" s="4">
        <v>5</v>
      </c>
      <c r="H763" s="8">
        <v>1.62</v>
      </c>
      <c r="I763" s="4">
        <v>0</v>
      </c>
    </row>
    <row r="764" spans="1:9" x14ac:dyDescent="0.2">
      <c r="A764" s="2">
        <v>19</v>
      </c>
      <c r="B764" s="1" t="s">
        <v>89</v>
      </c>
      <c r="C764" s="4">
        <v>8</v>
      </c>
      <c r="D764" s="8">
        <v>1.1399999999999999</v>
      </c>
      <c r="E764" s="4">
        <v>1</v>
      </c>
      <c r="F764" s="8">
        <v>0.26</v>
      </c>
      <c r="G764" s="4">
        <v>7</v>
      </c>
      <c r="H764" s="8">
        <v>2.27</v>
      </c>
      <c r="I764" s="4">
        <v>0</v>
      </c>
    </row>
    <row r="765" spans="1:9" x14ac:dyDescent="0.2">
      <c r="A765" s="1"/>
      <c r="C765" s="4"/>
      <c r="D765" s="8"/>
      <c r="E765" s="4"/>
      <c r="F765" s="8"/>
      <c r="G765" s="4"/>
      <c r="H765" s="8"/>
      <c r="I765" s="4"/>
    </row>
    <row r="766" spans="1:9" x14ac:dyDescent="0.2">
      <c r="A766" s="1" t="s">
        <v>34</v>
      </c>
      <c r="C766" s="4"/>
      <c r="D766" s="8"/>
      <c r="E766" s="4"/>
      <c r="F766" s="8"/>
      <c r="G766" s="4"/>
      <c r="H766" s="8"/>
      <c r="I766" s="4"/>
    </row>
    <row r="767" spans="1:9" x14ac:dyDescent="0.2">
      <c r="A767" s="2">
        <v>1</v>
      </c>
      <c r="B767" s="1" t="s">
        <v>82</v>
      </c>
      <c r="C767" s="4">
        <v>70</v>
      </c>
      <c r="D767" s="8">
        <v>13.23</v>
      </c>
      <c r="E767" s="4">
        <v>52</v>
      </c>
      <c r="F767" s="8">
        <v>16.829999999999998</v>
      </c>
      <c r="G767" s="4">
        <v>18</v>
      </c>
      <c r="H767" s="8">
        <v>8.2200000000000006</v>
      </c>
      <c r="I767" s="4">
        <v>0</v>
      </c>
    </row>
    <row r="768" spans="1:9" x14ac:dyDescent="0.2">
      <c r="A768" s="2">
        <v>2</v>
      </c>
      <c r="B768" s="1" t="s">
        <v>77</v>
      </c>
      <c r="C768" s="4">
        <v>55</v>
      </c>
      <c r="D768" s="8">
        <v>10.4</v>
      </c>
      <c r="E768" s="4">
        <v>34</v>
      </c>
      <c r="F768" s="8">
        <v>11</v>
      </c>
      <c r="G768" s="4">
        <v>21</v>
      </c>
      <c r="H768" s="8">
        <v>9.59</v>
      </c>
      <c r="I768" s="4">
        <v>0</v>
      </c>
    </row>
    <row r="769" spans="1:9" x14ac:dyDescent="0.2">
      <c r="A769" s="2">
        <v>3</v>
      </c>
      <c r="B769" s="1" t="s">
        <v>75</v>
      </c>
      <c r="C769" s="4">
        <v>54</v>
      </c>
      <c r="D769" s="8">
        <v>10.210000000000001</v>
      </c>
      <c r="E769" s="4">
        <v>43</v>
      </c>
      <c r="F769" s="8">
        <v>13.92</v>
      </c>
      <c r="G769" s="4">
        <v>11</v>
      </c>
      <c r="H769" s="8">
        <v>5.0199999999999996</v>
      </c>
      <c r="I769" s="4">
        <v>0</v>
      </c>
    </row>
    <row r="770" spans="1:9" x14ac:dyDescent="0.2">
      <c r="A770" s="2">
        <v>4</v>
      </c>
      <c r="B770" s="1" t="s">
        <v>83</v>
      </c>
      <c r="C770" s="4">
        <v>52</v>
      </c>
      <c r="D770" s="8">
        <v>9.83</v>
      </c>
      <c r="E770" s="4">
        <v>49</v>
      </c>
      <c r="F770" s="8">
        <v>15.86</v>
      </c>
      <c r="G770" s="4">
        <v>3</v>
      </c>
      <c r="H770" s="8">
        <v>1.37</v>
      </c>
      <c r="I770" s="4">
        <v>0</v>
      </c>
    </row>
    <row r="771" spans="1:9" x14ac:dyDescent="0.2">
      <c r="A771" s="2">
        <v>5</v>
      </c>
      <c r="B771" s="1" t="s">
        <v>68</v>
      </c>
      <c r="C771" s="4">
        <v>36</v>
      </c>
      <c r="D771" s="8">
        <v>6.81</v>
      </c>
      <c r="E771" s="4">
        <v>13</v>
      </c>
      <c r="F771" s="8">
        <v>4.21</v>
      </c>
      <c r="G771" s="4">
        <v>23</v>
      </c>
      <c r="H771" s="8">
        <v>10.5</v>
      </c>
      <c r="I771" s="4">
        <v>0</v>
      </c>
    </row>
    <row r="772" spans="1:9" x14ac:dyDescent="0.2">
      <c r="A772" s="2">
        <v>6</v>
      </c>
      <c r="B772" s="1" t="s">
        <v>69</v>
      </c>
      <c r="C772" s="4">
        <v>29</v>
      </c>
      <c r="D772" s="8">
        <v>5.48</v>
      </c>
      <c r="E772" s="4">
        <v>12</v>
      </c>
      <c r="F772" s="8">
        <v>3.88</v>
      </c>
      <c r="G772" s="4">
        <v>17</v>
      </c>
      <c r="H772" s="8">
        <v>7.76</v>
      </c>
      <c r="I772" s="4">
        <v>0</v>
      </c>
    </row>
    <row r="773" spans="1:9" x14ac:dyDescent="0.2">
      <c r="A773" s="2">
        <v>7</v>
      </c>
      <c r="B773" s="1" t="s">
        <v>99</v>
      </c>
      <c r="C773" s="4">
        <v>23</v>
      </c>
      <c r="D773" s="8">
        <v>4.3499999999999996</v>
      </c>
      <c r="E773" s="4">
        <v>15</v>
      </c>
      <c r="F773" s="8">
        <v>4.8499999999999996</v>
      </c>
      <c r="G773" s="4">
        <v>8</v>
      </c>
      <c r="H773" s="8">
        <v>3.65</v>
      </c>
      <c r="I773" s="4">
        <v>0</v>
      </c>
    </row>
    <row r="774" spans="1:9" x14ac:dyDescent="0.2">
      <c r="A774" s="2">
        <v>8</v>
      </c>
      <c r="B774" s="1" t="s">
        <v>76</v>
      </c>
      <c r="C774" s="4">
        <v>15</v>
      </c>
      <c r="D774" s="8">
        <v>2.84</v>
      </c>
      <c r="E774" s="4">
        <v>13</v>
      </c>
      <c r="F774" s="8">
        <v>4.21</v>
      </c>
      <c r="G774" s="4">
        <v>2</v>
      </c>
      <c r="H774" s="8">
        <v>0.91</v>
      </c>
      <c r="I774" s="4">
        <v>0</v>
      </c>
    </row>
    <row r="775" spans="1:9" x14ac:dyDescent="0.2">
      <c r="A775" s="2">
        <v>9</v>
      </c>
      <c r="B775" s="1" t="s">
        <v>70</v>
      </c>
      <c r="C775" s="4">
        <v>13</v>
      </c>
      <c r="D775" s="8">
        <v>2.46</v>
      </c>
      <c r="E775" s="4">
        <v>3</v>
      </c>
      <c r="F775" s="8">
        <v>0.97</v>
      </c>
      <c r="G775" s="4">
        <v>10</v>
      </c>
      <c r="H775" s="8">
        <v>4.57</v>
      </c>
      <c r="I775" s="4">
        <v>0</v>
      </c>
    </row>
    <row r="776" spans="1:9" x14ac:dyDescent="0.2">
      <c r="A776" s="2">
        <v>9</v>
      </c>
      <c r="B776" s="1" t="s">
        <v>97</v>
      </c>
      <c r="C776" s="4">
        <v>13</v>
      </c>
      <c r="D776" s="8">
        <v>2.46</v>
      </c>
      <c r="E776" s="4">
        <v>4</v>
      </c>
      <c r="F776" s="8">
        <v>1.29</v>
      </c>
      <c r="G776" s="4">
        <v>9</v>
      </c>
      <c r="H776" s="8">
        <v>4.1100000000000003</v>
      </c>
      <c r="I776" s="4">
        <v>0</v>
      </c>
    </row>
    <row r="777" spans="1:9" x14ac:dyDescent="0.2">
      <c r="A777" s="2">
        <v>11</v>
      </c>
      <c r="B777" s="1" t="s">
        <v>93</v>
      </c>
      <c r="C777" s="4">
        <v>12</v>
      </c>
      <c r="D777" s="8">
        <v>2.27</v>
      </c>
      <c r="E777" s="4">
        <v>5</v>
      </c>
      <c r="F777" s="8">
        <v>1.62</v>
      </c>
      <c r="G777" s="4">
        <v>7</v>
      </c>
      <c r="H777" s="8">
        <v>3.2</v>
      </c>
      <c r="I777" s="4">
        <v>0</v>
      </c>
    </row>
    <row r="778" spans="1:9" x14ac:dyDescent="0.2">
      <c r="A778" s="2">
        <v>12</v>
      </c>
      <c r="B778" s="1" t="s">
        <v>79</v>
      </c>
      <c r="C778" s="4">
        <v>11</v>
      </c>
      <c r="D778" s="8">
        <v>2.08</v>
      </c>
      <c r="E778" s="4">
        <v>2</v>
      </c>
      <c r="F778" s="8">
        <v>0.65</v>
      </c>
      <c r="G778" s="4">
        <v>9</v>
      </c>
      <c r="H778" s="8">
        <v>4.1100000000000003</v>
      </c>
      <c r="I778" s="4">
        <v>0</v>
      </c>
    </row>
    <row r="779" spans="1:9" x14ac:dyDescent="0.2">
      <c r="A779" s="2">
        <v>13</v>
      </c>
      <c r="B779" s="1" t="s">
        <v>88</v>
      </c>
      <c r="C779" s="4">
        <v>10</v>
      </c>
      <c r="D779" s="8">
        <v>1.89</v>
      </c>
      <c r="E779" s="4">
        <v>2</v>
      </c>
      <c r="F779" s="8">
        <v>0.65</v>
      </c>
      <c r="G779" s="4">
        <v>8</v>
      </c>
      <c r="H779" s="8">
        <v>3.65</v>
      </c>
      <c r="I779" s="4">
        <v>0</v>
      </c>
    </row>
    <row r="780" spans="1:9" x14ac:dyDescent="0.2">
      <c r="A780" s="2">
        <v>13</v>
      </c>
      <c r="B780" s="1" t="s">
        <v>85</v>
      </c>
      <c r="C780" s="4">
        <v>10</v>
      </c>
      <c r="D780" s="8">
        <v>1.89</v>
      </c>
      <c r="E780" s="4">
        <v>8</v>
      </c>
      <c r="F780" s="8">
        <v>2.59</v>
      </c>
      <c r="G780" s="4">
        <v>2</v>
      </c>
      <c r="H780" s="8">
        <v>0.91</v>
      </c>
      <c r="I780" s="4">
        <v>0</v>
      </c>
    </row>
    <row r="781" spans="1:9" x14ac:dyDescent="0.2">
      <c r="A781" s="2">
        <v>13</v>
      </c>
      <c r="B781" s="1" t="s">
        <v>86</v>
      </c>
      <c r="C781" s="4">
        <v>10</v>
      </c>
      <c r="D781" s="8">
        <v>1.89</v>
      </c>
      <c r="E781" s="4">
        <v>10</v>
      </c>
      <c r="F781" s="8">
        <v>3.24</v>
      </c>
      <c r="G781" s="4">
        <v>0</v>
      </c>
      <c r="H781" s="8">
        <v>0</v>
      </c>
      <c r="I781" s="4">
        <v>0</v>
      </c>
    </row>
    <row r="782" spans="1:9" x14ac:dyDescent="0.2">
      <c r="A782" s="2">
        <v>16</v>
      </c>
      <c r="B782" s="1" t="s">
        <v>74</v>
      </c>
      <c r="C782" s="4">
        <v>9</v>
      </c>
      <c r="D782" s="8">
        <v>1.7</v>
      </c>
      <c r="E782" s="4">
        <v>2</v>
      </c>
      <c r="F782" s="8">
        <v>0.65</v>
      </c>
      <c r="G782" s="4">
        <v>7</v>
      </c>
      <c r="H782" s="8">
        <v>3.2</v>
      </c>
      <c r="I782" s="4">
        <v>0</v>
      </c>
    </row>
    <row r="783" spans="1:9" x14ac:dyDescent="0.2">
      <c r="A783" s="2">
        <v>17</v>
      </c>
      <c r="B783" s="1" t="s">
        <v>72</v>
      </c>
      <c r="C783" s="4">
        <v>8</v>
      </c>
      <c r="D783" s="8">
        <v>1.51</v>
      </c>
      <c r="E783" s="4">
        <v>2</v>
      </c>
      <c r="F783" s="8">
        <v>0.65</v>
      </c>
      <c r="G783" s="4">
        <v>6</v>
      </c>
      <c r="H783" s="8">
        <v>2.74</v>
      </c>
      <c r="I783" s="4">
        <v>0</v>
      </c>
    </row>
    <row r="784" spans="1:9" x14ac:dyDescent="0.2">
      <c r="A784" s="2">
        <v>18</v>
      </c>
      <c r="B784" s="1" t="s">
        <v>109</v>
      </c>
      <c r="C784" s="4">
        <v>7</v>
      </c>
      <c r="D784" s="8">
        <v>1.32</v>
      </c>
      <c r="E784" s="4">
        <v>6</v>
      </c>
      <c r="F784" s="8">
        <v>1.94</v>
      </c>
      <c r="G784" s="4">
        <v>1</v>
      </c>
      <c r="H784" s="8">
        <v>0.46</v>
      </c>
      <c r="I784" s="4">
        <v>0</v>
      </c>
    </row>
    <row r="785" spans="1:9" x14ac:dyDescent="0.2">
      <c r="A785" s="2">
        <v>18</v>
      </c>
      <c r="B785" s="1" t="s">
        <v>108</v>
      </c>
      <c r="C785" s="4">
        <v>7</v>
      </c>
      <c r="D785" s="8">
        <v>1.32</v>
      </c>
      <c r="E785" s="4">
        <v>0</v>
      </c>
      <c r="F785" s="8">
        <v>0</v>
      </c>
      <c r="G785" s="4">
        <v>7</v>
      </c>
      <c r="H785" s="8">
        <v>3.2</v>
      </c>
      <c r="I785" s="4">
        <v>0</v>
      </c>
    </row>
    <row r="786" spans="1:9" x14ac:dyDescent="0.2">
      <c r="A786" s="2">
        <v>20</v>
      </c>
      <c r="B786" s="1" t="s">
        <v>84</v>
      </c>
      <c r="C786" s="4">
        <v>6</v>
      </c>
      <c r="D786" s="8">
        <v>1.1299999999999999</v>
      </c>
      <c r="E786" s="4">
        <v>1</v>
      </c>
      <c r="F786" s="8">
        <v>0.32</v>
      </c>
      <c r="G786" s="4">
        <v>5</v>
      </c>
      <c r="H786" s="8">
        <v>2.2799999999999998</v>
      </c>
      <c r="I786" s="4">
        <v>0</v>
      </c>
    </row>
    <row r="787" spans="1:9" x14ac:dyDescent="0.2">
      <c r="A787" s="2">
        <v>20</v>
      </c>
      <c r="B787" s="1" t="s">
        <v>100</v>
      </c>
      <c r="C787" s="4">
        <v>6</v>
      </c>
      <c r="D787" s="8">
        <v>1.1299999999999999</v>
      </c>
      <c r="E787" s="4">
        <v>4</v>
      </c>
      <c r="F787" s="8">
        <v>1.29</v>
      </c>
      <c r="G787" s="4">
        <v>2</v>
      </c>
      <c r="H787" s="8">
        <v>0.91</v>
      </c>
      <c r="I787" s="4">
        <v>0</v>
      </c>
    </row>
    <row r="788" spans="1:9" x14ac:dyDescent="0.2">
      <c r="A788" s="1"/>
      <c r="C788" s="4"/>
      <c r="D788" s="8"/>
      <c r="E788" s="4"/>
      <c r="F788" s="8"/>
      <c r="G788" s="4"/>
      <c r="H788" s="8"/>
      <c r="I788" s="4"/>
    </row>
    <row r="789" spans="1:9" x14ac:dyDescent="0.2">
      <c r="A789" s="1" t="s">
        <v>35</v>
      </c>
      <c r="C789" s="4"/>
      <c r="D789" s="8"/>
      <c r="E789" s="4"/>
      <c r="F789" s="8"/>
      <c r="G789" s="4"/>
      <c r="H789" s="8"/>
      <c r="I789" s="4"/>
    </row>
    <row r="790" spans="1:9" x14ac:dyDescent="0.2">
      <c r="A790" s="2">
        <v>1</v>
      </c>
      <c r="B790" s="1" t="s">
        <v>69</v>
      </c>
      <c r="C790" s="4">
        <v>47</v>
      </c>
      <c r="D790" s="8">
        <v>11.16</v>
      </c>
      <c r="E790" s="4">
        <v>33</v>
      </c>
      <c r="F790" s="8">
        <v>10.93</v>
      </c>
      <c r="G790" s="4">
        <v>14</v>
      </c>
      <c r="H790" s="8">
        <v>12.28</v>
      </c>
      <c r="I790" s="4">
        <v>0</v>
      </c>
    </row>
    <row r="791" spans="1:9" x14ac:dyDescent="0.2">
      <c r="A791" s="2">
        <v>2</v>
      </c>
      <c r="B791" s="1" t="s">
        <v>83</v>
      </c>
      <c r="C791" s="4">
        <v>45</v>
      </c>
      <c r="D791" s="8">
        <v>10.69</v>
      </c>
      <c r="E791" s="4">
        <v>39</v>
      </c>
      <c r="F791" s="8">
        <v>12.91</v>
      </c>
      <c r="G791" s="4">
        <v>6</v>
      </c>
      <c r="H791" s="8">
        <v>5.26</v>
      </c>
      <c r="I791" s="4">
        <v>0</v>
      </c>
    </row>
    <row r="792" spans="1:9" x14ac:dyDescent="0.2">
      <c r="A792" s="2">
        <v>3</v>
      </c>
      <c r="B792" s="1" t="s">
        <v>68</v>
      </c>
      <c r="C792" s="4">
        <v>36</v>
      </c>
      <c r="D792" s="8">
        <v>8.5500000000000007</v>
      </c>
      <c r="E792" s="4">
        <v>24</v>
      </c>
      <c r="F792" s="8">
        <v>7.95</v>
      </c>
      <c r="G792" s="4">
        <v>12</v>
      </c>
      <c r="H792" s="8">
        <v>10.53</v>
      </c>
      <c r="I792" s="4">
        <v>0</v>
      </c>
    </row>
    <row r="793" spans="1:9" x14ac:dyDescent="0.2">
      <c r="A793" s="2">
        <v>4</v>
      </c>
      <c r="B793" s="1" t="s">
        <v>77</v>
      </c>
      <c r="C793" s="4">
        <v>33</v>
      </c>
      <c r="D793" s="8">
        <v>7.84</v>
      </c>
      <c r="E793" s="4">
        <v>23</v>
      </c>
      <c r="F793" s="8">
        <v>7.62</v>
      </c>
      <c r="G793" s="4">
        <v>10</v>
      </c>
      <c r="H793" s="8">
        <v>8.77</v>
      </c>
      <c r="I793" s="4">
        <v>0</v>
      </c>
    </row>
    <row r="794" spans="1:9" x14ac:dyDescent="0.2">
      <c r="A794" s="2">
        <v>5</v>
      </c>
      <c r="B794" s="1" t="s">
        <v>75</v>
      </c>
      <c r="C794" s="4">
        <v>27</v>
      </c>
      <c r="D794" s="8">
        <v>6.41</v>
      </c>
      <c r="E794" s="4">
        <v>24</v>
      </c>
      <c r="F794" s="8">
        <v>7.95</v>
      </c>
      <c r="G794" s="4">
        <v>3</v>
      </c>
      <c r="H794" s="8">
        <v>2.63</v>
      </c>
      <c r="I794" s="4">
        <v>0</v>
      </c>
    </row>
    <row r="795" spans="1:9" x14ac:dyDescent="0.2">
      <c r="A795" s="2">
        <v>6</v>
      </c>
      <c r="B795" s="1" t="s">
        <v>70</v>
      </c>
      <c r="C795" s="4">
        <v>24</v>
      </c>
      <c r="D795" s="8">
        <v>5.7</v>
      </c>
      <c r="E795" s="4">
        <v>14</v>
      </c>
      <c r="F795" s="8">
        <v>4.6399999999999997</v>
      </c>
      <c r="G795" s="4">
        <v>10</v>
      </c>
      <c r="H795" s="8">
        <v>8.77</v>
      </c>
      <c r="I795" s="4">
        <v>0</v>
      </c>
    </row>
    <row r="796" spans="1:9" x14ac:dyDescent="0.2">
      <c r="A796" s="2">
        <v>7</v>
      </c>
      <c r="B796" s="1" t="s">
        <v>82</v>
      </c>
      <c r="C796" s="4">
        <v>20</v>
      </c>
      <c r="D796" s="8">
        <v>4.75</v>
      </c>
      <c r="E796" s="4">
        <v>19</v>
      </c>
      <c r="F796" s="8">
        <v>6.29</v>
      </c>
      <c r="G796" s="4">
        <v>1</v>
      </c>
      <c r="H796" s="8">
        <v>0.88</v>
      </c>
      <c r="I796" s="4">
        <v>0</v>
      </c>
    </row>
    <row r="797" spans="1:9" x14ac:dyDescent="0.2">
      <c r="A797" s="2">
        <v>8</v>
      </c>
      <c r="B797" s="1" t="s">
        <v>87</v>
      </c>
      <c r="C797" s="4">
        <v>18</v>
      </c>
      <c r="D797" s="8">
        <v>4.28</v>
      </c>
      <c r="E797" s="4">
        <v>16</v>
      </c>
      <c r="F797" s="8">
        <v>5.3</v>
      </c>
      <c r="G797" s="4">
        <v>2</v>
      </c>
      <c r="H797" s="8">
        <v>1.75</v>
      </c>
      <c r="I797" s="4">
        <v>0</v>
      </c>
    </row>
    <row r="798" spans="1:9" x14ac:dyDescent="0.2">
      <c r="A798" s="2">
        <v>9</v>
      </c>
      <c r="B798" s="1" t="s">
        <v>76</v>
      </c>
      <c r="C798" s="4">
        <v>17</v>
      </c>
      <c r="D798" s="8">
        <v>4.04</v>
      </c>
      <c r="E798" s="4">
        <v>13</v>
      </c>
      <c r="F798" s="8">
        <v>4.3</v>
      </c>
      <c r="G798" s="4">
        <v>4</v>
      </c>
      <c r="H798" s="8">
        <v>3.51</v>
      </c>
      <c r="I798" s="4">
        <v>0</v>
      </c>
    </row>
    <row r="799" spans="1:9" x14ac:dyDescent="0.2">
      <c r="A799" s="2">
        <v>10</v>
      </c>
      <c r="B799" s="1" t="s">
        <v>81</v>
      </c>
      <c r="C799" s="4">
        <v>12</v>
      </c>
      <c r="D799" s="8">
        <v>2.85</v>
      </c>
      <c r="E799" s="4">
        <v>5</v>
      </c>
      <c r="F799" s="8">
        <v>1.66</v>
      </c>
      <c r="G799" s="4">
        <v>6</v>
      </c>
      <c r="H799" s="8">
        <v>5.26</v>
      </c>
      <c r="I799" s="4">
        <v>0</v>
      </c>
    </row>
    <row r="800" spans="1:9" x14ac:dyDescent="0.2">
      <c r="A800" s="2">
        <v>10</v>
      </c>
      <c r="B800" s="1" t="s">
        <v>85</v>
      </c>
      <c r="C800" s="4">
        <v>12</v>
      </c>
      <c r="D800" s="8">
        <v>2.85</v>
      </c>
      <c r="E800" s="4">
        <v>10</v>
      </c>
      <c r="F800" s="8">
        <v>3.31</v>
      </c>
      <c r="G800" s="4">
        <v>1</v>
      </c>
      <c r="H800" s="8">
        <v>0.88</v>
      </c>
      <c r="I800" s="4">
        <v>0</v>
      </c>
    </row>
    <row r="801" spans="1:9" x14ac:dyDescent="0.2">
      <c r="A801" s="2">
        <v>10</v>
      </c>
      <c r="B801" s="1" t="s">
        <v>86</v>
      </c>
      <c r="C801" s="4">
        <v>12</v>
      </c>
      <c r="D801" s="8">
        <v>2.85</v>
      </c>
      <c r="E801" s="4">
        <v>10</v>
      </c>
      <c r="F801" s="8">
        <v>3.31</v>
      </c>
      <c r="G801" s="4">
        <v>0</v>
      </c>
      <c r="H801" s="8">
        <v>0</v>
      </c>
      <c r="I801" s="4">
        <v>0</v>
      </c>
    </row>
    <row r="802" spans="1:9" x14ac:dyDescent="0.2">
      <c r="A802" s="2">
        <v>13</v>
      </c>
      <c r="B802" s="1" t="s">
        <v>72</v>
      </c>
      <c r="C802" s="4">
        <v>10</v>
      </c>
      <c r="D802" s="8">
        <v>2.38</v>
      </c>
      <c r="E802" s="4">
        <v>6</v>
      </c>
      <c r="F802" s="8">
        <v>1.99</v>
      </c>
      <c r="G802" s="4">
        <v>4</v>
      </c>
      <c r="H802" s="8">
        <v>3.51</v>
      </c>
      <c r="I802" s="4">
        <v>0</v>
      </c>
    </row>
    <row r="803" spans="1:9" x14ac:dyDescent="0.2">
      <c r="A803" s="2">
        <v>14</v>
      </c>
      <c r="B803" s="1" t="s">
        <v>95</v>
      </c>
      <c r="C803" s="4">
        <v>8</v>
      </c>
      <c r="D803" s="8">
        <v>1.9</v>
      </c>
      <c r="E803" s="4">
        <v>6</v>
      </c>
      <c r="F803" s="8">
        <v>1.99</v>
      </c>
      <c r="G803" s="4">
        <v>2</v>
      </c>
      <c r="H803" s="8">
        <v>1.75</v>
      </c>
      <c r="I803" s="4">
        <v>0</v>
      </c>
    </row>
    <row r="804" spans="1:9" x14ac:dyDescent="0.2">
      <c r="A804" s="2">
        <v>14</v>
      </c>
      <c r="B804" s="1" t="s">
        <v>80</v>
      </c>
      <c r="C804" s="4">
        <v>8</v>
      </c>
      <c r="D804" s="8">
        <v>1.9</v>
      </c>
      <c r="E804" s="4">
        <v>7</v>
      </c>
      <c r="F804" s="8">
        <v>2.3199999999999998</v>
      </c>
      <c r="G804" s="4">
        <v>1</v>
      </c>
      <c r="H804" s="8">
        <v>0.88</v>
      </c>
      <c r="I804" s="4">
        <v>0</v>
      </c>
    </row>
    <row r="805" spans="1:9" x14ac:dyDescent="0.2">
      <c r="A805" s="2">
        <v>16</v>
      </c>
      <c r="B805" s="1" t="s">
        <v>84</v>
      </c>
      <c r="C805" s="4">
        <v>7</v>
      </c>
      <c r="D805" s="8">
        <v>1.66</v>
      </c>
      <c r="E805" s="4">
        <v>4</v>
      </c>
      <c r="F805" s="8">
        <v>1.32</v>
      </c>
      <c r="G805" s="4">
        <v>3</v>
      </c>
      <c r="H805" s="8">
        <v>2.63</v>
      </c>
      <c r="I805" s="4">
        <v>0</v>
      </c>
    </row>
    <row r="806" spans="1:9" x14ac:dyDescent="0.2">
      <c r="A806" s="2">
        <v>17</v>
      </c>
      <c r="B806" s="1" t="s">
        <v>97</v>
      </c>
      <c r="C806" s="4">
        <v>5</v>
      </c>
      <c r="D806" s="8">
        <v>1.19</v>
      </c>
      <c r="E806" s="4">
        <v>4</v>
      </c>
      <c r="F806" s="8">
        <v>1.32</v>
      </c>
      <c r="G806" s="4">
        <v>1</v>
      </c>
      <c r="H806" s="8">
        <v>0.88</v>
      </c>
      <c r="I806" s="4">
        <v>0</v>
      </c>
    </row>
    <row r="807" spans="1:9" x14ac:dyDescent="0.2">
      <c r="A807" s="2">
        <v>17</v>
      </c>
      <c r="B807" s="1" t="s">
        <v>110</v>
      </c>
      <c r="C807" s="4">
        <v>5</v>
      </c>
      <c r="D807" s="8">
        <v>1.19</v>
      </c>
      <c r="E807" s="4">
        <v>5</v>
      </c>
      <c r="F807" s="8">
        <v>1.66</v>
      </c>
      <c r="G807" s="4">
        <v>0</v>
      </c>
      <c r="H807" s="8">
        <v>0</v>
      </c>
      <c r="I807" s="4">
        <v>0</v>
      </c>
    </row>
    <row r="808" spans="1:9" x14ac:dyDescent="0.2">
      <c r="A808" s="2">
        <v>17</v>
      </c>
      <c r="B808" s="1" t="s">
        <v>91</v>
      </c>
      <c r="C808" s="4">
        <v>5</v>
      </c>
      <c r="D808" s="8">
        <v>1.19</v>
      </c>
      <c r="E808" s="4">
        <v>3</v>
      </c>
      <c r="F808" s="8">
        <v>0.99</v>
      </c>
      <c r="G808" s="4">
        <v>2</v>
      </c>
      <c r="H808" s="8">
        <v>1.75</v>
      </c>
      <c r="I808" s="4">
        <v>0</v>
      </c>
    </row>
    <row r="809" spans="1:9" x14ac:dyDescent="0.2">
      <c r="A809" s="2">
        <v>20</v>
      </c>
      <c r="B809" s="1" t="s">
        <v>94</v>
      </c>
      <c r="C809" s="4">
        <v>4</v>
      </c>
      <c r="D809" s="8">
        <v>0.95</v>
      </c>
      <c r="E809" s="4">
        <v>3</v>
      </c>
      <c r="F809" s="8">
        <v>0.99</v>
      </c>
      <c r="G809" s="4">
        <v>1</v>
      </c>
      <c r="H809" s="8">
        <v>0.88</v>
      </c>
      <c r="I809" s="4">
        <v>0</v>
      </c>
    </row>
    <row r="810" spans="1:9" x14ac:dyDescent="0.2">
      <c r="A810" s="2">
        <v>20</v>
      </c>
      <c r="B810" s="1" t="s">
        <v>109</v>
      </c>
      <c r="C810" s="4">
        <v>4</v>
      </c>
      <c r="D810" s="8">
        <v>0.95</v>
      </c>
      <c r="E810" s="4">
        <v>3</v>
      </c>
      <c r="F810" s="8">
        <v>0.99</v>
      </c>
      <c r="G810" s="4">
        <v>1</v>
      </c>
      <c r="H810" s="8">
        <v>0.88</v>
      </c>
      <c r="I810" s="4">
        <v>0</v>
      </c>
    </row>
    <row r="811" spans="1:9" x14ac:dyDescent="0.2">
      <c r="A811" s="2">
        <v>20</v>
      </c>
      <c r="B811" s="1" t="s">
        <v>74</v>
      </c>
      <c r="C811" s="4">
        <v>4</v>
      </c>
      <c r="D811" s="8">
        <v>0.95</v>
      </c>
      <c r="E811" s="4">
        <v>4</v>
      </c>
      <c r="F811" s="8">
        <v>1.32</v>
      </c>
      <c r="G811" s="4">
        <v>0</v>
      </c>
      <c r="H811" s="8">
        <v>0</v>
      </c>
      <c r="I811" s="4">
        <v>0</v>
      </c>
    </row>
    <row r="812" spans="1:9" x14ac:dyDescent="0.2">
      <c r="A812" s="2">
        <v>20</v>
      </c>
      <c r="B812" s="1" t="s">
        <v>78</v>
      </c>
      <c r="C812" s="4">
        <v>4</v>
      </c>
      <c r="D812" s="8">
        <v>0.95</v>
      </c>
      <c r="E812" s="4">
        <v>1</v>
      </c>
      <c r="F812" s="8">
        <v>0.33</v>
      </c>
      <c r="G812" s="4">
        <v>3</v>
      </c>
      <c r="H812" s="8">
        <v>2.63</v>
      </c>
      <c r="I812" s="4">
        <v>0</v>
      </c>
    </row>
    <row r="813" spans="1:9" x14ac:dyDescent="0.2">
      <c r="A813" s="1"/>
      <c r="C813" s="4"/>
      <c r="D813" s="8"/>
      <c r="E813" s="4"/>
      <c r="F813" s="8"/>
      <c r="G813" s="4"/>
      <c r="H813" s="8"/>
      <c r="I813" s="4"/>
    </row>
    <row r="814" spans="1:9" x14ac:dyDescent="0.2">
      <c r="A814" s="1" t="s">
        <v>36</v>
      </c>
      <c r="C814" s="4"/>
      <c r="D814" s="8"/>
      <c r="E814" s="4"/>
      <c r="F814" s="8"/>
      <c r="G814" s="4"/>
      <c r="H814" s="8"/>
      <c r="I814" s="4"/>
    </row>
    <row r="815" spans="1:9" x14ac:dyDescent="0.2">
      <c r="A815" s="2">
        <v>1</v>
      </c>
      <c r="B815" s="1" t="s">
        <v>83</v>
      </c>
      <c r="C815" s="4">
        <v>79</v>
      </c>
      <c r="D815" s="8">
        <v>12.99</v>
      </c>
      <c r="E815" s="4">
        <v>74</v>
      </c>
      <c r="F815" s="8">
        <v>23.2</v>
      </c>
      <c r="G815" s="4">
        <v>5</v>
      </c>
      <c r="H815" s="8">
        <v>1.75</v>
      </c>
      <c r="I815" s="4">
        <v>0</v>
      </c>
    </row>
    <row r="816" spans="1:9" x14ac:dyDescent="0.2">
      <c r="A816" s="2">
        <v>2</v>
      </c>
      <c r="B816" s="1" t="s">
        <v>82</v>
      </c>
      <c r="C816" s="4">
        <v>56</v>
      </c>
      <c r="D816" s="8">
        <v>9.2100000000000009</v>
      </c>
      <c r="E816" s="4">
        <v>49</v>
      </c>
      <c r="F816" s="8">
        <v>15.36</v>
      </c>
      <c r="G816" s="4">
        <v>7</v>
      </c>
      <c r="H816" s="8">
        <v>2.46</v>
      </c>
      <c r="I816" s="4">
        <v>0</v>
      </c>
    </row>
    <row r="817" spans="1:9" x14ac:dyDescent="0.2">
      <c r="A817" s="2">
        <v>3</v>
      </c>
      <c r="B817" s="1" t="s">
        <v>79</v>
      </c>
      <c r="C817" s="4">
        <v>44</v>
      </c>
      <c r="D817" s="8">
        <v>7.24</v>
      </c>
      <c r="E817" s="4">
        <v>29</v>
      </c>
      <c r="F817" s="8">
        <v>9.09</v>
      </c>
      <c r="G817" s="4">
        <v>15</v>
      </c>
      <c r="H817" s="8">
        <v>5.26</v>
      </c>
      <c r="I817" s="4">
        <v>0</v>
      </c>
    </row>
    <row r="818" spans="1:9" x14ac:dyDescent="0.2">
      <c r="A818" s="2">
        <v>4</v>
      </c>
      <c r="B818" s="1" t="s">
        <v>68</v>
      </c>
      <c r="C818" s="4">
        <v>37</v>
      </c>
      <c r="D818" s="8">
        <v>6.09</v>
      </c>
      <c r="E818" s="4">
        <v>5</v>
      </c>
      <c r="F818" s="8">
        <v>1.57</v>
      </c>
      <c r="G818" s="4">
        <v>32</v>
      </c>
      <c r="H818" s="8">
        <v>11.23</v>
      </c>
      <c r="I818" s="4">
        <v>0</v>
      </c>
    </row>
    <row r="819" spans="1:9" x14ac:dyDescent="0.2">
      <c r="A819" s="2">
        <v>4</v>
      </c>
      <c r="B819" s="1" t="s">
        <v>70</v>
      </c>
      <c r="C819" s="4">
        <v>37</v>
      </c>
      <c r="D819" s="8">
        <v>6.09</v>
      </c>
      <c r="E819" s="4">
        <v>5</v>
      </c>
      <c r="F819" s="8">
        <v>1.57</v>
      </c>
      <c r="G819" s="4">
        <v>32</v>
      </c>
      <c r="H819" s="8">
        <v>11.23</v>
      </c>
      <c r="I819" s="4">
        <v>0</v>
      </c>
    </row>
    <row r="820" spans="1:9" x14ac:dyDescent="0.2">
      <c r="A820" s="2">
        <v>4</v>
      </c>
      <c r="B820" s="1" t="s">
        <v>77</v>
      </c>
      <c r="C820" s="4">
        <v>37</v>
      </c>
      <c r="D820" s="8">
        <v>6.09</v>
      </c>
      <c r="E820" s="4">
        <v>17</v>
      </c>
      <c r="F820" s="8">
        <v>5.33</v>
      </c>
      <c r="G820" s="4">
        <v>20</v>
      </c>
      <c r="H820" s="8">
        <v>7.02</v>
      </c>
      <c r="I820" s="4">
        <v>0</v>
      </c>
    </row>
    <row r="821" spans="1:9" x14ac:dyDescent="0.2">
      <c r="A821" s="2">
        <v>7</v>
      </c>
      <c r="B821" s="1" t="s">
        <v>69</v>
      </c>
      <c r="C821" s="4">
        <v>32</v>
      </c>
      <c r="D821" s="8">
        <v>5.26</v>
      </c>
      <c r="E821" s="4">
        <v>10</v>
      </c>
      <c r="F821" s="8">
        <v>3.13</v>
      </c>
      <c r="G821" s="4">
        <v>22</v>
      </c>
      <c r="H821" s="8">
        <v>7.72</v>
      </c>
      <c r="I821" s="4">
        <v>0</v>
      </c>
    </row>
    <row r="822" spans="1:9" x14ac:dyDescent="0.2">
      <c r="A822" s="2">
        <v>8</v>
      </c>
      <c r="B822" s="1" t="s">
        <v>75</v>
      </c>
      <c r="C822" s="4">
        <v>26</v>
      </c>
      <c r="D822" s="8">
        <v>4.28</v>
      </c>
      <c r="E822" s="4">
        <v>16</v>
      </c>
      <c r="F822" s="8">
        <v>5.0199999999999996</v>
      </c>
      <c r="G822" s="4">
        <v>10</v>
      </c>
      <c r="H822" s="8">
        <v>3.51</v>
      </c>
      <c r="I822" s="4">
        <v>0</v>
      </c>
    </row>
    <row r="823" spans="1:9" x14ac:dyDescent="0.2">
      <c r="A823" s="2">
        <v>9</v>
      </c>
      <c r="B823" s="1" t="s">
        <v>85</v>
      </c>
      <c r="C823" s="4">
        <v>24</v>
      </c>
      <c r="D823" s="8">
        <v>3.95</v>
      </c>
      <c r="E823" s="4">
        <v>13</v>
      </c>
      <c r="F823" s="8">
        <v>4.08</v>
      </c>
      <c r="G823" s="4">
        <v>9</v>
      </c>
      <c r="H823" s="8">
        <v>3.16</v>
      </c>
      <c r="I823" s="4">
        <v>0</v>
      </c>
    </row>
    <row r="824" spans="1:9" x14ac:dyDescent="0.2">
      <c r="A824" s="2">
        <v>10</v>
      </c>
      <c r="B824" s="1" t="s">
        <v>86</v>
      </c>
      <c r="C824" s="4">
        <v>20</v>
      </c>
      <c r="D824" s="8">
        <v>3.29</v>
      </c>
      <c r="E824" s="4">
        <v>17</v>
      </c>
      <c r="F824" s="8">
        <v>5.33</v>
      </c>
      <c r="G824" s="4">
        <v>3</v>
      </c>
      <c r="H824" s="8">
        <v>1.05</v>
      </c>
      <c r="I824" s="4">
        <v>0</v>
      </c>
    </row>
    <row r="825" spans="1:9" x14ac:dyDescent="0.2">
      <c r="A825" s="2">
        <v>11</v>
      </c>
      <c r="B825" s="1" t="s">
        <v>87</v>
      </c>
      <c r="C825" s="4">
        <v>19</v>
      </c>
      <c r="D825" s="8">
        <v>3.13</v>
      </c>
      <c r="E825" s="4">
        <v>17</v>
      </c>
      <c r="F825" s="8">
        <v>5.33</v>
      </c>
      <c r="G825" s="4">
        <v>2</v>
      </c>
      <c r="H825" s="8">
        <v>0.7</v>
      </c>
      <c r="I825" s="4">
        <v>0</v>
      </c>
    </row>
    <row r="826" spans="1:9" x14ac:dyDescent="0.2">
      <c r="A826" s="2">
        <v>12</v>
      </c>
      <c r="B826" s="1" t="s">
        <v>76</v>
      </c>
      <c r="C826" s="4">
        <v>16</v>
      </c>
      <c r="D826" s="8">
        <v>2.63</v>
      </c>
      <c r="E826" s="4">
        <v>10</v>
      </c>
      <c r="F826" s="8">
        <v>3.13</v>
      </c>
      <c r="G826" s="4">
        <v>6</v>
      </c>
      <c r="H826" s="8">
        <v>2.11</v>
      </c>
      <c r="I826" s="4">
        <v>0</v>
      </c>
    </row>
    <row r="827" spans="1:9" x14ac:dyDescent="0.2">
      <c r="A827" s="2">
        <v>13</v>
      </c>
      <c r="B827" s="1" t="s">
        <v>81</v>
      </c>
      <c r="C827" s="4">
        <v>14</v>
      </c>
      <c r="D827" s="8">
        <v>2.2999999999999998</v>
      </c>
      <c r="E827" s="4">
        <v>4</v>
      </c>
      <c r="F827" s="8">
        <v>1.25</v>
      </c>
      <c r="G827" s="4">
        <v>9</v>
      </c>
      <c r="H827" s="8">
        <v>3.16</v>
      </c>
      <c r="I827" s="4">
        <v>0</v>
      </c>
    </row>
    <row r="828" spans="1:9" x14ac:dyDescent="0.2">
      <c r="A828" s="2">
        <v>13</v>
      </c>
      <c r="B828" s="1" t="s">
        <v>99</v>
      </c>
      <c r="C828" s="4">
        <v>14</v>
      </c>
      <c r="D828" s="8">
        <v>2.2999999999999998</v>
      </c>
      <c r="E828" s="4">
        <v>9</v>
      </c>
      <c r="F828" s="8">
        <v>2.82</v>
      </c>
      <c r="G828" s="4">
        <v>5</v>
      </c>
      <c r="H828" s="8">
        <v>1.75</v>
      </c>
      <c r="I828" s="4">
        <v>0</v>
      </c>
    </row>
    <row r="829" spans="1:9" x14ac:dyDescent="0.2">
      <c r="A829" s="2">
        <v>15</v>
      </c>
      <c r="B829" s="1" t="s">
        <v>73</v>
      </c>
      <c r="C829" s="4">
        <v>13</v>
      </c>
      <c r="D829" s="8">
        <v>2.14</v>
      </c>
      <c r="E829" s="4">
        <v>2</v>
      </c>
      <c r="F829" s="8">
        <v>0.63</v>
      </c>
      <c r="G829" s="4">
        <v>11</v>
      </c>
      <c r="H829" s="8">
        <v>3.86</v>
      </c>
      <c r="I829" s="4">
        <v>0</v>
      </c>
    </row>
    <row r="830" spans="1:9" x14ac:dyDescent="0.2">
      <c r="A830" s="2">
        <v>16</v>
      </c>
      <c r="B830" s="1" t="s">
        <v>71</v>
      </c>
      <c r="C830" s="4">
        <v>11</v>
      </c>
      <c r="D830" s="8">
        <v>1.81</v>
      </c>
      <c r="E830" s="4">
        <v>4</v>
      </c>
      <c r="F830" s="8">
        <v>1.25</v>
      </c>
      <c r="G830" s="4">
        <v>7</v>
      </c>
      <c r="H830" s="8">
        <v>2.46</v>
      </c>
      <c r="I830" s="4">
        <v>0</v>
      </c>
    </row>
    <row r="831" spans="1:9" x14ac:dyDescent="0.2">
      <c r="A831" s="2">
        <v>17</v>
      </c>
      <c r="B831" s="1" t="s">
        <v>74</v>
      </c>
      <c r="C831" s="4">
        <v>10</v>
      </c>
      <c r="D831" s="8">
        <v>1.64</v>
      </c>
      <c r="E831" s="4">
        <v>5</v>
      </c>
      <c r="F831" s="8">
        <v>1.57</v>
      </c>
      <c r="G831" s="4">
        <v>5</v>
      </c>
      <c r="H831" s="8">
        <v>1.75</v>
      </c>
      <c r="I831" s="4">
        <v>0</v>
      </c>
    </row>
    <row r="832" spans="1:9" x14ac:dyDescent="0.2">
      <c r="A832" s="2">
        <v>18</v>
      </c>
      <c r="B832" s="1" t="s">
        <v>84</v>
      </c>
      <c r="C832" s="4">
        <v>8</v>
      </c>
      <c r="D832" s="8">
        <v>1.32</v>
      </c>
      <c r="E832" s="4">
        <v>5</v>
      </c>
      <c r="F832" s="8">
        <v>1.57</v>
      </c>
      <c r="G832" s="4">
        <v>3</v>
      </c>
      <c r="H832" s="8">
        <v>1.05</v>
      </c>
      <c r="I832" s="4">
        <v>0</v>
      </c>
    </row>
    <row r="833" spans="1:9" x14ac:dyDescent="0.2">
      <c r="A833" s="2">
        <v>19</v>
      </c>
      <c r="B833" s="1" t="s">
        <v>91</v>
      </c>
      <c r="C833" s="4">
        <v>6</v>
      </c>
      <c r="D833" s="8">
        <v>0.99</v>
      </c>
      <c r="E833" s="4">
        <v>1</v>
      </c>
      <c r="F833" s="8">
        <v>0.31</v>
      </c>
      <c r="G833" s="4">
        <v>5</v>
      </c>
      <c r="H833" s="8">
        <v>1.75</v>
      </c>
      <c r="I833" s="4">
        <v>0</v>
      </c>
    </row>
    <row r="834" spans="1:9" x14ac:dyDescent="0.2">
      <c r="A834" s="2">
        <v>19</v>
      </c>
      <c r="B834" s="1" t="s">
        <v>92</v>
      </c>
      <c r="C834" s="4">
        <v>6</v>
      </c>
      <c r="D834" s="8">
        <v>0.99</v>
      </c>
      <c r="E834" s="4">
        <v>2</v>
      </c>
      <c r="F834" s="8">
        <v>0.63</v>
      </c>
      <c r="G834" s="4">
        <v>4</v>
      </c>
      <c r="H834" s="8">
        <v>1.4</v>
      </c>
      <c r="I834" s="4">
        <v>0</v>
      </c>
    </row>
    <row r="835" spans="1:9" x14ac:dyDescent="0.2">
      <c r="A835" s="2">
        <v>19</v>
      </c>
      <c r="B835" s="1" t="s">
        <v>102</v>
      </c>
      <c r="C835" s="4">
        <v>6</v>
      </c>
      <c r="D835" s="8">
        <v>0.99</v>
      </c>
      <c r="E835" s="4">
        <v>0</v>
      </c>
      <c r="F835" s="8">
        <v>0</v>
      </c>
      <c r="G835" s="4">
        <v>6</v>
      </c>
      <c r="H835" s="8">
        <v>2.11</v>
      </c>
      <c r="I835" s="4">
        <v>0</v>
      </c>
    </row>
    <row r="836" spans="1:9" x14ac:dyDescent="0.2">
      <c r="A836" s="2">
        <v>19</v>
      </c>
      <c r="B836" s="1" t="s">
        <v>111</v>
      </c>
      <c r="C836" s="4">
        <v>6</v>
      </c>
      <c r="D836" s="8">
        <v>0.99</v>
      </c>
      <c r="E836" s="4">
        <v>0</v>
      </c>
      <c r="F836" s="8">
        <v>0</v>
      </c>
      <c r="G836" s="4">
        <v>6</v>
      </c>
      <c r="H836" s="8">
        <v>2.11</v>
      </c>
      <c r="I836" s="4">
        <v>0</v>
      </c>
    </row>
    <row r="837" spans="1:9" x14ac:dyDescent="0.2">
      <c r="A837" s="2">
        <v>19</v>
      </c>
      <c r="B837" s="1" t="s">
        <v>96</v>
      </c>
      <c r="C837" s="4">
        <v>6</v>
      </c>
      <c r="D837" s="8">
        <v>0.99</v>
      </c>
      <c r="E837" s="4">
        <v>0</v>
      </c>
      <c r="F837" s="8">
        <v>0</v>
      </c>
      <c r="G837" s="4">
        <v>5</v>
      </c>
      <c r="H837" s="8">
        <v>1.75</v>
      </c>
      <c r="I837" s="4">
        <v>0</v>
      </c>
    </row>
    <row r="838" spans="1:9" x14ac:dyDescent="0.2">
      <c r="A838" s="2">
        <v>19</v>
      </c>
      <c r="B838" s="1" t="s">
        <v>106</v>
      </c>
      <c r="C838" s="4">
        <v>6</v>
      </c>
      <c r="D838" s="8">
        <v>0.99</v>
      </c>
      <c r="E838" s="4">
        <v>3</v>
      </c>
      <c r="F838" s="8">
        <v>0.94</v>
      </c>
      <c r="G838" s="4">
        <v>3</v>
      </c>
      <c r="H838" s="8">
        <v>1.05</v>
      </c>
      <c r="I838" s="4">
        <v>0</v>
      </c>
    </row>
    <row r="839" spans="1:9" x14ac:dyDescent="0.2">
      <c r="A839" s="2">
        <v>19</v>
      </c>
      <c r="B839" s="1" t="s">
        <v>89</v>
      </c>
      <c r="C839" s="4">
        <v>6</v>
      </c>
      <c r="D839" s="8">
        <v>0.99</v>
      </c>
      <c r="E839" s="4">
        <v>1</v>
      </c>
      <c r="F839" s="8">
        <v>0.31</v>
      </c>
      <c r="G839" s="4">
        <v>5</v>
      </c>
      <c r="H839" s="8">
        <v>1.75</v>
      </c>
      <c r="I839" s="4">
        <v>0</v>
      </c>
    </row>
    <row r="840" spans="1:9" x14ac:dyDescent="0.2">
      <c r="A840" s="1"/>
      <c r="C840" s="4"/>
      <c r="D840" s="8"/>
      <c r="E840" s="4"/>
      <c r="F840" s="8"/>
      <c r="G840" s="4"/>
      <c r="H840" s="8"/>
      <c r="I840" s="4"/>
    </row>
    <row r="841" spans="1:9" x14ac:dyDescent="0.2">
      <c r="A841" s="1" t="s">
        <v>37</v>
      </c>
      <c r="C841" s="4"/>
      <c r="D841" s="8"/>
      <c r="E841" s="4"/>
      <c r="F841" s="8"/>
      <c r="G841" s="4"/>
      <c r="H841" s="8"/>
      <c r="I841" s="4"/>
    </row>
    <row r="842" spans="1:9" x14ac:dyDescent="0.2">
      <c r="A842" s="2">
        <v>1</v>
      </c>
      <c r="B842" s="1" t="s">
        <v>75</v>
      </c>
      <c r="C842" s="4">
        <v>78</v>
      </c>
      <c r="D842" s="8">
        <v>12.7</v>
      </c>
      <c r="E842" s="4">
        <v>66</v>
      </c>
      <c r="F842" s="8">
        <v>14.9</v>
      </c>
      <c r="G842" s="4">
        <v>12</v>
      </c>
      <c r="H842" s="8">
        <v>7.59</v>
      </c>
      <c r="I842" s="4">
        <v>0</v>
      </c>
    </row>
    <row r="843" spans="1:9" x14ac:dyDescent="0.2">
      <c r="A843" s="2">
        <v>2</v>
      </c>
      <c r="B843" s="1" t="s">
        <v>68</v>
      </c>
      <c r="C843" s="4">
        <v>67</v>
      </c>
      <c r="D843" s="8">
        <v>10.91</v>
      </c>
      <c r="E843" s="4">
        <v>43</v>
      </c>
      <c r="F843" s="8">
        <v>9.7100000000000009</v>
      </c>
      <c r="G843" s="4">
        <v>24</v>
      </c>
      <c r="H843" s="8">
        <v>15.19</v>
      </c>
      <c r="I843" s="4">
        <v>0</v>
      </c>
    </row>
    <row r="844" spans="1:9" x14ac:dyDescent="0.2">
      <c r="A844" s="2">
        <v>2</v>
      </c>
      <c r="B844" s="1" t="s">
        <v>77</v>
      </c>
      <c r="C844" s="4">
        <v>67</v>
      </c>
      <c r="D844" s="8">
        <v>10.91</v>
      </c>
      <c r="E844" s="4">
        <v>46</v>
      </c>
      <c r="F844" s="8">
        <v>10.38</v>
      </c>
      <c r="G844" s="4">
        <v>21</v>
      </c>
      <c r="H844" s="8">
        <v>13.29</v>
      </c>
      <c r="I844" s="4">
        <v>0</v>
      </c>
    </row>
    <row r="845" spans="1:9" x14ac:dyDescent="0.2">
      <c r="A845" s="2">
        <v>4</v>
      </c>
      <c r="B845" s="1" t="s">
        <v>83</v>
      </c>
      <c r="C845" s="4">
        <v>66</v>
      </c>
      <c r="D845" s="8">
        <v>10.75</v>
      </c>
      <c r="E845" s="4">
        <v>60</v>
      </c>
      <c r="F845" s="8">
        <v>13.54</v>
      </c>
      <c r="G845" s="4">
        <v>6</v>
      </c>
      <c r="H845" s="8">
        <v>3.8</v>
      </c>
      <c r="I845" s="4">
        <v>0</v>
      </c>
    </row>
    <row r="846" spans="1:9" x14ac:dyDescent="0.2">
      <c r="A846" s="2">
        <v>5</v>
      </c>
      <c r="B846" s="1" t="s">
        <v>82</v>
      </c>
      <c r="C846" s="4">
        <v>56</v>
      </c>
      <c r="D846" s="8">
        <v>9.1199999999999992</v>
      </c>
      <c r="E846" s="4">
        <v>50</v>
      </c>
      <c r="F846" s="8">
        <v>11.29</v>
      </c>
      <c r="G846" s="4">
        <v>6</v>
      </c>
      <c r="H846" s="8">
        <v>3.8</v>
      </c>
      <c r="I846" s="4">
        <v>0</v>
      </c>
    </row>
    <row r="847" spans="1:9" x14ac:dyDescent="0.2">
      <c r="A847" s="2">
        <v>6</v>
      </c>
      <c r="B847" s="1" t="s">
        <v>69</v>
      </c>
      <c r="C847" s="4">
        <v>52</v>
      </c>
      <c r="D847" s="8">
        <v>8.4700000000000006</v>
      </c>
      <c r="E847" s="4">
        <v>39</v>
      </c>
      <c r="F847" s="8">
        <v>8.8000000000000007</v>
      </c>
      <c r="G847" s="4">
        <v>13</v>
      </c>
      <c r="H847" s="8">
        <v>8.23</v>
      </c>
      <c r="I847" s="4">
        <v>0</v>
      </c>
    </row>
    <row r="848" spans="1:9" x14ac:dyDescent="0.2">
      <c r="A848" s="2">
        <v>7</v>
      </c>
      <c r="B848" s="1" t="s">
        <v>76</v>
      </c>
      <c r="C848" s="4">
        <v>19</v>
      </c>
      <c r="D848" s="8">
        <v>3.09</v>
      </c>
      <c r="E848" s="4">
        <v>16</v>
      </c>
      <c r="F848" s="8">
        <v>3.61</v>
      </c>
      <c r="G848" s="4">
        <v>3</v>
      </c>
      <c r="H848" s="8">
        <v>1.9</v>
      </c>
      <c r="I848" s="4">
        <v>0</v>
      </c>
    </row>
    <row r="849" spans="1:9" x14ac:dyDescent="0.2">
      <c r="A849" s="2">
        <v>8</v>
      </c>
      <c r="B849" s="1" t="s">
        <v>70</v>
      </c>
      <c r="C849" s="4">
        <v>17</v>
      </c>
      <c r="D849" s="8">
        <v>2.77</v>
      </c>
      <c r="E849" s="4">
        <v>11</v>
      </c>
      <c r="F849" s="8">
        <v>2.48</v>
      </c>
      <c r="G849" s="4">
        <v>6</v>
      </c>
      <c r="H849" s="8">
        <v>3.8</v>
      </c>
      <c r="I849" s="4">
        <v>0</v>
      </c>
    </row>
    <row r="850" spans="1:9" x14ac:dyDescent="0.2">
      <c r="A850" s="2">
        <v>8</v>
      </c>
      <c r="B850" s="1" t="s">
        <v>79</v>
      </c>
      <c r="C850" s="4">
        <v>17</v>
      </c>
      <c r="D850" s="8">
        <v>2.77</v>
      </c>
      <c r="E850" s="4">
        <v>16</v>
      </c>
      <c r="F850" s="8">
        <v>3.61</v>
      </c>
      <c r="G850" s="4">
        <v>1</v>
      </c>
      <c r="H850" s="8">
        <v>0.63</v>
      </c>
      <c r="I850" s="4">
        <v>0</v>
      </c>
    </row>
    <row r="851" spans="1:9" x14ac:dyDescent="0.2">
      <c r="A851" s="2">
        <v>8</v>
      </c>
      <c r="B851" s="1" t="s">
        <v>85</v>
      </c>
      <c r="C851" s="4">
        <v>17</v>
      </c>
      <c r="D851" s="8">
        <v>2.77</v>
      </c>
      <c r="E851" s="4">
        <v>8</v>
      </c>
      <c r="F851" s="8">
        <v>1.81</v>
      </c>
      <c r="G851" s="4">
        <v>1</v>
      </c>
      <c r="H851" s="8">
        <v>0.63</v>
      </c>
      <c r="I851" s="4">
        <v>0</v>
      </c>
    </row>
    <row r="852" spans="1:9" x14ac:dyDescent="0.2">
      <c r="A852" s="2">
        <v>11</v>
      </c>
      <c r="B852" s="1" t="s">
        <v>97</v>
      </c>
      <c r="C852" s="4">
        <v>14</v>
      </c>
      <c r="D852" s="8">
        <v>2.2799999999999998</v>
      </c>
      <c r="E852" s="4">
        <v>7</v>
      </c>
      <c r="F852" s="8">
        <v>1.58</v>
      </c>
      <c r="G852" s="4">
        <v>7</v>
      </c>
      <c r="H852" s="8">
        <v>4.43</v>
      </c>
      <c r="I852" s="4">
        <v>0</v>
      </c>
    </row>
    <row r="853" spans="1:9" x14ac:dyDescent="0.2">
      <c r="A853" s="2">
        <v>11</v>
      </c>
      <c r="B853" s="1" t="s">
        <v>87</v>
      </c>
      <c r="C853" s="4">
        <v>14</v>
      </c>
      <c r="D853" s="8">
        <v>2.2799999999999998</v>
      </c>
      <c r="E853" s="4">
        <v>14</v>
      </c>
      <c r="F853" s="8">
        <v>3.16</v>
      </c>
      <c r="G853" s="4">
        <v>0</v>
      </c>
      <c r="H853" s="8">
        <v>0</v>
      </c>
      <c r="I853" s="4">
        <v>0</v>
      </c>
    </row>
    <row r="854" spans="1:9" x14ac:dyDescent="0.2">
      <c r="A854" s="2">
        <v>13</v>
      </c>
      <c r="B854" s="1" t="s">
        <v>74</v>
      </c>
      <c r="C854" s="4">
        <v>12</v>
      </c>
      <c r="D854" s="8">
        <v>1.95</v>
      </c>
      <c r="E854" s="4">
        <v>8</v>
      </c>
      <c r="F854" s="8">
        <v>1.81</v>
      </c>
      <c r="G854" s="4">
        <v>4</v>
      </c>
      <c r="H854" s="8">
        <v>2.5299999999999998</v>
      </c>
      <c r="I854" s="4">
        <v>0</v>
      </c>
    </row>
    <row r="855" spans="1:9" x14ac:dyDescent="0.2">
      <c r="A855" s="2">
        <v>14</v>
      </c>
      <c r="B855" s="1" t="s">
        <v>99</v>
      </c>
      <c r="C855" s="4">
        <v>9</v>
      </c>
      <c r="D855" s="8">
        <v>1.47</v>
      </c>
      <c r="E855" s="4">
        <v>8</v>
      </c>
      <c r="F855" s="8">
        <v>1.81</v>
      </c>
      <c r="G855" s="4">
        <v>1</v>
      </c>
      <c r="H855" s="8">
        <v>0.63</v>
      </c>
      <c r="I855" s="4">
        <v>0</v>
      </c>
    </row>
    <row r="856" spans="1:9" x14ac:dyDescent="0.2">
      <c r="A856" s="2">
        <v>15</v>
      </c>
      <c r="B856" s="1" t="s">
        <v>98</v>
      </c>
      <c r="C856" s="4">
        <v>8</v>
      </c>
      <c r="D856" s="8">
        <v>1.3</v>
      </c>
      <c r="E856" s="4">
        <v>2</v>
      </c>
      <c r="F856" s="8">
        <v>0.45</v>
      </c>
      <c r="G856" s="4">
        <v>6</v>
      </c>
      <c r="H856" s="8">
        <v>3.8</v>
      </c>
      <c r="I856" s="4">
        <v>0</v>
      </c>
    </row>
    <row r="857" spans="1:9" x14ac:dyDescent="0.2">
      <c r="A857" s="2">
        <v>15</v>
      </c>
      <c r="B857" s="1" t="s">
        <v>86</v>
      </c>
      <c r="C857" s="4">
        <v>8</v>
      </c>
      <c r="D857" s="8">
        <v>1.3</v>
      </c>
      <c r="E857" s="4">
        <v>8</v>
      </c>
      <c r="F857" s="8">
        <v>1.81</v>
      </c>
      <c r="G857" s="4">
        <v>0</v>
      </c>
      <c r="H857" s="8">
        <v>0</v>
      </c>
      <c r="I857" s="4">
        <v>0</v>
      </c>
    </row>
    <row r="858" spans="1:9" x14ac:dyDescent="0.2">
      <c r="A858" s="2">
        <v>17</v>
      </c>
      <c r="B858" s="1" t="s">
        <v>110</v>
      </c>
      <c r="C858" s="4">
        <v>7</v>
      </c>
      <c r="D858" s="8">
        <v>1.1399999999999999</v>
      </c>
      <c r="E858" s="4">
        <v>3</v>
      </c>
      <c r="F858" s="8">
        <v>0.68</v>
      </c>
      <c r="G858" s="4">
        <v>4</v>
      </c>
      <c r="H858" s="8">
        <v>2.5299999999999998</v>
      </c>
      <c r="I858" s="4">
        <v>0</v>
      </c>
    </row>
    <row r="859" spans="1:9" x14ac:dyDescent="0.2">
      <c r="A859" s="2">
        <v>17</v>
      </c>
      <c r="B859" s="1" t="s">
        <v>81</v>
      </c>
      <c r="C859" s="4">
        <v>7</v>
      </c>
      <c r="D859" s="8">
        <v>1.1399999999999999</v>
      </c>
      <c r="E859" s="4">
        <v>4</v>
      </c>
      <c r="F859" s="8">
        <v>0.9</v>
      </c>
      <c r="G859" s="4">
        <v>2</v>
      </c>
      <c r="H859" s="8">
        <v>1.27</v>
      </c>
      <c r="I859" s="4">
        <v>0</v>
      </c>
    </row>
    <row r="860" spans="1:9" x14ac:dyDescent="0.2">
      <c r="A860" s="2">
        <v>19</v>
      </c>
      <c r="B860" s="1" t="s">
        <v>80</v>
      </c>
      <c r="C860" s="4">
        <v>6</v>
      </c>
      <c r="D860" s="8">
        <v>0.98</v>
      </c>
      <c r="E860" s="4">
        <v>6</v>
      </c>
      <c r="F860" s="8">
        <v>1.35</v>
      </c>
      <c r="G860" s="4">
        <v>0</v>
      </c>
      <c r="H860" s="8">
        <v>0</v>
      </c>
      <c r="I860" s="4">
        <v>0</v>
      </c>
    </row>
    <row r="861" spans="1:9" x14ac:dyDescent="0.2">
      <c r="A861" s="2">
        <v>20</v>
      </c>
      <c r="B861" s="1" t="s">
        <v>112</v>
      </c>
      <c r="C861" s="4">
        <v>5</v>
      </c>
      <c r="D861" s="8">
        <v>0.81</v>
      </c>
      <c r="E861" s="4">
        <v>4</v>
      </c>
      <c r="F861" s="8">
        <v>0.9</v>
      </c>
      <c r="G861" s="4">
        <v>1</v>
      </c>
      <c r="H861" s="8">
        <v>0.63</v>
      </c>
      <c r="I861" s="4">
        <v>0</v>
      </c>
    </row>
    <row r="862" spans="1:9" x14ac:dyDescent="0.2">
      <c r="A862" s="2">
        <v>20</v>
      </c>
      <c r="B862" s="1" t="s">
        <v>104</v>
      </c>
      <c r="C862" s="4">
        <v>5</v>
      </c>
      <c r="D862" s="8">
        <v>0.81</v>
      </c>
      <c r="E862" s="4">
        <v>4</v>
      </c>
      <c r="F862" s="8">
        <v>0.9</v>
      </c>
      <c r="G862" s="4">
        <v>1</v>
      </c>
      <c r="H862" s="8">
        <v>0.63</v>
      </c>
      <c r="I862" s="4">
        <v>0</v>
      </c>
    </row>
    <row r="863" spans="1:9" x14ac:dyDescent="0.2">
      <c r="A863" s="2">
        <v>20</v>
      </c>
      <c r="B863" s="1" t="s">
        <v>88</v>
      </c>
      <c r="C863" s="4">
        <v>5</v>
      </c>
      <c r="D863" s="8">
        <v>0.81</v>
      </c>
      <c r="E863" s="4">
        <v>2</v>
      </c>
      <c r="F863" s="8">
        <v>0.45</v>
      </c>
      <c r="G863" s="4">
        <v>3</v>
      </c>
      <c r="H863" s="8">
        <v>1.9</v>
      </c>
      <c r="I863" s="4">
        <v>0</v>
      </c>
    </row>
    <row r="864" spans="1:9" x14ac:dyDescent="0.2">
      <c r="A864" s="2">
        <v>20</v>
      </c>
      <c r="B864" s="1" t="s">
        <v>105</v>
      </c>
      <c r="C864" s="4">
        <v>5</v>
      </c>
      <c r="D864" s="8">
        <v>0.81</v>
      </c>
      <c r="E864" s="4">
        <v>2</v>
      </c>
      <c r="F864" s="8">
        <v>0.45</v>
      </c>
      <c r="G864" s="4">
        <v>3</v>
      </c>
      <c r="H864" s="8">
        <v>1.9</v>
      </c>
      <c r="I864" s="4">
        <v>0</v>
      </c>
    </row>
    <row r="865" spans="1:9" x14ac:dyDescent="0.2">
      <c r="A865" s="1"/>
      <c r="C865" s="4"/>
      <c r="D865" s="8"/>
      <c r="E865" s="4"/>
      <c r="F865" s="8"/>
      <c r="G865" s="4"/>
      <c r="H865" s="8"/>
      <c r="I865" s="4"/>
    </row>
    <row r="866" spans="1:9" x14ac:dyDescent="0.2">
      <c r="A866" s="1" t="s">
        <v>38</v>
      </c>
      <c r="C866" s="4"/>
      <c r="D866" s="8"/>
      <c r="E866" s="4"/>
      <c r="F866" s="8"/>
      <c r="G866" s="4"/>
      <c r="H866" s="8"/>
      <c r="I866" s="4"/>
    </row>
    <row r="867" spans="1:9" x14ac:dyDescent="0.2">
      <c r="A867" s="2">
        <v>1</v>
      </c>
      <c r="B867" s="1" t="s">
        <v>82</v>
      </c>
      <c r="C867" s="4">
        <v>35</v>
      </c>
      <c r="D867" s="8">
        <v>11.44</v>
      </c>
      <c r="E867" s="4">
        <v>31</v>
      </c>
      <c r="F867" s="8">
        <v>20.39</v>
      </c>
      <c r="G867" s="4">
        <v>4</v>
      </c>
      <c r="H867" s="8">
        <v>2.7</v>
      </c>
      <c r="I867" s="4">
        <v>0</v>
      </c>
    </row>
    <row r="868" spans="1:9" x14ac:dyDescent="0.2">
      <c r="A868" s="2">
        <v>2</v>
      </c>
      <c r="B868" s="1" t="s">
        <v>68</v>
      </c>
      <c r="C868" s="4">
        <v>27</v>
      </c>
      <c r="D868" s="8">
        <v>8.82</v>
      </c>
      <c r="E868" s="4">
        <v>8</v>
      </c>
      <c r="F868" s="8">
        <v>5.26</v>
      </c>
      <c r="G868" s="4">
        <v>19</v>
      </c>
      <c r="H868" s="8">
        <v>12.84</v>
      </c>
      <c r="I868" s="4">
        <v>0</v>
      </c>
    </row>
    <row r="869" spans="1:9" x14ac:dyDescent="0.2">
      <c r="A869" s="2">
        <v>3</v>
      </c>
      <c r="B869" s="1" t="s">
        <v>77</v>
      </c>
      <c r="C869" s="4">
        <v>20</v>
      </c>
      <c r="D869" s="8">
        <v>6.54</v>
      </c>
      <c r="E869" s="4">
        <v>11</v>
      </c>
      <c r="F869" s="8">
        <v>7.24</v>
      </c>
      <c r="G869" s="4">
        <v>9</v>
      </c>
      <c r="H869" s="8">
        <v>6.08</v>
      </c>
      <c r="I869" s="4">
        <v>0</v>
      </c>
    </row>
    <row r="870" spans="1:9" x14ac:dyDescent="0.2">
      <c r="A870" s="2">
        <v>3</v>
      </c>
      <c r="B870" s="1" t="s">
        <v>83</v>
      </c>
      <c r="C870" s="4">
        <v>20</v>
      </c>
      <c r="D870" s="8">
        <v>6.54</v>
      </c>
      <c r="E870" s="4">
        <v>18</v>
      </c>
      <c r="F870" s="8">
        <v>11.84</v>
      </c>
      <c r="G870" s="4">
        <v>2</v>
      </c>
      <c r="H870" s="8">
        <v>1.35</v>
      </c>
      <c r="I870" s="4">
        <v>0</v>
      </c>
    </row>
    <row r="871" spans="1:9" x14ac:dyDescent="0.2">
      <c r="A871" s="2">
        <v>5</v>
      </c>
      <c r="B871" s="1" t="s">
        <v>75</v>
      </c>
      <c r="C871" s="4">
        <v>19</v>
      </c>
      <c r="D871" s="8">
        <v>6.21</v>
      </c>
      <c r="E871" s="4">
        <v>16</v>
      </c>
      <c r="F871" s="8">
        <v>10.53</v>
      </c>
      <c r="G871" s="4">
        <v>3</v>
      </c>
      <c r="H871" s="8">
        <v>2.0299999999999998</v>
      </c>
      <c r="I871" s="4">
        <v>0</v>
      </c>
    </row>
    <row r="872" spans="1:9" x14ac:dyDescent="0.2">
      <c r="A872" s="2">
        <v>6</v>
      </c>
      <c r="B872" s="1" t="s">
        <v>70</v>
      </c>
      <c r="C872" s="4">
        <v>15</v>
      </c>
      <c r="D872" s="8">
        <v>4.9000000000000004</v>
      </c>
      <c r="E872" s="4">
        <v>4</v>
      </c>
      <c r="F872" s="8">
        <v>2.63</v>
      </c>
      <c r="G872" s="4">
        <v>11</v>
      </c>
      <c r="H872" s="8">
        <v>7.43</v>
      </c>
      <c r="I872" s="4">
        <v>0</v>
      </c>
    </row>
    <row r="873" spans="1:9" x14ac:dyDescent="0.2">
      <c r="A873" s="2">
        <v>7</v>
      </c>
      <c r="B873" s="1" t="s">
        <v>89</v>
      </c>
      <c r="C873" s="4">
        <v>12</v>
      </c>
      <c r="D873" s="8">
        <v>3.92</v>
      </c>
      <c r="E873" s="4">
        <v>0</v>
      </c>
      <c r="F873" s="8">
        <v>0</v>
      </c>
      <c r="G873" s="4">
        <v>12</v>
      </c>
      <c r="H873" s="8">
        <v>8.11</v>
      </c>
      <c r="I873" s="4">
        <v>0</v>
      </c>
    </row>
    <row r="874" spans="1:9" x14ac:dyDescent="0.2">
      <c r="A874" s="2">
        <v>8</v>
      </c>
      <c r="B874" s="1" t="s">
        <v>69</v>
      </c>
      <c r="C874" s="4">
        <v>11</v>
      </c>
      <c r="D874" s="8">
        <v>3.59</v>
      </c>
      <c r="E874" s="4">
        <v>7</v>
      </c>
      <c r="F874" s="8">
        <v>4.6100000000000003</v>
      </c>
      <c r="G874" s="4">
        <v>4</v>
      </c>
      <c r="H874" s="8">
        <v>2.7</v>
      </c>
      <c r="I874" s="4">
        <v>0</v>
      </c>
    </row>
    <row r="875" spans="1:9" x14ac:dyDescent="0.2">
      <c r="A875" s="2">
        <v>8</v>
      </c>
      <c r="B875" s="1" t="s">
        <v>76</v>
      </c>
      <c r="C875" s="4">
        <v>11</v>
      </c>
      <c r="D875" s="8">
        <v>3.59</v>
      </c>
      <c r="E875" s="4">
        <v>7</v>
      </c>
      <c r="F875" s="8">
        <v>4.6100000000000003</v>
      </c>
      <c r="G875" s="4">
        <v>4</v>
      </c>
      <c r="H875" s="8">
        <v>2.7</v>
      </c>
      <c r="I875" s="4">
        <v>0</v>
      </c>
    </row>
    <row r="876" spans="1:9" x14ac:dyDescent="0.2">
      <c r="A876" s="2">
        <v>8</v>
      </c>
      <c r="B876" s="1" t="s">
        <v>86</v>
      </c>
      <c r="C876" s="4">
        <v>11</v>
      </c>
      <c r="D876" s="8">
        <v>3.59</v>
      </c>
      <c r="E876" s="4">
        <v>7</v>
      </c>
      <c r="F876" s="8">
        <v>4.6100000000000003</v>
      </c>
      <c r="G876" s="4">
        <v>4</v>
      </c>
      <c r="H876" s="8">
        <v>2.7</v>
      </c>
      <c r="I876" s="4">
        <v>0</v>
      </c>
    </row>
    <row r="877" spans="1:9" x14ac:dyDescent="0.2">
      <c r="A877" s="2">
        <v>11</v>
      </c>
      <c r="B877" s="1" t="s">
        <v>81</v>
      </c>
      <c r="C877" s="4">
        <v>10</v>
      </c>
      <c r="D877" s="8">
        <v>3.27</v>
      </c>
      <c r="E877" s="4">
        <v>2</v>
      </c>
      <c r="F877" s="8">
        <v>1.32</v>
      </c>
      <c r="G877" s="4">
        <v>8</v>
      </c>
      <c r="H877" s="8">
        <v>5.41</v>
      </c>
      <c r="I877" s="4">
        <v>0</v>
      </c>
    </row>
    <row r="878" spans="1:9" x14ac:dyDescent="0.2">
      <c r="A878" s="2">
        <v>12</v>
      </c>
      <c r="B878" s="1" t="s">
        <v>79</v>
      </c>
      <c r="C878" s="4">
        <v>9</v>
      </c>
      <c r="D878" s="8">
        <v>2.94</v>
      </c>
      <c r="E878" s="4">
        <v>1</v>
      </c>
      <c r="F878" s="8">
        <v>0.66</v>
      </c>
      <c r="G878" s="4">
        <v>8</v>
      </c>
      <c r="H878" s="8">
        <v>5.41</v>
      </c>
      <c r="I878" s="4">
        <v>0</v>
      </c>
    </row>
    <row r="879" spans="1:9" x14ac:dyDescent="0.2">
      <c r="A879" s="2">
        <v>13</v>
      </c>
      <c r="B879" s="1" t="s">
        <v>85</v>
      </c>
      <c r="C879" s="4">
        <v>8</v>
      </c>
      <c r="D879" s="8">
        <v>2.61</v>
      </c>
      <c r="E879" s="4">
        <v>5</v>
      </c>
      <c r="F879" s="8">
        <v>3.29</v>
      </c>
      <c r="G879" s="4">
        <v>1</v>
      </c>
      <c r="H879" s="8">
        <v>0.68</v>
      </c>
      <c r="I879" s="4">
        <v>0</v>
      </c>
    </row>
    <row r="880" spans="1:9" x14ac:dyDescent="0.2">
      <c r="A880" s="2">
        <v>13</v>
      </c>
      <c r="B880" s="1" t="s">
        <v>87</v>
      </c>
      <c r="C880" s="4">
        <v>8</v>
      </c>
      <c r="D880" s="8">
        <v>2.61</v>
      </c>
      <c r="E880" s="4">
        <v>8</v>
      </c>
      <c r="F880" s="8">
        <v>5.26</v>
      </c>
      <c r="G880" s="4">
        <v>0</v>
      </c>
      <c r="H880" s="8">
        <v>0</v>
      </c>
      <c r="I880" s="4">
        <v>0</v>
      </c>
    </row>
    <row r="881" spans="1:9" x14ac:dyDescent="0.2">
      <c r="A881" s="2">
        <v>15</v>
      </c>
      <c r="B881" s="1" t="s">
        <v>72</v>
      </c>
      <c r="C881" s="4">
        <v>7</v>
      </c>
      <c r="D881" s="8">
        <v>2.29</v>
      </c>
      <c r="E881" s="4">
        <v>2</v>
      </c>
      <c r="F881" s="8">
        <v>1.32</v>
      </c>
      <c r="G881" s="4">
        <v>5</v>
      </c>
      <c r="H881" s="8">
        <v>3.38</v>
      </c>
      <c r="I881" s="4">
        <v>0</v>
      </c>
    </row>
    <row r="882" spans="1:9" x14ac:dyDescent="0.2">
      <c r="A882" s="2">
        <v>15</v>
      </c>
      <c r="B882" s="1" t="s">
        <v>96</v>
      </c>
      <c r="C882" s="4">
        <v>7</v>
      </c>
      <c r="D882" s="8">
        <v>2.29</v>
      </c>
      <c r="E882" s="4">
        <v>0</v>
      </c>
      <c r="F882" s="8">
        <v>0</v>
      </c>
      <c r="G882" s="4">
        <v>5</v>
      </c>
      <c r="H882" s="8">
        <v>3.38</v>
      </c>
      <c r="I882" s="4">
        <v>0</v>
      </c>
    </row>
    <row r="883" spans="1:9" x14ac:dyDescent="0.2">
      <c r="A883" s="2">
        <v>17</v>
      </c>
      <c r="B883" s="1" t="s">
        <v>113</v>
      </c>
      <c r="C883" s="4">
        <v>5</v>
      </c>
      <c r="D883" s="8">
        <v>1.63</v>
      </c>
      <c r="E883" s="4">
        <v>3</v>
      </c>
      <c r="F883" s="8">
        <v>1.97</v>
      </c>
      <c r="G883" s="4">
        <v>2</v>
      </c>
      <c r="H883" s="8">
        <v>1.35</v>
      </c>
      <c r="I883" s="4">
        <v>0</v>
      </c>
    </row>
    <row r="884" spans="1:9" x14ac:dyDescent="0.2">
      <c r="A884" s="2">
        <v>17</v>
      </c>
      <c r="B884" s="1" t="s">
        <v>105</v>
      </c>
      <c r="C884" s="4">
        <v>5</v>
      </c>
      <c r="D884" s="8">
        <v>1.63</v>
      </c>
      <c r="E884" s="4">
        <v>1</v>
      </c>
      <c r="F884" s="8">
        <v>0.66</v>
      </c>
      <c r="G884" s="4">
        <v>4</v>
      </c>
      <c r="H884" s="8">
        <v>2.7</v>
      </c>
      <c r="I884" s="4">
        <v>0</v>
      </c>
    </row>
    <row r="885" spans="1:9" x14ac:dyDescent="0.2">
      <c r="A885" s="2">
        <v>19</v>
      </c>
      <c r="B885" s="1" t="s">
        <v>97</v>
      </c>
      <c r="C885" s="4">
        <v>4</v>
      </c>
      <c r="D885" s="8">
        <v>1.31</v>
      </c>
      <c r="E885" s="4">
        <v>2</v>
      </c>
      <c r="F885" s="8">
        <v>1.32</v>
      </c>
      <c r="G885" s="4">
        <v>2</v>
      </c>
      <c r="H885" s="8">
        <v>1.35</v>
      </c>
      <c r="I885" s="4">
        <v>0</v>
      </c>
    </row>
    <row r="886" spans="1:9" x14ac:dyDescent="0.2">
      <c r="A886" s="2">
        <v>19</v>
      </c>
      <c r="B886" s="1" t="s">
        <v>78</v>
      </c>
      <c r="C886" s="4">
        <v>4</v>
      </c>
      <c r="D886" s="8">
        <v>1.31</v>
      </c>
      <c r="E886" s="4">
        <v>0</v>
      </c>
      <c r="F886" s="8">
        <v>0</v>
      </c>
      <c r="G886" s="4">
        <v>4</v>
      </c>
      <c r="H886" s="8">
        <v>2.7</v>
      </c>
      <c r="I886" s="4">
        <v>0</v>
      </c>
    </row>
    <row r="887" spans="1:9" x14ac:dyDescent="0.2">
      <c r="A887" s="2">
        <v>19</v>
      </c>
      <c r="B887" s="1" t="s">
        <v>100</v>
      </c>
      <c r="C887" s="4">
        <v>4</v>
      </c>
      <c r="D887" s="8">
        <v>1.31</v>
      </c>
      <c r="E887" s="4">
        <v>2</v>
      </c>
      <c r="F887" s="8">
        <v>1.32</v>
      </c>
      <c r="G887" s="4">
        <v>1</v>
      </c>
      <c r="H887" s="8">
        <v>0.68</v>
      </c>
      <c r="I887" s="4">
        <v>1</v>
      </c>
    </row>
    <row r="888" spans="1:9" x14ac:dyDescent="0.2">
      <c r="A888" s="1"/>
      <c r="C888" s="4"/>
      <c r="D888" s="8"/>
      <c r="E888" s="4"/>
      <c r="F888" s="8"/>
      <c r="G888" s="4"/>
      <c r="H888" s="8"/>
      <c r="I888" s="4"/>
    </row>
    <row r="889" spans="1:9" x14ac:dyDescent="0.2">
      <c r="A889" s="1" t="s">
        <v>39</v>
      </c>
      <c r="C889" s="4"/>
      <c r="D889" s="8"/>
      <c r="E889" s="4"/>
      <c r="F889" s="8"/>
      <c r="G889" s="4"/>
      <c r="H889" s="8"/>
      <c r="I889" s="4"/>
    </row>
    <row r="890" spans="1:9" x14ac:dyDescent="0.2">
      <c r="A890" s="2">
        <v>1</v>
      </c>
      <c r="B890" s="1" t="s">
        <v>83</v>
      </c>
      <c r="C890" s="4">
        <v>104</v>
      </c>
      <c r="D890" s="8">
        <v>13.05</v>
      </c>
      <c r="E890" s="4">
        <v>93</v>
      </c>
      <c r="F890" s="8">
        <v>23.97</v>
      </c>
      <c r="G890" s="4">
        <v>11</v>
      </c>
      <c r="H890" s="8">
        <v>2.74</v>
      </c>
      <c r="I890" s="4">
        <v>0</v>
      </c>
    </row>
    <row r="891" spans="1:9" x14ac:dyDescent="0.2">
      <c r="A891" s="2">
        <v>2</v>
      </c>
      <c r="B891" s="1" t="s">
        <v>82</v>
      </c>
      <c r="C891" s="4">
        <v>78</v>
      </c>
      <c r="D891" s="8">
        <v>9.7899999999999991</v>
      </c>
      <c r="E891" s="4">
        <v>65</v>
      </c>
      <c r="F891" s="8">
        <v>16.75</v>
      </c>
      <c r="G891" s="4">
        <v>13</v>
      </c>
      <c r="H891" s="8">
        <v>3.24</v>
      </c>
      <c r="I891" s="4">
        <v>0</v>
      </c>
    </row>
    <row r="892" spans="1:9" x14ac:dyDescent="0.2">
      <c r="A892" s="2">
        <v>3</v>
      </c>
      <c r="B892" s="1" t="s">
        <v>69</v>
      </c>
      <c r="C892" s="4">
        <v>56</v>
      </c>
      <c r="D892" s="8">
        <v>7.03</v>
      </c>
      <c r="E892" s="4">
        <v>21</v>
      </c>
      <c r="F892" s="8">
        <v>5.41</v>
      </c>
      <c r="G892" s="4">
        <v>35</v>
      </c>
      <c r="H892" s="8">
        <v>8.73</v>
      </c>
      <c r="I892" s="4">
        <v>0</v>
      </c>
    </row>
    <row r="893" spans="1:9" x14ac:dyDescent="0.2">
      <c r="A893" s="2">
        <v>4</v>
      </c>
      <c r="B893" s="1" t="s">
        <v>68</v>
      </c>
      <c r="C893" s="4">
        <v>52</v>
      </c>
      <c r="D893" s="8">
        <v>6.52</v>
      </c>
      <c r="E893" s="4">
        <v>21</v>
      </c>
      <c r="F893" s="8">
        <v>5.41</v>
      </c>
      <c r="G893" s="4">
        <v>31</v>
      </c>
      <c r="H893" s="8">
        <v>7.73</v>
      </c>
      <c r="I893" s="4">
        <v>0</v>
      </c>
    </row>
    <row r="894" spans="1:9" x14ac:dyDescent="0.2">
      <c r="A894" s="2">
        <v>5</v>
      </c>
      <c r="B894" s="1" t="s">
        <v>77</v>
      </c>
      <c r="C894" s="4">
        <v>47</v>
      </c>
      <c r="D894" s="8">
        <v>5.9</v>
      </c>
      <c r="E894" s="4">
        <v>15</v>
      </c>
      <c r="F894" s="8">
        <v>3.87</v>
      </c>
      <c r="G894" s="4">
        <v>32</v>
      </c>
      <c r="H894" s="8">
        <v>7.98</v>
      </c>
      <c r="I894" s="4">
        <v>0</v>
      </c>
    </row>
    <row r="895" spans="1:9" x14ac:dyDescent="0.2">
      <c r="A895" s="2">
        <v>6</v>
      </c>
      <c r="B895" s="1" t="s">
        <v>86</v>
      </c>
      <c r="C895" s="4">
        <v>37</v>
      </c>
      <c r="D895" s="8">
        <v>4.6399999999999997</v>
      </c>
      <c r="E895" s="4">
        <v>32</v>
      </c>
      <c r="F895" s="8">
        <v>8.25</v>
      </c>
      <c r="G895" s="4">
        <v>5</v>
      </c>
      <c r="H895" s="8">
        <v>1.25</v>
      </c>
      <c r="I895" s="4">
        <v>0</v>
      </c>
    </row>
    <row r="896" spans="1:9" x14ac:dyDescent="0.2">
      <c r="A896" s="2">
        <v>7</v>
      </c>
      <c r="B896" s="1" t="s">
        <v>70</v>
      </c>
      <c r="C896" s="4">
        <v>36</v>
      </c>
      <c r="D896" s="8">
        <v>4.5199999999999996</v>
      </c>
      <c r="E896" s="4">
        <v>12</v>
      </c>
      <c r="F896" s="8">
        <v>3.09</v>
      </c>
      <c r="G896" s="4">
        <v>24</v>
      </c>
      <c r="H896" s="8">
        <v>5.99</v>
      </c>
      <c r="I896" s="4">
        <v>0</v>
      </c>
    </row>
    <row r="897" spans="1:9" x14ac:dyDescent="0.2">
      <c r="A897" s="2">
        <v>8</v>
      </c>
      <c r="B897" s="1" t="s">
        <v>74</v>
      </c>
      <c r="C897" s="4">
        <v>35</v>
      </c>
      <c r="D897" s="8">
        <v>4.3899999999999997</v>
      </c>
      <c r="E897" s="4">
        <v>6</v>
      </c>
      <c r="F897" s="8">
        <v>1.55</v>
      </c>
      <c r="G897" s="4">
        <v>29</v>
      </c>
      <c r="H897" s="8">
        <v>7.23</v>
      </c>
      <c r="I897" s="4">
        <v>0</v>
      </c>
    </row>
    <row r="898" spans="1:9" x14ac:dyDescent="0.2">
      <c r="A898" s="2">
        <v>9</v>
      </c>
      <c r="B898" s="1" t="s">
        <v>87</v>
      </c>
      <c r="C898" s="4">
        <v>34</v>
      </c>
      <c r="D898" s="8">
        <v>4.2699999999999996</v>
      </c>
      <c r="E898" s="4">
        <v>21</v>
      </c>
      <c r="F898" s="8">
        <v>5.41</v>
      </c>
      <c r="G898" s="4">
        <v>13</v>
      </c>
      <c r="H898" s="8">
        <v>3.24</v>
      </c>
      <c r="I898" s="4">
        <v>0</v>
      </c>
    </row>
    <row r="899" spans="1:9" x14ac:dyDescent="0.2">
      <c r="A899" s="2">
        <v>10</v>
      </c>
      <c r="B899" s="1" t="s">
        <v>75</v>
      </c>
      <c r="C899" s="4">
        <v>28</v>
      </c>
      <c r="D899" s="8">
        <v>3.51</v>
      </c>
      <c r="E899" s="4">
        <v>19</v>
      </c>
      <c r="F899" s="8">
        <v>4.9000000000000004</v>
      </c>
      <c r="G899" s="4">
        <v>9</v>
      </c>
      <c r="H899" s="8">
        <v>2.2400000000000002</v>
      </c>
      <c r="I899" s="4">
        <v>0</v>
      </c>
    </row>
    <row r="900" spans="1:9" x14ac:dyDescent="0.2">
      <c r="A900" s="2">
        <v>11</v>
      </c>
      <c r="B900" s="1" t="s">
        <v>76</v>
      </c>
      <c r="C900" s="4">
        <v>24</v>
      </c>
      <c r="D900" s="8">
        <v>3.01</v>
      </c>
      <c r="E900" s="4">
        <v>13</v>
      </c>
      <c r="F900" s="8">
        <v>3.35</v>
      </c>
      <c r="G900" s="4">
        <v>11</v>
      </c>
      <c r="H900" s="8">
        <v>2.74</v>
      </c>
      <c r="I900" s="4">
        <v>0</v>
      </c>
    </row>
    <row r="901" spans="1:9" x14ac:dyDescent="0.2">
      <c r="A901" s="2">
        <v>11</v>
      </c>
      <c r="B901" s="1" t="s">
        <v>79</v>
      </c>
      <c r="C901" s="4">
        <v>24</v>
      </c>
      <c r="D901" s="8">
        <v>3.01</v>
      </c>
      <c r="E901" s="4">
        <v>2</v>
      </c>
      <c r="F901" s="8">
        <v>0.52</v>
      </c>
      <c r="G901" s="4">
        <v>21</v>
      </c>
      <c r="H901" s="8">
        <v>5.24</v>
      </c>
      <c r="I901" s="4">
        <v>0</v>
      </c>
    </row>
    <row r="902" spans="1:9" x14ac:dyDescent="0.2">
      <c r="A902" s="2">
        <v>13</v>
      </c>
      <c r="B902" s="1" t="s">
        <v>85</v>
      </c>
      <c r="C902" s="4">
        <v>23</v>
      </c>
      <c r="D902" s="8">
        <v>2.89</v>
      </c>
      <c r="E902" s="4">
        <v>18</v>
      </c>
      <c r="F902" s="8">
        <v>4.6399999999999997</v>
      </c>
      <c r="G902" s="4">
        <v>4</v>
      </c>
      <c r="H902" s="8">
        <v>1</v>
      </c>
      <c r="I902" s="4">
        <v>0</v>
      </c>
    </row>
    <row r="903" spans="1:9" x14ac:dyDescent="0.2">
      <c r="A903" s="2">
        <v>14</v>
      </c>
      <c r="B903" s="1" t="s">
        <v>78</v>
      </c>
      <c r="C903" s="4">
        <v>16</v>
      </c>
      <c r="D903" s="8">
        <v>2.0099999999999998</v>
      </c>
      <c r="E903" s="4">
        <v>7</v>
      </c>
      <c r="F903" s="8">
        <v>1.8</v>
      </c>
      <c r="G903" s="4">
        <v>9</v>
      </c>
      <c r="H903" s="8">
        <v>2.2400000000000002</v>
      </c>
      <c r="I903" s="4">
        <v>0</v>
      </c>
    </row>
    <row r="904" spans="1:9" x14ac:dyDescent="0.2">
      <c r="A904" s="2">
        <v>14</v>
      </c>
      <c r="B904" s="1" t="s">
        <v>81</v>
      </c>
      <c r="C904" s="4">
        <v>16</v>
      </c>
      <c r="D904" s="8">
        <v>2.0099999999999998</v>
      </c>
      <c r="E904" s="4">
        <v>2</v>
      </c>
      <c r="F904" s="8">
        <v>0.52</v>
      </c>
      <c r="G904" s="4">
        <v>14</v>
      </c>
      <c r="H904" s="8">
        <v>3.49</v>
      </c>
      <c r="I904" s="4">
        <v>0</v>
      </c>
    </row>
    <row r="905" spans="1:9" x14ac:dyDescent="0.2">
      <c r="A905" s="2">
        <v>16</v>
      </c>
      <c r="B905" s="1" t="s">
        <v>89</v>
      </c>
      <c r="C905" s="4">
        <v>15</v>
      </c>
      <c r="D905" s="8">
        <v>1.88</v>
      </c>
      <c r="E905" s="4">
        <v>1</v>
      </c>
      <c r="F905" s="8">
        <v>0.26</v>
      </c>
      <c r="G905" s="4">
        <v>14</v>
      </c>
      <c r="H905" s="8">
        <v>3.49</v>
      </c>
      <c r="I905" s="4">
        <v>0</v>
      </c>
    </row>
    <row r="906" spans="1:9" x14ac:dyDescent="0.2">
      <c r="A906" s="2">
        <v>17</v>
      </c>
      <c r="B906" s="1" t="s">
        <v>93</v>
      </c>
      <c r="C906" s="4">
        <v>11</v>
      </c>
      <c r="D906" s="8">
        <v>1.38</v>
      </c>
      <c r="E906" s="4">
        <v>3</v>
      </c>
      <c r="F906" s="8">
        <v>0.77</v>
      </c>
      <c r="G906" s="4">
        <v>8</v>
      </c>
      <c r="H906" s="8">
        <v>2</v>
      </c>
      <c r="I906" s="4">
        <v>0</v>
      </c>
    </row>
    <row r="907" spans="1:9" x14ac:dyDescent="0.2">
      <c r="A907" s="2">
        <v>17</v>
      </c>
      <c r="B907" s="1" t="s">
        <v>80</v>
      </c>
      <c r="C907" s="4">
        <v>11</v>
      </c>
      <c r="D907" s="8">
        <v>1.38</v>
      </c>
      <c r="E907" s="4">
        <v>6</v>
      </c>
      <c r="F907" s="8">
        <v>1.55</v>
      </c>
      <c r="G907" s="4">
        <v>5</v>
      </c>
      <c r="H907" s="8">
        <v>1.25</v>
      </c>
      <c r="I907" s="4">
        <v>0</v>
      </c>
    </row>
    <row r="908" spans="1:9" x14ac:dyDescent="0.2">
      <c r="A908" s="2">
        <v>17</v>
      </c>
      <c r="B908" s="1" t="s">
        <v>84</v>
      </c>
      <c r="C908" s="4">
        <v>11</v>
      </c>
      <c r="D908" s="8">
        <v>1.38</v>
      </c>
      <c r="E908" s="4">
        <v>2</v>
      </c>
      <c r="F908" s="8">
        <v>0.52</v>
      </c>
      <c r="G908" s="4">
        <v>9</v>
      </c>
      <c r="H908" s="8">
        <v>2.2400000000000002</v>
      </c>
      <c r="I908" s="4">
        <v>0</v>
      </c>
    </row>
    <row r="909" spans="1:9" x14ac:dyDescent="0.2">
      <c r="A909" s="2">
        <v>20</v>
      </c>
      <c r="B909" s="1" t="s">
        <v>71</v>
      </c>
      <c r="C909" s="4">
        <v>10</v>
      </c>
      <c r="D909" s="8">
        <v>1.25</v>
      </c>
      <c r="E909" s="4">
        <v>5</v>
      </c>
      <c r="F909" s="8">
        <v>1.29</v>
      </c>
      <c r="G909" s="4">
        <v>5</v>
      </c>
      <c r="H909" s="8">
        <v>1.25</v>
      </c>
      <c r="I909" s="4">
        <v>0</v>
      </c>
    </row>
    <row r="910" spans="1:9" x14ac:dyDescent="0.2">
      <c r="A910" s="1"/>
      <c r="C910" s="4"/>
      <c r="D910" s="8"/>
      <c r="E910" s="4"/>
      <c r="F910" s="8"/>
      <c r="G910" s="4"/>
      <c r="H910" s="8"/>
      <c r="I910" s="4"/>
    </row>
    <row r="911" spans="1:9" x14ac:dyDescent="0.2">
      <c r="A911" s="1" t="s">
        <v>40</v>
      </c>
      <c r="C911" s="4"/>
      <c r="D911" s="8"/>
      <c r="E911" s="4"/>
      <c r="F911" s="8"/>
      <c r="G911" s="4"/>
      <c r="H911" s="8"/>
      <c r="I911" s="4"/>
    </row>
    <row r="912" spans="1:9" x14ac:dyDescent="0.2">
      <c r="A912" s="2">
        <v>1</v>
      </c>
      <c r="B912" s="1" t="s">
        <v>68</v>
      </c>
      <c r="C912" s="4">
        <v>28</v>
      </c>
      <c r="D912" s="8">
        <v>13.33</v>
      </c>
      <c r="E912" s="4">
        <v>9</v>
      </c>
      <c r="F912" s="8">
        <v>7.2</v>
      </c>
      <c r="G912" s="4">
        <v>19</v>
      </c>
      <c r="H912" s="8">
        <v>23.75</v>
      </c>
      <c r="I912" s="4">
        <v>0</v>
      </c>
    </row>
    <row r="913" spans="1:9" x14ac:dyDescent="0.2">
      <c r="A913" s="2">
        <v>2</v>
      </c>
      <c r="B913" s="1" t="s">
        <v>83</v>
      </c>
      <c r="C913" s="4">
        <v>21</v>
      </c>
      <c r="D913" s="8">
        <v>10</v>
      </c>
      <c r="E913" s="4">
        <v>21</v>
      </c>
      <c r="F913" s="8">
        <v>16.8</v>
      </c>
      <c r="G913" s="4">
        <v>0</v>
      </c>
      <c r="H913" s="8">
        <v>0</v>
      </c>
      <c r="I913" s="4">
        <v>0</v>
      </c>
    </row>
    <row r="914" spans="1:9" x14ac:dyDescent="0.2">
      <c r="A914" s="2">
        <v>3</v>
      </c>
      <c r="B914" s="1" t="s">
        <v>69</v>
      </c>
      <c r="C914" s="4">
        <v>17</v>
      </c>
      <c r="D914" s="8">
        <v>8.1</v>
      </c>
      <c r="E914" s="4">
        <v>12</v>
      </c>
      <c r="F914" s="8">
        <v>9.6</v>
      </c>
      <c r="G914" s="4">
        <v>5</v>
      </c>
      <c r="H914" s="8">
        <v>6.25</v>
      </c>
      <c r="I914" s="4">
        <v>0</v>
      </c>
    </row>
    <row r="915" spans="1:9" x14ac:dyDescent="0.2">
      <c r="A915" s="2">
        <v>4</v>
      </c>
      <c r="B915" s="1" t="s">
        <v>76</v>
      </c>
      <c r="C915" s="4">
        <v>14</v>
      </c>
      <c r="D915" s="8">
        <v>6.67</v>
      </c>
      <c r="E915" s="4">
        <v>11</v>
      </c>
      <c r="F915" s="8">
        <v>8.8000000000000007</v>
      </c>
      <c r="G915" s="4">
        <v>3</v>
      </c>
      <c r="H915" s="8">
        <v>3.75</v>
      </c>
      <c r="I915" s="4">
        <v>0</v>
      </c>
    </row>
    <row r="916" spans="1:9" x14ac:dyDescent="0.2">
      <c r="A916" s="2">
        <v>4</v>
      </c>
      <c r="B916" s="1" t="s">
        <v>77</v>
      </c>
      <c r="C916" s="4">
        <v>14</v>
      </c>
      <c r="D916" s="8">
        <v>6.67</v>
      </c>
      <c r="E916" s="4">
        <v>8</v>
      </c>
      <c r="F916" s="8">
        <v>6.4</v>
      </c>
      <c r="G916" s="4">
        <v>6</v>
      </c>
      <c r="H916" s="8">
        <v>7.5</v>
      </c>
      <c r="I916" s="4">
        <v>0</v>
      </c>
    </row>
    <row r="917" spans="1:9" x14ac:dyDescent="0.2">
      <c r="A917" s="2">
        <v>6</v>
      </c>
      <c r="B917" s="1" t="s">
        <v>87</v>
      </c>
      <c r="C917" s="4">
        <v>12</v>
      </c>
      <c r="D917" s="8">
        <v>5.71</v>
      </c>
      <c r="E917" s="4">
        <v>10</v>
      </c>
      <c r="F917" s="8">
        <v>8</v>
      </c>
      <c r="G917" s="4">
        <v>2</v>
      </c>
      <c r="H917" s="8">
        <v>2.5</v>
      </c>
      <c r="I917" s="4">
        <v>0</v>
      </c>
    </row>
    <row r="918" spans="1:9" x14ac:dyDescent="0.2">
      <c r="A918" s="2">
        <v>7</v>
      </c>
      <c r="B918" s="1" t="s">
        <v>70</v>
      </c>
      <c r="C918" s="4">
        <v>10</v>
      </c>
      <c r="D918" s="8">
        <v>4.76</v>
      </c>
      <c r="E918" s="4">
        <v>7</v>
      </c>
      <c r="F918" s="8">
        <v>5.6</v>
      </c>
      <c r="G918" s="4">
        <v>3</v>
      </c>
      <c r="H918" s="8">
        <v>3.75</v>
      </c>
      <c r="I918" s="4">
        <v>0</v>
      </c>
    </row>
    <row r="919" spans="1:9" x14ac:dyDescent="0.2">
      <c r="A919" s="2">
        <v>7</v>
      </c>
      <c r="B919" s="1" t="s">
        <v>82</v>
      </c>
      <c r="C919" s="4">
        <v>10</v>
      </c>
      <c r="D919" s="8">
        <v>4.76</v>
      </c>
      <c r="E919" s="4">
        <v>8</v>
      </c>
      <c r="F919" s="8">
        <v>6.4</v>
      </c>
      <c r="G919" s="4">
        <v>2</v>
      </c>
      <c r="H919" s="8">
        <v>2.5</v>
      </c>
      <c r="I919" s="4">
        <v>0</v>
      </c>
    </row>
    <row r="920" spans="1:9" x14ac:dyDescent="0.2">
      <c r="A920" s="2">
        <v>9</v>
      </c>
      <c r="B920" s="1" t="s">
        <v>75</v>
      </c>
      <c r="C920" s="4">
        <v>8</v>
      </c>
      <c r="D920" s="8">
        <v>3.81</v>
      </c>
      <c r="E920" s="4">
        <v>8</v>
      </c>
      <c r="F920" s="8">
        <v>6.4</v>
      </c>
      <c r="G920" s="4">
        <v>0</v>
      </c>
      <c r="H920" s="8">
        <v>0</v>
      </c>
      <c r="I920" s="4">
        <v>0</v>
      </c>
    </row>
    <row r="921" spans="1:9" x14ac:dyDescent="0.2">
      <c r="A921" s="2">
        <v>10</v>
      </c>
      <c r="B921" s="1" t="s">
        <v>74</v>
      </c>
      <c r="C921" s="4">
        <v>6</v>
      </c>
      <c r="D921" s="8">
        <v>2.86</v>
      </c>
      <c r="E921" s="4">
        <v>4</v>
      </c>
      <c r="F921" s="8">
        <v>3.2</v>
      </c>
      <c r="G921" s="4">
        <v>2</v>
      </c>
      <c r="H921" s="8">
        <v>2.5</v>
      </c>
      <c r="I921" s="4">
        <v>0</v>
      </c>
    </row>
    <row r="922" spans="1:9" x14ac:dyDescent="0.2">
      <c r="A922" s="2">
        <v>11</v>
      </c>
      <c r="B922" s="1" t="s">
        <v>92</v>
      </c>
      <c r="C922" s="4">
        <v>5</v>
      </c>
      <c r="D922" s="8">
        <v>2.38</v>
      </c>
      <c r="E922" s="4">
        <v>2</v>
      </c>
      <c r="F922" s="8">
        <v>1.6</v>
      </c>
      <c r="G922" s="4">
        <v>3</v>
      </c>
      <c r="H922" s="8">
        <v>3.75</v>
      </c>
      <c r="I922" s="4">
        <v>0</v>
      </c>
    </row>
    <row r="923" spans="1:9" x14ac:dyDescent="0.2">
      <c r="A923" s="2">
        <v>11</v>
      </c>
      <c r="B923" s="1" t="s">
        <v>86</v>
      </c>
      <c r="C923" s="4">
        <v>5</v>
      </c>
      <c r="D923" s="8">
        <v>2.38</v>
      </c>
      <c r="E923" s="4">
        <v>3</v>
      </c>
      <c r="F923" s="8">
        <v>2.4</v>
      </c>
      <c r="G923" s="4">
        <v>2</v>
      </c>
      <c r="H923" s="8">
        <v>2.5</v>
      </c>
      <c r="I923" s="4">
        <v>0</v>
      </c>
    </row>
    <row r="924" spans="1:9" x14ac:dyDescent="0.2">
      <c r="A924" s="2">
        <v>13</v>
      </c>
      <c r="B924" s="1" t="s">
        <v>97</v>
      </c>
      <c r="C924" s="4">
        <v>4</v>
      </c>
      <c r="D924" s="8">
        <v>1.9</v>
      </c>
      <c r="E924" s="4">
        <v>2</v>
      </c>
      <c r="F924" s="8">
        <v>1.6</v>
      </c>
      <c r="G924" s="4">
        <v>2</v>
      </c>
      <c r="H924" s="8">
        <v>2.5</v>
      </c>
      <c r="I924" s="4">
        <v>0</v>
      </c>
    </row>
    <row r="925" spans="1:9" x14ac:dyDescent="0.2">
      <c r="A925" s="2">
        <v>13</v>
      </c>
      <c r="B925" s="1" t="s">
        <v>79</v>
      </c>
      <c r="C925" s="4">
        <v>4</v>
      </c>
      <c r="D925" s="8">
        <v>1.9</v>
      </c>
      <c r="E925" s="4">
        <v>1</v>
      </c>
      <c r="F925" s="8">
        <v>0.8</v>
      </c>
      <c r="G925" s="4">
        <v>3</v>
      </c>
      <c r="H925" s="8">
        <v>3.75</v>
      </c>
      <c r="I925" s="4">
        <v>0</v>
      </c>
    </row>
    <row r="926" spans="1:9" x14ac:dyDescent="0.2">
      <c r="A926" s="2">
        <v>15</v>
      </c>
      <c r="B926" s="1" t="s">
        <v>94</v>
      </c>
      <c r="C926" s="4">
        <v>3</v>
      </c>
      <c r="D926" s="8">
        <v>1.43</v>
      </c>
      <c r="E926" s="4">
        <v>0</v>
      </c>
      <c r="F926" s="8">
        <v>0</v>
      </c>
      <c r="G926" s="4">
        <v>3</v>
      </c>
      <c r="H926" s="8">
        <v>3.75</v>
      </c>
      <c r="I926" s="4">
        <v>0</v>
      </c>
    </row>
    <row r="927" spans="1:9" x14ac:dyDescent="0.2">
      <c r="A927" s="2">
        <v>15</v>
      </c>
      <c r="B927" s="1" t="s">
        <v>71</v>
      </c>
      <c r="C927" s="4">
        <v>3</v>
      </c>
      <c r="D927" s="8">
        <v>1.43</v>
      </c>
      <c r="E927" s="4">
        <v>1</v>
      </c>
      <c r="F927" s="8">
        <v>0.8</v>
      </c>
      <c r="G927" s="4">
        <v>2</v>
      </c>
      <c r="H927" s="8">
        <v>2.5</v>
      </c>
      <c r="I927" s="4">
        <v>0</v>
      </c>
    </row>
    <row r="928" spans="1:9" x14ac:dyDescent="0.2">
      <c r="A928" s="2">
        <v>15</v>
      </c>
      <c r="B928" s="1" t="s">
        <v>72</v>
      </c>
      <c r="C928" s="4">
        <v>3</v>
      </c>
      <c r="D928" s="8">
        <v>1.43</v>
      </c>
      <c r="E928" s="4">
        <v>2</v>
      </c>
      <c r="F928" s="8">
        <v>1.6</v>
      </c>
      <c r="G928" s="4">
        <v>1</v>
      </c>
      <c r="H928" s="8">
        <v>1.25</v>
      </c>
      <c r="I928" s="4">
        <v>0</v>
      </c>
    </row>
    <row r="929" spans="1:9" x14ac:dyDescent="0.2">
      <c r="A929" s="2">
        <v>15</v>
      </c>
      <c r="B929" s="1" t="s">
        <v>73</v>
      </c>
      <c r="C929" s="4">
        <v>3</v>
      </c>
      <c r="D929" s="8">
        <v>1.43</v>
      </c>
      <c r="E929" s="4">
        <v>0</v>
      </c>
      <c r="F929" s="8">
        <v>0</v>
      </c>
      <c r="G929" s="4">
        <v>3</v>
      </c>
      <c r="H929" s="8">
        <v>3.75</v>
      </c>
      <c r="I929" s="4">
        <v>0</v>
      </c>
    </row>
    <row r="930" spans="1:9" x14ac:dyDescent="0.2">
      <c r="A930" s="2">
        <v>15</v>
      </c>
      <c r="B930" s="1" t="s">
        <v>81</v>
      </c>
      <c r="C930" s="4">
        <v>3</v>
      </c>
      <c r="D930" s="8">
        <v>1.43</v>
      </c>
      <c r="E930" s="4">
        <v>2</v>
      </c>
      <c r="F930" s="8">
        <v>1.6</v>
      </c>
      <c r="G930" s="4">
        <v>0</v>
      </c>
      <c r="H930" s="8">
        <v>0</v>
      </c>
      <c r="I930" s="4">
        <v>0</v>
      </c>
    </row>
    <row r="931" spans="1:9" x14ac:dyDescent="0.2">
      <c r="A931" s="2">
        <v>20</v>
      </c>
      <c r="B931" s="1" t="s">
        <v>98</v>
      </c>
      <c r="C931" s="4">
        <v>2</v>
      </c>
      <c r="D931" s="8">
        <v>0.95</v>
      </c>
      <c r="E931" s="4">
        <v>0</v>
      </c>
      <c r="F931" s="8">
        <v>0</v>
      </c>
      <c r="G931" s="4">
        <v>2</v>
      </c>
      <c r="H931" s="8">
        <v>2.5</v>
      </c>
      <c r="I931" s="4">
        <v>0</v>
      </c>
    </row>
    <row r="932" spans="1:9" x14ac:dyDescent="0.2">
      <c r="A932" s="2">
        <v>20</v>
      </c>
      <c r="B932" s="1" t="s">
        <v>109</v>
      </c>
      <c r="C932" s="4">
        <v>2</v>
      </c>
      <c r="D932" s="8">
        <v>0.95</v>
      </c>
      <c r="E932" s="4">
        <v>1</v>
      </c>
      <c r="F932" s="8">
        <v>0.8</v>
      </c>
      <c r="G932" s="4">
        <v>1</v>
      </c>
      <c r="H932" s="8">
        <v>1.25</v>
      </c>
      <c r="I932" s="4">
        <v>0</v>
      </c>
    </row>
    <row r="933" spans="1:9" x14ac:dyDescent="0.2">
      <c r="A933" s="2">
        <v>20</v>
      </c>
      <c r="B933" s="1" t="s">
        <v>91</v>
      </c>
      <c r="C933" s="4">
        <v>2</v>
      </c>
      <c r="D933" s="8">
        <v>0.95</v>
      </c>
      <c r="E933" s="4">
        <v>0</v>
      </c>
      <c r="F933" s="8">
        <v>0</v>
      </c>
      <c r="G933" s="4">
        <v>2</v>
      </c>
      <c r="H933" s="8">
        <v>2.5</v>
      </c>
      <c r="I933" s="4">
        <v>0</v>
      </c>
    </row>
    <row r="934" spans="1:9" x14ac:dyDescent="0.2">
      <c r="A934" s="2">
        <v>20</v>
      </c>
      <c r="B934" s="1" t="s">
        <v>95</v>
      </c>
      <c r="C934" s="4">
        <v>2</v>
      </c>
      <c r="D934" s="8">
        <v>0.95</v>
      </c>
      <c r="E934" s="4">
        <v>0</v>
      </c>
      <c r="F934" s="8">
        <v>0</v>
      </c>
      <c r="G934" s="4">
        <v>2</v>
      </c>
      <c r="H934" s="8">
        <v>2.5</v>
      </c>
      <c r="I934" s="4">
        <v>0</v>
      </c>
    </row>
    <row r="935" spans="1:9" x14ac:dyDescent="0.2">
      <c r="A935" s="2">
        <v>20</v>
      </c>
      <c r="B935" s="1" t="s">
        <v>114</v>
      </c>
      <c r="C935" s="4">
        <v>2</v>
      </c>
      <c r="D935" s="8">
        <v>0.95</v>
      </c>
      <c r="E935" s="4">
        <v>1</v>
      </c>
      <c r="F935" s="8">
        <v>0.8</v>
      </c>
      <c r="G935" s="4">
        <v>1</v>
      </c>
      <c r="H935" s="8">
        <v>1.25</v>
      </c>
      <c r="I935" s="4">
        <v>0</v>
      </c>
    </row>
    <row r="936" spans="1:9" x14ac:dyDescent="0.2">
      <c r="A936" s="2">
        <v>20</v>
      </c>
      <c r="B936" s="1" t="s">
        <v>88</v>
      </c>
      <c r="C936" s="4">
        <v>2</v>
      </c>
      <c r="D936" s="8">
        <v>0.95</v>
      </c>
      <c r="E936" s="4">
        <v>0</v>
      </c>
      <c r="F936" s="8">
        <v>0</v>
      </c>
      <c r="G936" s="4">
        <v>2</v>
      </c>
      <c r="H936" s="8">
        <v>2.5</v>
      </c>
      <c r="I936" s="4">
        <v>0</v>
      </c>
    </row>
    <row r="937" spans="1:9" x14ac:dyDescent="0.2">
      <c r="A937" s="2">
        <v>20</v>
      </c>
      <c r="B937" s="1" t="s">
        <v>101</v>
      </c>
      <c r="C937" s="4">
        <v>2</v>
      </c>
      <c r="D937" s="8">
        <v>0.95</v>
      </c>
      <c r="E937" s="4">
        <v>1</v>
      </c>
      <c r="F937" s="8">
        <v>0.8</v>
      </c>
      <c r="G937" s="4">
        <v>1</v>
      </c>
      <c r="H937" s="8">
        <v>1.25</v>
      </c>
      <c r="I937" s="4">
        <v>0</v>
      </c>
    </row>
    <row r="938" spans="1:9" x14ac:dyDescent="0.2">
      <c r="A938" s="2">
        <v>20</v>
      </c>
      <c r="B938" s="1" t="s">
        <v>84</v>
      </c>
      <c r="C938" s="4">
        <v>2</v>
      </c>
      <c r="D938" s="8">
        <v>0.95</v>
      </c>
      <c r="E938" s="4">
        <v>1</v>
      </c>
      <c r="F938" s="8">
        <v>0.8</v>
      </c>
      <c r="G938" s="4">
        <v>0</v>
      </c>
      <c r="H938" s="8">
        <v>0</v>
      </c>
      <c r="I938" s="4">
        <v>1</v>
      </c>
    </row>
    <row r="939" spans="1:9" x14ac:dyDescent="0.2">
      <c r="A939" s="2">
        <v>20</v>
      </c>
      <c r="B939" s="1" t="s">
        <v>85</v>
      </c>
      <c r="C939" s="4">
        <v>2</v>
      </c>
      <c r="D939" s="8">
        <v>0.95</v>
      </c>
      <c r="E939" s="4">
        <v>2</v>
      </c>
      <c r="F939" s="8">
        <v>1.6</v>
      </c>
      <c r="G939" s="4">
        <v>0</v>
      </c>
      <c r="H939" s="8">
        <v>0</v>
      </c>
      <c r="I939" s="4">
        <v>0</v>
      </c>
    </row>
    <row r="940" spans="1:9" x14ac:dyDescent="0.2">
      <c r="A940" s="2">
        <v>20</v>
      </c>
      <c r="B940" s="1" t="s">
        <v>96</v>
      </c>
      <c r="C940" s="4">
        <v>2</v>
      </c>
      <c r="D940" s="8">
        <v>0.95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2">
      <c r="A941" s="1"/>
      <c r="C941" s="4"/>
      <c r="D941" s="8"/>
      <c r="E941" s="4"/>
      <c r="F941" s="8"/>
      <c r="G941" s="4"/>
      <c r="H941" s="8"/>
      <c r="I941" s="4"/>
    </row>
    <row r="942" spans="1:9" x14ac:dyDescent="0.2">
      <c r="A942" s="1" t="s">
        <v>41</v>
      </c>
      <c r="C942" s="4"/>
      <c r="D942" s="8"/>
      <c r="E942" s="4"/>
      <c r="F942" s="8"/>
      <c r="G942" s="4"/>
      <c r="H942" s="8"/>
      <c r="I942" s="4"/>
    </row>
    <row r="943" spans="1:9" x14ac:dyDescent="0.2">
      <c r="A943" s="2">
        <v>1</v>
      </c>
      <c r="B943" s="1" t="s">
        <v>69</v>
      </c>
      <c r="C943" s="4">
        <v>88</v>
      </c>
      <c r="D943" s="8">
        <v>15.02</v>
      </c>
      <c r="E943" s="4">
        <v>47</v>
      </c>
      <c r="F943" s="8">
        <v>13.39</v>
      </c>
      <c r="G943" s="4">
        <v>41</v>
      </c>
      <c r="H943" s="8">
        <v>17.670000000000002</v>
      </c>
      <c r="I943" s="4">
        <v>0</v>
      </c>
    </row>
    <row r="944" spans="1:9" x14ac:dyDescent="0.2">
      <c r="A944" s="2">
        <v>2</v>
      </c>
      <c r="B944" s="1" t="s">
        <v>68</v>
      </c>
      <c r="C944" s="4">
        <v>69</v>
      </c>
      <c r="D944" s="8">
        <v>11.77</v>
      </c>
      <c r="E944" s="4">
        <v>42</v>
      </c>
      <c r="F944" s="8">
        <v>11.97</v>
      </c>
      <c r="G944" s="4">
        <v>27</v>
      </c>
      <c r="H944" s="8">
        <v>11.64</v>
      </c>
      <c r="I944" s="4">
        <v>0</v>
      </c>
    </row>
    <row r="945" spans="1:9" x14ac:dyDescent="0.2">
      <c r="A945" s="2">
        <v>3</v>
      </c>
      <c r="B945" s="1" t="s">
        <v>83</v>
      </c>
      <c r="C945" s="4">
        <v>49</v>
      </c>
      <c r="D945" s="8">
        <v>8.36</v>
      </c>
      <c r="E945" s="4">
        <v>45</v>
      </c>
      <c r="F945" s="8">
        <v>12.82</v>
      </c>
      <c r="G945" s="4">
        <v>4</v>
      </c>
      <c r="H945" s="8">
        <v>1.72</v>
      </c>
      <c r="I945" s="4">
        <v>0</v>
      </c>
    </row>
    <row r="946" spans="1:9" x14ac:dyDescent="0.2">
      <c r="A946" s="2">
        <v>4</v>
      </c>
      <c r="B946" s="1" t="s">
        <v>77</v>
      </c>
      <c r="C946" s="4">
        <v>46</v>
      </c>
      <c r="D946" s="8">
        <v>7.85</v>
      </c>
      <c r="E946" s="4">
        <v>28</v>
      </c>
      <c r="F946" s="8">
        <v>7.98</v>
      </c>
      <c r="G946" s="4">
        <v>18</v>
      </c>
      <c r="H946" s="8">
        <v>7.76</v>
      </c>
      <c r="I946" s="4">
        <v>0</v>
      </c>
    </row>
    <row r="947" spans="1:9" x14ac:dyDescent="0.2">
      <c r="A947" s="2">
        <v>5</v>
      </c>
      <c r="B947" s="1" t="s">
        <v>70</v>
      </c>
      <c r="C947" s="4">
        <v>32</v>
      </c>
      <c r="D947" s="8">
        <v>5.46</v>
      </c>
      <c r="E947" s="4">
        <v>14</v>
      </c>
      <c r="F947" s="8">
        <v>3.99</v>
      </c>
      <c r="G947" s="4">
        <v>18</v>
      </c>
      <c r="H947" s="8">
        <v>7.76</v>
      </c>
      <c r="I947" s="4">
        <v>0</v>
      </c>
    </row>
    <row r="948" spans="1:9" x14ac:dyDescent="0.2">
      <c r="A948" s="2">
        <v>6</v>
      </c>
      <c r="B948" s="1" t="s">
        <v>82</v>
      </c>
      <c r="C948" s="4">
        <v>29</v>
      </c>
      <c r="D948" s="8">
        <v>4.95</v>
      </c>
      <c r="E948" s="4">
        <v>26</v>
      </c>
      <c r="F948" s="8">
        <v>7.41</v>
      </c>
      <c r="G948" s="4">
        <v>3</v>
      </c>
      <c r="H948" s="8">
        <v>1.29</v>
      </c>
      <c r="I948" s="4">
        <v>0</v>
      </c>
    </row>
    <row r="949" spans="1:9" x14ac:dyDescent="0.2">
      <c r="A949" s="2">
        <v>7</v>
      </c>
      <c r="B949" s="1" t="s">
        <v>87</v>
      </c>
      <c r="C949" s="4">
        <v>25</v>
      </c>
      <c r="D949" s="8">
        <v>4.2699999999999996</v>
      </c>
      <c r="E949" s="4">
        <v>22</v>
      </c>
      <c r="F949" s="8">
        <v>6.27</v>
      </c>
      <c r="G949" s="4">
        <v>3</v>
      </c>
      <c r="H949" s="8">
        <v>1.29</v>
      </c>
      <c r="I949" s="4">
        <v>0</v>
      </c>
    </row>
    <row r="950" spans="1:9" x14ac:dyDescent="0.2">
      <c r="A950" s="2">
        <v>8</v>
      </c>
      <c r="B950" s="1" t="s">
        <v>75</v>
      </c>
      <c r="C950" s="4">
        <v>22</v>
      </c>
      <c r="D950" s="8">
        <v>3.75</v>
      </c>
      <c r="E950" s="4">
        <v>19</v>
      </c>
      <c r="F950" s="8">
        <v>5.41</v>
      </c>
      <c r="G950" s="4">
        <v>3</v>
      </c>
      <c r="H950" s="8">
        <v>1.29</v>
      </c>
      <c r="I950" s="4">
        <v>0</v>
      </c>
    </row>
    <row r="951" spans="1:9" x14ac:dyDescent="0.2">
      <c r="A951" s="2">
        <v>9</v>
      </c>
      <c r="B951" s="1" t="s">
        <v>76</v>
      </c>
      <c r="C951" s="4">
        <v>16</v>
      </c>
      <c r="D951" s="8">
        <v>2.73</v>
      </c>
      <c r="E951" s="4">
        <v>8</v>
      </c>
      <c r="F951" s="8">
        <v>2.2799999999999998</v>
      </c>
      <c r="G951" s="4">
        <v>8</v>
      </c>
      <c r="H951" s="8">
        <v>3.45</v>
      </c>
      <c r="I951" s="4">
        <v>0</v>
      </c>
    </row>
    <row r="952" spans="1:9" x14ac:dyDescent="0.2">
      <c r="A952" s="2">
        <v>10</v>
      </c>
      <c r="B952" s="1" t="s">
        <v>71</v>
      </c>
      <c r="C952" s="4">
        <v>13</v>
      </c>
      <c r="D952" s="8">
        <v>2.2200000000000002</v>
      </c>
      <c r="E952" s="4">
        <v>7</v>
      </c>
      <c r="F952" s="8">
        <v>1.99</v>
      </c>
      <c r="G952" s="4">
        <v>6</v>
      </c>
      <c r="H952" s="8">
        <v>2.59</v>
      </c>
      <c r="I952" s="4">
        <v>0</v>
      </c>
    </row>
    <row r="953" spans="1:9" x14ac:dyDescent="0.2">
      <c r="A953" s="2">
        <v>10</v>
      </c>
      <c r="B953" s="1" t="s">
        <v>104</v>
      </c>
      <c r="C953" s="4">
        <v>13</v>
      </c>
      <c r="D953" s="8">
        <v>2.2200000000000002</v>
      </c>
      <c r="E953" s="4">
        <v>9</v>
      </c>
      <c r="F953" s="8">
        <v>2.56</v>
      </c>
      <c r="G953" s="4">
        <v>4</v>
      </c>
      <c r="H953" s="8">
        <v>1.72</v>
      </c>
      <c r="I953" s="4">
        <v>0</v>
      </c>
    </row>
    <row r="954" spans="1:9" x14ac:dyDescent="0.2">
      <c r="A954" s="2">
        <v>12</v>
      </c>
      <c r="B954" s="1" t="s">
        <v>86</v>
      </c>
      <c r="C954" s="4">
        <v>12</v>
      </c>
      <c r="D954" s="8">
        <v>2.0499999999999998</v>
      </c>
      <c r="E954" s="4">
        <v>12</v>
      </c>
      <c r="F954" s="8">
        <v>3.42</v>
      </c>
      <c r="G954" s="4">
        <v>0</v>
      </c>
      <c r="H954" s="8">
        <v>0</v>
      </c>
      <c r="I954" s="4">
        <v>0</v>
      </c>
    </row>
    <row r="955" spans="1:9" x14ac:dyDescent="0.2">
      <c r="A955" s="2">
        <v>13</v>
      </c>
      <c r="B955" s="1" t="s">
        <v>81</v>
      </c>
      <c r="C955" s="4">
        <v>11</v>
      </c>
      <c r="D955" s="8">
        <v>1.88</v>
      </c>
      <c r="E955" s="4">
        <v>8</v>
      </c>
      <c r="F955" s="8">
        <v>2.2799999999999998</v>
      </c>
      <c r="G955" s="4">
        <v>3</v>
      </c>
      <c r="H955" s="8">
        <v>1.29</v>
      </c>
      <c r="I955" s="4">
        <v>0</v>
      </c>
    </row>
    <row r="956" spans="1:9" x14ac:dyDescent="0.2">
      <c r="A956" s="2">
        <v>14</v>
      </c>
      <c r="B956" s="1" t="s">
        <v>92</v>
      </c>
      <c r="C956" s="4">
        <v>10</v>
      </c>
      <c r="D956" s="8">
        <v>1.71</v>
      </c>
      <c r="E956" s="4">
        <v>7</v>
      </c>
      <c r="F956" s="8">
        <v>1.99</v>
      </c>
      <c r="G956" s="4">
        <v>3</v>
      </c>
      <c r="H956" s="8">
        <v>1.29</v>
      </c>
      <c r="I956" s="4">
        <v>0</v>
      </c>
    </row>
    <row r="957" spans="1:9" x14ac:dyDescent="0.2">
      <c r="A957" s="2">
        <v>15</v>
      </c>
      <c r="B957" s="1" t="s">
        <v>91</v>
      </c>
      <c r="C957" s="4">
        <v>9</v>
      </c>
      <c r="D957" s="8">
        <v>1.54</v>
      </c>
      <c r="E957" s="4">
        <v>1</v>
      </c>
      <c r="F957" s="8">
        <v>0.28000000000000003</v>
      </c>
      <c r="G957" s="4">
        <v>8</v>
      </c>
      <c r="H957" s="8">
        <v>3.45</v>
      </c>
      <c r="I957" s="4">
        <v>0</v>
      </c>
    </row>
    <row r="958" spans="1:9" x14ac:dyDescent="0.2">
      <c r="A958" s="2">
        <v>15</v>
      </c>
      <c r="B958" s="1" t="s">
        <v>72</v>
      </c>
      <c r="C958" s="4">
        <v>9</v>
      </c>
      <c r="D958" s="8">
        <v>1.54</v>
      </c>
      <c r="E958" s="4">
        <v>1</v>
      </c>
      <c r="F958" s="8">
        <v>0.28000000000000003</v>
      </c>
      <c r="G958" s="4">
        <v>8</v>
      </c>
      <c r="H958" s="8">
        <v>3.45</v>
      </c>
      <c r="I958" s="4">
        <v>0</v>
      </c>
    </row>
    <row r="959" spans="1:9" x14ac:dyDescent="0.2">
      <c r="A959" s="2">
        <v>15</v>
      </c>
      <c r="B959" s="1" t="s">
        <v>74</v>
      </c>
      <c r="C959" s="4">
        <v>9</v>
      </c>
      <c r="D959" s="8">
        <v>1.54</v>
      </c>
      <c r="E959" s="4">
        <v>6</v>
      </c>
      <c r="F959" s="8">
        <v>1.71</v>
      </c>
      <c r="G959" s="4">
        <v>3</v>
      </c>
      <c r="H959" s="8">
        <v>1.29</v>
      </c>
      <c r="I959" s="4">
        <v>0</v>
      </c>
    </row>
    <row r="960" spans="1:9" x14ac:dyDescent="0.2">
      <c r="A960" s="2">
        <v>15</v>
      </c>
      <c r="B960" s="1" t="s">
        <v>85</v>
      </c>
      <c r="C960" s="4">
        <v>9</v>
      </c>
      <c r="D960" s="8">
        <v>1.54</v>
      </c>
      <c r="E960" s="4">
        <v>7</v>
      </c>
      <c r="F960" s="8">
        <v>1.99</v>
      </c>
      <c r="G960" s="4">
        <v>1</v>
      </c>
      <c r="H960" s="8">
        <v>0.43</v>
      </c>
      <c r="I960" s="4">
        <v>0</v>
      </c>
    </row>
    <row r="961" spans="1:9" x14ac:dyDescent="0.2">
      <c r="A961" s="2">
        <v>19</v>
      </c>
      <c r="B961" s="1" t="s">
        <v>93</v>
      </c>
      <c r="C961" s="4">
        <v>8</v>
      </c>
      <c r="D961" s="8">
        <v>1.37</v>
      </c>
      <c r="E961" s="4">
        <v>5</v>
      </c>
      <c r="F961" s="8">
        <v>1.42</v>
      </c>
      <c r="G961" s="4">
        <v>3</v>
      </c>
      <c r="H961" s="8">
        <v>1.29</v>
      </c>
      <c r="I961" s="4">
        <v>0</v>
      </c>
    </row>
    <row r="962" spans="1:9" x14ac:dyDescent="0.2">
      <c r="A962" s="2">
        <v>19</v>
      </c>
      <c r="B962" s="1" t="s">
        <v>79</v>
      </c>
      <c r="C962" s="4">
        <v>8</v>
      </c>
      <c r="D962" s="8">
        <v>1.37</v>
      </c>
      <c r="E962" s="4">
        <v>2</v>
      </c>
      <c r="F962" s="8">
        <v>0.56999999999999995</v>
      </c>
      <c r="G962" s="4">
        <v>6</v>
      </c>
      <c r="H962" s="8">
        <v>2.59</v>
      </c>
      <c r="I962" s="4">
        <v>0</v>
      </c>
    </row>
    <row r="963" spans="1:9" x14ac:dyDescent="0.2">
      <c r="A963" s="1"/>
      <c r="C963" s="4"/>
      <c r="D963" s="8"/>
      <c r="E963" s="4"/>
      <c r="F963" s="8"/>
      <c r="G963" s="4"/>
      <c r="H963" s="8"/>
      <c r="I963" s="4"/>
    </row>
    <row r="964" spans="1:9" x14ac:dyDescent="0.2">
      <c r="A964" s="1" t="s">
        <v>42</v>
      </c>
      <c r="C964" s="4"/>
      <c r="D964" s="8"/>
      <c r="E964" s="4"/>
      <c r="F964" s="8"/>
      <c r="G964" s="4"/>
      <c r="H964" s="8"/>
      <c r="I964" s="4"/>
    </row>
    <row r="965" spans="1:9" x14ac:dyDescent="0.2">
      <c r="A965" s="2">
        <v>1</v>
      </c>
      <c r="B965" s="1" t="s">
        <v>68</v>
      </c>
      <c r="C965" s="4">
        <v>38</v>
      </c>
      <c r="D965" s="8">
        <v>16.45</v>
      </c>
      <c r="E965" s="4">
        <v>17</v>
      </c>
      <c r="F965" s="8">
        <v>16.5</v>
      </c>
      <c r="G965" s="4">
        <v>21</v>
      </c>
      <c r="H965" s="8">
        <v>17.07</v>
      </c>
      <c r="I965" s="4">
        <v>0</v>
      </c>
    </row>
    <row r="966" spans="1:9" x14ac:dyDescent="0.2">
      <c r="A966" s="2">
        <v>2</v>
      </c>
      <c r="B966" s="1" t="s">
        <v>69</v>
      </c>
      <c r="C966" s="4">
        <v>32</v>
      </c>
      <c r="D966" s="8">
        <v>13.85</v>
      </c>
      <c r="E966" s="4">
        <v>11</v>
      </c>
      <c r="F966" s="8">
        <v>10.68</v>
      </c>
      <c r="G966" s="4">
        <v>21</v>
      </c>
      <c r="H966" s="8">
        <v>17.07</v>
      </c>
      <c r="I966" s="4">
        <v>0</v>
      </c>
    </row>
    <row r="967" spans="1:9" x14ac:dyDescent="0.2">
      <c r="A967" s="2">
        <v>3</v>
      </c>
      <c r="B967" s="1" t="s">
        <v>70</v>
      </c>
      <c r="C967" s="4">
        <v>17</v>
      </c>
      <c r="D967" s="8">
        <v>7.36</v>
      </c>
      <c r="E967" s="4">
        <v>8</v>
      </c>
      <c r="F967" s="8">
        <v>7.77</v>
      </c>
      <c r="G967" s="4">
        <v>9</v>
      </c>
      <c r="H967" s="8">
        <v>7.32</v>
      </c>
      <c r="I967" s="4">
        <v>0</v>
      </c>
    </row>
    <row r="968" spans="1:9" x14ac:dyDescent="0.2">
      <c r="A968" s="2">
        <v>4</v>
      </c>
      <c r="B968" s="1" t="s">
        <v>82</v>
      </c>
      <c r="C968" s="4">
        <v>16</v>
      </c>
      <c r="D968" s="8">
        <v>6.93</v>
      </c>
      <c r="E968" s="4">
        <v>12</v>
      </c>
      <c r="F968" s="8">
        <v>11.65</v>
      </c>
      <c r="G968" s="4">
        <v>4</v>
      </c>
      <c r="H968" s="8">
        <v>3.25</v>
      </c>
      <c r="I968" s="4">
        <v>0</v>
      </c>
    </row>
    <row r="969" spans="1:9" x14ac:dyDescent="0.2">
      <c r="A969" s="2">
        <v>4</v>
      </c>
      <c r="B969" s="1" t="s">
        <v>83</v>
      </c>
      <c r="C969" s="4">
        <v>16</v>
      </c>
      <c r="D969" s="8">
        <v>6.93</v>
      </c>
      <c r="E969" s="4">
        <v>16</v>
      </c>
      <c r="F969" s="8">
        <v>15.53</v>
      </c>
      <c r="G969" s="4">
        <v>0</v>
      </c>
      <c r="H969" s="8">
        <v>0</v>
      </c>
      <c r="I969" s="4">
        <v>0</v>
      </c>
    </row>
    <row r="970" spans="1:9" x14ac:dyDescent="0.2">
      <c r="A970" s="2">
        <v>6</v>
      </c>
      <c r="B970" s="1" t="s">
        <v>77</v>
      </c>
      <c r="C970" s="4">
        <v>9</v>
      </c>
      <c r="D970" s="8">
        <v>3.9</v>
      </c>
      <c r="E970" s="4">
        <v>2</v>
      </c>
      <c r="F970" s="8">
        <v>1.94</v>
      </c>
      <c r="G970" s="4">
        <v>7</v>
      </c>
      <c r="H970" s="8">
        <v>5.69</v>
      </c>
      <c r="I970" s="4">
        <v>0</v>
      </c>
    </row>
    <row r="971" spans="1:9" x14ac:dyDescent="0.2">
      <c r="A971" s="2">
        <v>7</v>
      </c>
      <c r="B971" s="1" t="s">
        <v>81</v>
      </c>
      <c r="C971" s="4">
        <v>8</v>
      </c>
      <c r="D971" s="8">
        <v>3.46</v>
      </c>
      <c r="E971" s="4">
        <v>2</v>
      </c>
      <c r="F971" s="8">
        <v>1.94</v>
      </c>
      <c r="G971" s="4">
        <v>6</v>
      </c>
      <c r="H971" s="8">
        <v>4.88</v>
      </c>
      <c r="I971" s="4">
        <v>0</v>
      </c>
    </row>
    <row r="972" spans="1:9" x14ac:dyDescent="0.2">
      <c r="A972" s="2">
        <v>8</v>
      </c>
      <c r="B972" s="1" t="s">
        <v>75</v>
      </c>
      <c r="C972" s="4">
        <v>7</v>
      </c>
      <c r="D972" s="8">
        <v>3.03</v>
      </c>
      <c r="E972" s="4">
        <v>5</v>
      </c>
      <c r="F972" s="8">
        <v>4.8499999999999996</v>
      </c>
      <c r="G972" s="4">
        <v>2</v>
      </c>
      <c r="H972" s="8">
        <v>1.63</v>
      </c>
      <c r="I972" s="4">
        <v>0</v>
      </c>
    </row>
    <row r="973" spans="1:9" x14ac:dyDescent="0.2">
      <c r="A973" s="2">
        <v>8</v>
      </c>
      <c r="B973" s="1" t="s">
        <v>76</v>
      </c>
      <c r="C973" s="4">
        <v>7</v>
      </c>
      <c r="D973" s="8">
        <v>3.03</v>
      </c>
      <c r="E973" s="4">
        <v>5</v>
      </c>
      <c r="F973" s="8">
        <v>4.8499999999999996</v>
      </c>
      <c r="G973" s="4">
        <v>2</v>
      </c>
      <c r="H973" s="8">
        <v>1.63</v>
      </c>
      <c r="I973" s="4">
        <v>0</v>
      </c>
    </row>
    <row r="974" spans="1:9" x14ac:dyDescent="0.2">
      <c r="A974" s="2">
        <v>10</v>
      </c>
      <c r="B974" s="1" t="s">
        <v>71</v>
      </c>
      <c r="C974" s="4">
        <v>6</v>
      </c>
      <c r="D974" s="8">
        <v>2.6</v>
      </c>
      <c r="E974" s="4">
        <v>4</v>
      </c>
      <c r="F974" s="8">
        <v>3.88</v>
      </c>
      <c r="G974" s="4">
        <v>2</v>
      </c>
      <c r="H974" s="8">
        <v>1.63</v>
      </c>
      <c r="I974" s="4">
        <v>0</v>
      </c>
    </row>
    <row r="975" spans="1:9" x14ac:dyDescent="0.2">
      <c r="A975" s="2">
        <v>10</v>
      </c>
      <c r="B975" s="1" t="s">
        <v>85</v>
      </c>
      <c r="C975" s="4">
        <v>6</v>
      </c>
      <c r="D975" s="8">
        <v>2.6</v>
      </c>
      <c r="E975" s="4">
        <v>5</v>
      </c>
      <c r="F975" s="8">
        <v>4.8499999999999996</v>
      </c>
      <c r="G975" s="4">
        <v>1</v>
      </c>
      <c r="H975" s="8">
        <v>0.81</v>
      </c>
      <c r="I975" s="4">
        <v>0</v>
      </c>
    </row>
    <row r="976" spans="1:9" x14ac:dyDescent="0.2">
      <c r="A976" s="2">
        <v>10</v>
      </c>
      <c r="B976" s="1" t="s">
        <v>96</v>
      </c>
      <c r="C976" s="4">
        <v>6</v>
      </c>
      <c r="D976" s="8">
        <v>2.6</v>
      </c>
      <c r="E976" s="4">
        <v>0</v>
      </c>
      <c r="F976" s="8">
        <v>0</v>
      </c>
      <c r="G976" s="4">
        <v>3</v>
      </c>
      <c r="H976" s="8">
        <v>2.44</v>
      </c>
      <c r="I976" s="4">
        <v>0</v>
      </c>
    </row>
    <row r="977" spans="1:9" x14ac:dyDescent="0.2">
      <c r="A977" s="2">
        <v>10</v>
      </c>
      <c r="B977" s="1" t="s">
        <v>87</v>
      </c>
      <c r="C977" s="4">
        <v>6</v>
      </c>
      <c r="D977" s="8">
        <v>2.6</v>
      </c>
      <c r="E977" s="4">
        <v>4</v>
      </c>
      <c r="F977" s="8">
        <v>3.88</v>
      </c>
      <c r="G977" s="4">
        <v>2</v>
      </c>
      <c r="H977" s="8">
        <v>1.63</v>
      </c>
      <c r="I977" s="4">
        <v>0</v>
      </c>
    </row>
    <row r="978" spans="1:9" x14ac:dyDescent="0.2">
      <c r="A978" s="2">
        <v>14</v>
      </c>
      <c r="B978" s="1" t="s">
        <v>72</v>
      </c>
      <c r="C978" s="4">
        <v>5</v>
      </c>
      <c r="D978" s="8">
        <v>2.16</v>
      </c>
      <c r="E978" s="4">
        <v>0</v>
      </c>
      <c r="F978" s="8">
        <v>0</v>
      </c>
      <c r="G978" s="4">
        <v>5</v>
      </c>
      <c r="H978" s="8">
        <v>4.07</v>
      </c>
      <c r="I978" s="4">
        <v>0</v>
      </c>
    </row>
    <row r="979" spans="1:9" x14ac:dyDescent="0.2">
      <c r="A979" s="2">
        <v>15</v>
      </c>
      <c r="B979" s="1" t="s">
        <v>91</v>
      </c>
      <c r="C979" s="4">
        <v>4</v>
      </c>
      <c r="D979" s="8">
        <v>1.73</v>
      </c>
      <c r="E979" s="4">
        <v>2</v>
      </c>
      <c r="F979" s="8">
        <v>1.94</v>
      </c>
      <c r="G979" s="4">
        <v>2</v>
      </c>
      <c r="H979" s="8">
        <v>1.63</v>
      </c>
      <c r="I979" s="4">
        <v>0</v>
      </c>
    </row>
    <row r="980" spans="1:9" x14ac:dyDescent="0.2">
      <c r="A980" s="2">
        <v>15</v>
      </c>
      <c r="B980" s="1" t="s">
        <v>92</v>
      </c>
      <c r="C980" s="4">
        <v>4</v>
      </c>
      <c r="D980" s="8">
        <v>1.73</v>
      </c>
      <c r="E980" s="4">
        <v>2</v>
      </c>
      <c r="F980" s="8">
        <v>1.94</v>
      </c>
      <c r="G980" s="4">
        <v>2</v>
      </c>
      <c r="H980" s="8">
        <v>1.63</v>
      </c>
      <c r="I980" s="4">
        <v>0</v>
      </c>
    </row>
    <row r="981" spans="1:9" x14ac:dyDescent="0.2">
      <c r="A981" s="2">
        <v>15</v>
      </c>
      <c r="B981" s="1" t="s">
        <v>107</v>
      </c>
      <c r="C981" s="4">
        <v>4</v>
      </c>
      <c r="D981" s="8">
        <v>1.73</v>
      </c>
      <c r="E981" s="4">
        <v>0</v>
      </c>
      <c r="F981" s="8">
        <v>0</v>
      </c>
      <c r="G981" s="4">
        <v>4</v>
      </c>
      <c r="H981" s="8">
        <v>3.25</v>
      </c>
      <c r="I981" s="4">
        <v>0</v>
      </c>
    </row>
    <row r="982" spans="1:9" x14ac:dyDescent="0.2">
      <c r="A982" s="2">
        <v>15</v>
      </c>
      <c r="B982" s="1" t="s">
        <v>86</v>
      </c>
      <c r="C982" s="4">
        <v>4</v>
      </c>
      <c r="D982" s="8">
        <v>1.73</v>
      </c>
      <c r="E982" s="4">
        <v>3</v>
      </c>
      <c r="F982" s="8">
        <v>2.91</v>
      </c>
      <c r="G982" s="4">
        <v>1</v>
      </c>
      <c r="H982" s="8">
        <v>0.81</v>
      </c>
      <c r="I982" s="4">
        <v>0</v>
      </c>
    </row>
    <row r="983" spans="1:9" x14ac:dyDescent="0.2">
      <c r="A983" s="2">
        <v>19</v>
      </c>
      <c r="B983" s="1" t="s">
        <v>78</v>
      </c>
      <c r="C983" s="4">
        <v>3</v>
      </c>
      <c r="D983" s="8">
        <v>1.3</v>
      </c>
      <c r="E983" s="4">
        <v>1</v>
      </c>
      <c r="F983" s="8">
        <v>0.97</v>
      </c>
      <c r="G983" s="4">
        <v>2</v>
      </c>
      <c r="H983" s="8">
        <v>1.63</v>
      </c>
      <c r="I983" s="4">
        <v>0</v>
      </c>
    </row>
    <row r="984" spans="1:9" x14ac:dyDescent="0.2">
      <c r="A984" s="2">
        <v>19</v>
      </c>
      <c r="B984" s="1" t="s">
        <v>79</v>
      </c>
      <c r="C984" s="4">
        <v>3</v>
      </c>
      <c r="D984" s="8">
        <v>1.3</v>
      </c>
      <c r="E984" s="4">
        <v>0</v>
      </c>
      <c r="F984" s="8">
        <v>0</v>
      </c>
      <c r="G984" s="4">
        <v>3</v>
      </c>
      <c r="H984" s="8">
        <v>2.44</v>
      </c>
      <c r="I984" s="4">
        <v>0</v>
      </c>
    </row>
    <row r="985" spans="1:9" x14ac:dyDescent="0.2">
      <c r="A985" s="2">
        <v>19</v>
      </c>
      <c r="B985" s="1" t="s">
        <v>80</v>
      </c>
      <c r="C985" s="4">
        <v>3</v>
      </c>
      <c r="D985" s="8">
        <v>1.3</v>
      </c>
      <c r="E985" s="4">
        <v>2</v>
      </c>
      <c r="F985" s="8">
        <v>1.94</v>
      </c>
      <c r="G985" s="4">
        <v>1</v>
      </c>
      <c r="H985" s="8">
        <v>0.81</v>
      </c>
      <c r="I985" s="4">
        <v>0</v>
      </c>
    </row>
    <row r="986" spans="1:9" x14ac:dyDescent="0.2">
      <c r="A986" s="1"/>
      <c r="C986" s="4"/>
      <c r="D986" s="8"/>
      <c r="E986" s="4"/>
      <c r="F986" s="8"/>
      <c r="G986" s="4"/>
      <c r="H986" s="8"/>
      <c r="I986" s="4"/>
    </row>
    <row r="987" spans="1:9" x14ac:dyDescent="0.2">
      <c r="A987" s="1" t="s">
        <v>43</v>
      </c>
      <c r="C987" s="4"/>
      <c r="D987" s="8"/>
      <c r="E987" s="4"/>
      <c r="F987" s="8"/>
      <c r="G987" s="4"/>
      <c r="H987" s="8"/>
      <c r="I987" s="4"/>
    </row>
    <row r="988" spans="1:9" x14ac:dyDescent="0.2">
      <c r="A988" s="2">
        <v>1</v>
      </c>
      <c r="B988" s="1" t="s">
        <v>83</v>
      </c>
      <c r="C988" s="4">
        <v>80</v>
      </c>
      <c r="D988" s="8">
        <v>9.58</v>
      </c>
      <c r="E988" s="4">
        <v>66</v>
      </c>
      <c r="F988" s="8">
        <v>13.04</v>
      </c>
      <c r="G988" s="4">
        <v>14</v>
      </c>
      <c r="H988" s="8">
        <v>4.32</v>
      </c>
      <c r="I988" s="4">
        <v>0</v>
      </c>
    </row>
    <row r="989" spans="1:9" x14ac:dyDescent="0.2">
      <c r="A989" s="2">
        <v>2</v>
      </c>
      <c r="B989" s="1" t="s">
        <v>68</v>
      </c>
      <c r="C989" s="4">
        <v>71</v>
      </c>
      <c r="D989" s="8">
        <v>8.5</v>
      </c>
      <c r="E989" s="4">
        <v>41</v>
      </c>
      <c r="F989" s="8">
        <v>8.1</v>
      </c>
      <c r="G989" s="4">
        <v>30</v>
      </c>
      <c r="H989" s="8">
        <v>9.26</v>
      </c>
      <c r="I989" s="4">
        <v>0</v>
      </c>
    </row>
    <row r="990" spans="1:9" x14ac:dyDescent="0.2">
      <c r="A990" s="2">
        <v>3</v>
      </c>
      <c r="B990" s="1" t="s">
        <v>82</v>
      </c>
      <c r="C990" s="4">
        <v>69</v>
      </c>
      <c r="D990" s="8">
        <v>8.26</v>
      </c>
      <c r="E990" s="4">
        <v>57</v>
      </c>
      <c r="F990" s="8">
        <v>11.26</v>
      </c>
      <c r="G990" s="4">
        <v>12</v>
      </c>
      <c r="H990" s="8">
        <v>3.7</v>
      </c>
      <c r="I990" s="4">
        <v>0</v>
      </c>
    </row>
    <row r="991" spans="1:9" x14ac:dyDescent="0.2">
      <c r="A991" s="2">
        <v>4</v>
      </c>
      <c r="B991" s="1" t="s">
        <v>69</v>
      </c>
      <c r="C991" s="4">
        <v>66</v>
      </c>
      <c r="D991" s="8">
        <v>7.9</v>
      </c>
      <c r="E991" s="4">
        <v>38</v>
      </c>
      <c r="F991" s="8">
        <v>7.51</v>
      </c>
      <c r="G991" s="4">
        <v>28</v>
      </c>
      <c r="H991" s="8">
        <v>8.64</v>
      </c>
      <c r="I991" s="4">
        <v>0</v>
      </c>
    </row>
    <row r="992" spans="1:9" x14ac:dyDescent="0.2">
      <c r="A992" s="2">
        <v>5</v>
      </c>
      <c r="B992" s="1" t="s">
        <v>77</v>
      </c>
      <c r="C992" s="4">
        <v>63</v>
      </c>
      <c r="D992" s="8">
        <v>7.54</v>
      </c>
      <c r="E992" s="4">
        <v>40</v>
      </c>
      <c r="F992" s="8">
        <v>7.91</v>
      </c>
      <c r="G992" s="4">
        <v>23</v>
      </c>
      <c r="H992" s="8">
        <v>7.1</v>
      </c>
      <c r="I992" s="4">
        <v>0</v>
      </c>
    </row>
    <row r="993" spans="1:9" x14ac:dyDescent="0.2">
      <c r="A993" s="2">
        <v>6</v>
      </c>
      <c r="B993" s="1" t="s">
        <v>79</v>
      </c>
      <c r="C993" s="4">
        <v>41</v>
      </c>
      <c r="D993" s="8">
        <v>4.91</v>
      </c>
      <c r="E993" s="4">
        <v>29</v>
      </c>
      <c r="F993" s="8">
        <v>5.73</v>
      </c>
      <c r="G993" s="4">
        <v>12</v>
      </c>
      <c r="H993" s="8">
        <v>3.7</v>
      </c>
      <c r="I993" s="4">
        <v>0</v>
      </c>
    </row>
    <row r="994" spans="1:9" x14ac:dyDescent="0.2">
      <c r="A994" s="2">
        <v>7</v>
      </c>
      <c r="B994" s="1" t="s">
        <v>75</v>
      </c>
      <c r="C994" s="4">
        <v>40</v>
      </c>
      <c r="D994" s="8">
        <v>4.79</v>
      </c>
      <c r="E994" s="4">
        <v>33</v>
      </c>
      <c r="F994" s="8">
        <v>6.52</v>
      </c>
      <c r="G994" s="4">
        <v>7</v>
      </c>
      <c r="H994" s="8">
        <v>2.16</v>
      </c>
      <c r="I994" s="4">
        <v>0</v>
      </c>
    </row>
    <row r="995" spans="1:9" x14ac:dyDescent="0.2">
      <c r="A995" s="2">
        <v>7</v>
      </c>
      <c r="B995" s="1" t="s">
        <v>76</v>
      </c>
      <c r="C995" s="4">
        <v>40</v>
      </c>
      <c r="D995" s="8">
        <v>4.79</v>
      </c>
      <c r="E995" s="4">
        <v>22</v>
      </c>
      <c r="F995" s="8">
        <v>4.3499999999999996</v>
      </c>
      <c r="G995" s="4">
        <v>18</v>
      </c>
      <c r="H995" s="8">
        <v>5.56</v>
      </c>
      <c r="I995" s="4">
        <v>0</v>
      </c>
    </row>
    <row r="996" spans="1:9" x14ac:dyDescent="0.2">
      <c r="A996" s="2">
        <v>9</v>
      </c>
      <c r="B996" s="1" t="s">
        <v>70</v>
      </c>
      <c r="C996" s="4">
        <v>33</v>
      </c>
      <c r="D996" s="8">
        <v>3.95</v>
      </c>
      <c r="E996" s="4">
        <v>14</v>
      </c>
      <c r="F996" s="8">
        <v>2.77</v>
      </c>
      <c r="G996" s="4">
        <v>19</v>
      </c>
      <c r="H996" s="8">
        <v>5.86</v>
      </c>
      <c r="I996" s="4">
        <v>0</v>
      </c>
    </row>
    <row r="997" spans="1:9" x14ac:dyDescent="0.2">
      <c r="A997" s="2">
        <v>10</v>
      </c>
      <c r="B997" s="1" t="s">
        <v>87</v>
      </c>
      <c r="C997" s="4">
        <v>26</v>
      </c>
      <c r="D997" s="8">
        <v>3.11</v>
      </c>
      <c r="E997" s="4">
        <v>18</v>
      </c>
      <c r="F997" s="8">
        <v>3.56</v>
      </c>
      <c r="G997" s="4">
        <v>8</v>
      </c>
      <c r="H997" s="8">
        <v>2.4700000000000002</v>
      </c>
      <c r="I997" s="4">
        <v>0</v>
      </c>
    </row>
    <row r="998" spans="1:9" x14ac:dyDescent="0.2">
      <c r="A998" s="2">
        <v>11</v>
      </c>
      <c r="B998" s="1" t="s">
        <v>71</v>
      </c>
      <c r="C998" s="4">
        <v>25</v>
      </c>
      <c r="D998" s="8">
        <v>2.99</v>
      </c>
      <c r="E998" s="4">
        <v>14</v>
      </c>
      <c r="F998" s="8">
        <v>2.77</v>
      </c>
      <c r="G998" s="4">
        <v>11</v>
      </c>
      <c r="H998" s="8">
        <v>3.4</v>
      </c>
      <c r="I998" s="4">
        <v>0</v>
      </c>
    </row>
    <row r="999" spans="1:9" x14ac:dyDescent="0.2">
      <c r="A999" s="2">
        <v>12</v>
      </c>
      <c r="B999" s="1" t="s">
        <v>86</v>
      </c>
      <c r="C999" s="4">
        <v>23</v>
      </c>
      <c r="D999" s="8">
        <v>2.75</v>
      </c>
      <c r="E999" s="4">
        <v>21</v>
      </c>
      <c r="F999" s="8">
        <v>4.1500000000000004</v>
      </c>
      <c r="G999" s="4">
        <v>2</v>
      </c>
      <c r="H999" s="8">
        <v>0.62</v>
      </c>
      <c r="I999" s="4">
        <v>0</v>
      </c>
    </row>
    <row r="1000" spans="1:9" x14ac:dyDescent="0.2">
      <c r="A1000" s="2">
        <v>13</v>
      </c>
      <c r="B1000" s="1" t="s">
        <v>74</v>
      </c>
      <c r="C1000" s="4">
        <v>22</v>
      </c>
      <c r="D1000" s="8">
        <v>2.63</v>
      </c>
      <c r="E1000" s="4">
        <v>17</v>
      </c>
      <c r="F1000" s="8">
        <v>3.36</v>
      </c>
      <c r="G1000" s="4">
        <v>5</v>
      </c>
      <c r="H1000" s="8">
        <v>1.54</v>
      </c>
      <c r="I1000" s="4">
        <v>0</v>
      </c>
    </row>
    <row r="1001" spans="1:9" x14ac:dyDescent="0.2">
      <c r="A1001" s="2">
        <v>14</v>
      </c>
      <c r="B1001" s="1" t="s">
        <v>92</v>
      </c>
      <c r="C1001" s="4">
        <v>18</v>
      </c>
      <c r="D1001" s="8">
        <v>2.16</v>
      </c>
      <c r="E1001" s="4">
        <v>4</v>
      </c>
      <c r="F1001" s="8">
        <v>0.79</v>
      </c>
      <c r="G1001" s="4">
        <v>14</v>
      </c>
      <c r="H1001" s="8">
        <v>4.32</v>
      </c>
      <c r="I1001" s="4">
        <v>0</v>
      </c>
    </row>
    <row r="1002" spans="1:9" x14ac:dyDescent="0.2">
      <c r="A1002" s="2">
        <v>15</v>
      </c>
      <c r="B1002" s="1" t="s">
        <v>72</v>
      </c>
      <c r="C1002" s="4">
        <v>16</v>
      </c>
      <c r="D1002" s="8">
        <v>1.92</v>
      </c>
      <c r="E1002" s="4">
        <v>11</v>
      </c>
      <c r="F1002" s="8">
        <v>2.17</v>
      </c>
      <c r="G1002" s="4">
        <v>5</v>
      </c>
      <c r="H1002" s="8">
        <v>1.54</v>
      </c>
      <c r="I1002" s="4">
        <v>0</v>
      </c>
    </row>
    <row r="1003" spans="1:9" x14ac:dyDescent="0.2">
      <c r="A1003" s="2">
        <v>16</v>
      </c>
      <c r="B1003" s="1" t="s">
        <v>93</v>
      </c>
      <c r="C1003" s="4">
        <v>12</v>
      </c>
      <c r="D1003" s="8">
        <v>1.44</v>
      </c>
      <c r="E1003" s="4">
        <v>6</v>
      </c>
      <c r="F1003" s="8">
        <v>1.19</v>
      </c>
      <c r="G1003" s="4">
        <v>6</v>
      </c>
      <c r="H1003" s="8">
        <v>1.85</v>
      </c>
      <c r="I1003" s="4">
        <v>0</v>
      </c>
    </row>
    <row r="1004" spans="1:9" x14ac:dyDescent="0.2">
      <c r="A1004" s="2">
        <v>17</v>
      </c>
      <c r="B1004" s="1" t="s">
        <v>110</v>
      </c>
      <c r="C1004" s="4">
        <v>11</v>
      </c>
      <c r="D1004" s="8">
        <v>1.32</v>
      </c>
      <c r="E1004" s="4">
        <v>8</v>
      </c>
      <c r="F1004" s="8">
        <v>1.58</v>
      </c>
      <c r="G1004" s="4">
        <v>2</v>
      </c>
      <c r="H1004" s="8">
        <v>0.62</v>
      </c>
      <c r="I1004" s="4">
        <v>1</v>
      </c>
    </row>
    <row r="1005" spans="1:9" x14ac:dyDescent="0.2">
      <c r="A1005" s="2">
        <v>18</v>
      </c>
      <c r="B1005" s="1" t="s">
        <v>80</v>
      </c>
      <c r="C1005" s="4">
        <v>10</v>
      </c>
      <c r="D1005" s="8">
        <v>1.2</v>
      </c>
      <c r="E1005" s="4">
        <v>8</v>
      </c>
      <c r="F1005" s="8">
        <v>1.58</v>
      </c>
      <c r="G1005" s="4">
        <v>2</v>
      </c>
      <c r="H1005" s="8">
        <v>0.62</v>
      </c>
      <c r="I1005" s="4">
        <v>0</v>
      </c>
    </row>
    <row r="1006" spans="1:9" x14ac:dyDescent="0.2">
      <c r="A1006" s="2">
        <v>19</v>
      </c>
      <c r="B1006" s="1" t="s">
        <v>97</v>
      </c>
      <c r="C1006" s="4">
        <v>9</v>
      </c>
      <c r="D1006" s="8">
        <v>1.08</v>
      </c>
      <c r="E1006" s="4">
        <v>4</v>
      </c>
      <c r="F1006" s="8">
        <v>0.79</v>
      </c>
      <c r="G1006" s="4">
        <v>5</v>
      </c>
      <c r="H1006" s="8">
        <v>1.54</v>
      </c>
      <c r="I1006" s="4">
        <v>0</v>
      </c>
    </row>
    <row r="1007" spans="1:9" x14ac:dyDescent="0.2">
      <c r="A1007" s="2">
        <v>19</v>
      </c>
      <c r="B1007" s="1" t="s">
        <v>84</v>
      </c>
      <c r="C1007" s="4">
        <v>9</v>
      </c>
      <c r="D1007" s="8">
        <v>1.08</v>
      </c>
      <c r="E1007" s="4">
        <v>3</v>
      </c>
      <c r="F1007" s="8">
        <v>0.59</v>
      </c>
      <c r="G1007" s="4">
        <v>6</v>
      </c>
      <c r="H1007" s="8">
        <v>1.85</v>
      </c>
      <c r="I1007" s="4">
        <v>0</v>
      </c>
    </row>
    <row r="1008" spans="1:9" x14ac:dyDescent="0.2">
      <c r="A1008" s="2">
        <v>19</v>
      </c>
      <c r="B1008" s="1" t="s">
        <v>85</v>
      </c>
      <c r="C1008" s="4">
        <v>9</v>
      </c>
      <c r="D1008" s="8">
        <v>1.08</v>
      </c>
      <c r="E1008" s="4">
        <v>5</v>
      </c>
      <c r="F1008" s="8">
        <v>0.99</v>
      </c>
      <c r="G1008" s="4">
        <v>3</v>
      </c>
      <c r="H1008" s="8">
        <v>0.93</v>
      </c>
      <c r="I1008" s="4">
        <v>0</v>
      </c>
    </row>
    <row r="1009" spans="1:9" x14ac:dyDescent="0.2">
      <c r="A1009" s="2">
        <v>19</v>
      </c>
      <c r="B1009" s="1" t="s">
        <v>89</v>
      </c>
      <c r="C1009" s="4">
        <v>9</v>
      </c>
      <c r="D1009" s="8">
        <v>1.08</v>
      </c>
      <c r="E1009" s="4">
        <v>1</v>
      </c>
      <c r="F1009" s="8">
        <v>0.2</v>
      </c>
      <c r="G1009" s="4">
        <v>7</v>
      </c>
      <c r="H1009" s="8">
        <v>2.16</v>
      </c>
      <c r="I1009" s="4">
        <v>1</v>
      </c>
    </row>
    <row r="1010" spans="1:9" x14ac:dyDescent="0.2">
      <c r="A1010" s="1"/>
      <c r="C1010" s="4"/>
      <c r="D1010" s="8"/>
      <c r="E1010" s="4"/>
      <c r="F1010" s="8"/>
      <c r="G1010" s="4"/>
      <c r="H1010" s="8"/>
      <c r="I1010" s="4"/>
    </row>
    <row r="1011" spans="1:9" x14ac:dyDescent="0.2">
      <c r="A1011" s="1" t="s">
        <v>44</v>
      </c>
      <c r="C1011" s="4"/>
      <c r="D1011" s="8"/>
      <c r="E1011" s="4"/>
      <c r="F1011" s="8"/>
      <c r="G1011" s="4"/>
      <c r="H1011" s="8"/>
      <c r="I1011" s="4"/>
    </row>
    <row r="1012" spans="1:9" x14ac:dyDescent="0.2">
      <c r="A1012" s="2">
        <v>1</v>
      </c>
      <c r="B1012" s="1" t="s">
        <v>83</v>
      </c>
      <c r="C1012" s="4">
        <v>31</v>
      </c>
      <c r="D1012" s="8">
        <v>12.06</v>
      </c>
      <c r="E1012" s="4">
        <v>30</v>
      </c>
      <c r="F1012" s="8">
        <v>21.9</v>
      </c>
      <c r="G1012" s="4">
        <v>1</v>
      </c>
      <c r="H1012" s="8">
        <v>0.87</v>
      </c>
      <c r="I1012" s="4">
        <v>0</v>
      </c>
    </row>
    <row r="1013" spans="1:9" x14ac:dyDescent="0.2">
      <c r="A1013" s="2">
        <v>2</v>
      </c>
      <c r="B1013" s="1" t="s">
        <v>68</v>
      </c>
      <c r="C1013" s="4">
        <v>23</v>
      </c>
      <c r="D1013" s="8">
        <v>8.9499999999999993</v>
      </c>
      <c r="E1013" s="4">
        <v>6</v>
      </c>
      <c r="F1013" s="8">
        <v>4.38</v>
      </c>
      <c r="G1013" s="4">
        <v>17</v>
      </c>
      <c r="H1013" s="8">
        <v>14.78</v>
      </c>
      <c r="I1013" s="4">
        <v>0</v>
      </c>
    </row>
    <row r="1014" spans="1:9" x14ac:dyDescent="0.2">
      <c r="A1014" s="2">
        <v>3</v>
      </c>
      <c r="B1014" s="1" t="s">
        <v>77</v>
      </c>
      <c r="C1014" s="4">
        <v>21</v>
      </c>
      <c r="D1014" s="8">
        <v>8.17</v>
      </c>
      <c r="E1014" s="4">
        <v>7</v>
      </c>
      <c r="F1014" s="8">
        <v>5.1100000000000003</v>
      </c>
      <c r="G1014" s="4">
        <v>14</v>
      </c>
      <c r="H1014" s="8">
        <v>12.17</v>
      </c>
      <c r="I1014" s="4">
        <v>0</v>
      </c>
    </row>
    <row r="1015" spans="1:9" x14ac:dyDescent="0.2">
      <c r="A1015" s="2">
        <v>4</v>
      </c>
      <c r="B1015" s="1" t="s">
        <v>69</v>
      </c>
      <c r="C1015" s="4">
        <v>18</v>
      </c>
      <c r="D1015" s="8">
        <v>7</v>
      </c>
      <c r="E1015" s="4">
        <v>8</v>
      </c>
      <c r="F1015" s="8">
        <v>5.84</v>
      </c>
      <c r="G1015" s="4">
        <v>10</v>
      </c>
      <c r="H1015" s="8">
        <v>8.6999999999999993</v>
      </c>
      <c r="I1015" s="4">
        <v>0</v>
      </c>
    </row>
    <row r="1016" spans="1:9" x14ac:dyDescent="0.2">
      <c r="A1016" s="2">
        <v>4</v>
      </c>
      <c r="B1016" s="1" t="s">
        <v>76</v>
      </c>
      <c r="C1016" s="4">
        <v>18</v>
      </c>
      <c r="D1016" s="8">
        <v>7</v>
      </c>
      <c r="E1016" s="4">
        <v>11</v>
      </c>
      <c r="F1016" s="8">
        <v>8.0299999999999994</v>
      </c>
      <c r="G1016" s="4">
        <v>7</v>
      </c>
      <c r="H1016" s="8">
        <v>6.09</v>
      </c>
      <c r="I1016" s="4">
        <v>0</v>
      </c>
    </row>
    <row r="1017" spans="1:9" x14ac:dyDescent="0.2">
      <c r="A1017" s="2">
        <v>6</v>
      </c>
      <c r="B1017" s="1" t="s">
        <v>82</v>
      </c>
      <c r="C1017" s="4">
        <v>17</v>
      </c>
      <c r="D1017" s="8">
        <v>6.61</v>
      </c>
      <c r="E1017" s="4">
        <v>16</v>
      </c>
      <c r="F1017" s="8">
        <v>11.68</v>
      </c>
      <c r="G1017" s="4">
        <v>1</v>
      </c>
      <c r="H1017" s="8">
        <v>0.87</v>
      </c>
      <c r="I1017" s="4">
        <v>0</v>
      </c>
    </row>
    <row r="1018" spans="1:9" x14ac:dyDescent="0.2">
      <c r="A1018" s="2">
        <v>7</v>
      </c>
      <c r="B1018" s="1" t="s">
        <v>75</v>
      </c>
      <c r="C1018" s="4">
        <v>16</v>
      </c>
      <c r="D1018" s="8">
        <v>6.23</v>
      </c>
      <c r="E1018" s="4">
        <v>13</v>
      </c>
      <c r="F1018" s="8">
        <v>9.49</v>
      </c>
      <c r="G1018" s="4">
        <v>3</v>
      </c>
      <c r="H1018" s="8">
        <v>2.61</v>
      </c>
      <c r="I1018" s="4">
        <v>0</v>
      </c>
    </row>
    <row r="1019" spans="1:9" x14ac:dyDescent="0.2">
      <c r="A1019" s="2">
        <v>8</v>
      </c>
      <c r="B1019" s="1" t="s">
        <v>70</v>
      </c>
      <c r="C1019" s="4">
        <v>15</v>
      </c>
      <c r="D1019" s="8">
        <v>5.84</v>
      </c>
      <c r="E1019" s="4">
        <v>2</v>
      </c>
      <c r="F1019" s="8">
        <v>1.46</v>
      </c>
      <c r="G1019" s="4">
        <v>13</v>
      </c>
      <c r="H1019" s="8">
        <v>11.3</v>
      </c>
      <c r="I1019" s="4">
        <v>0</v>
      </c>
    </row>
    <row r="1020" spans="1:9" x14ac:dyDescent="0.2">
      <c r="A1020" s="2">
        <v>9</v>
      </c>
      <c r="B1020" s="1" t="s">
        <v>85</v>
      </c>
      <c r="C1020" s="4">
        <v>9</v>
      </c>
      <c r="D1020" s="8">
        <v>3.5</v>
      </c>
      <c r="E1020" s="4">
        <v>7</v>
      </c>
      <c r="F1020" s="8">
        <v>5.1100000000000003</v>
      </c>
      <c r="G1020" s="4">
        <v>0</v>
      </c>
      <c r="H1020" s="8">
        <v>0</v>
      </c>
      <c r="I1020" s="4">
        <v>0</v>
      </c>
    </row>
    <row r="1021" spans="1:9" x14ac:dyDescent="0.2">
      <c r="A1021" s="2">
        <v>10</v>
      </c>
      <c r="B1021" s="1" t="s">
        <v>81</v>
      </c>
      <c r="C1021" s="4">
        <v>8</v>
      </c>
      <c r="D1021" s="8">
        <v>3.11</v>
      </c>
      <c r="E1021" s="4">
        <v>5</v>
      </c>
      <c r="F1021" s="8">
        <v>3.65</v>
      </c>
      <c r="G1021" s="4">
        <v>3</v>
      </c>
      <c r="H1021" s="8">
        <v>2.61</v>
      </c>
      <c r="I1021" s="4">
        <v>0</v>
      </c>
    </row>
    <row r="1022" spans="1:9" x14ac:dyDescent="0.2">
      <c r="A1022" s="2">
        <v>10</v>
      </c>
      <c r="B1022" s="1" t="s">
        <v>87</v>
      </c>
      <c r="C1022" s="4">
        <v>8</v>
      </c>
      <c r="D1022" s="8">
        <v>3.11</v>
      </c>
      <c r="E1022" s="4">
        <v>5</v>
      </c>
      <c r="F1022" s="8">
        <v>3.65</v>
      </c>
      <c r="G1022" s="4">
        <v>3</v>
      </c>
      <c r="H1022" s="8">
        <v>2.61</v>
      </c>
      <c r="I1022" s="4">
        <v>0</v>
      </c>
    </row>
    <row r="1023" spans="1:9" x14ac:dyDescent="0.2">
      <c r="A1023" s="2">
        <v>12</v>
      </c>
      <c r="B1023" s="1" t="s">
        <v>102</v>
      </c>
      <c r="C1023" s="4">
        <v>7</v>
      </c>
      <c r="D1023" s="8">
        <v>2.72</v>
      </c>
      <c r="E1023" s="4">
        <v>0</v>
      </c>
      <c r="F1023" s="8">
        <v>0</v>
      </c>
      <c r="G1023" s="4">
        <v>7</v>
      </c>
      <c r="H1023" s="8">
        <v>6.09</v>
      </c>
      <c r="I1023" s="4">
        <v>0</v>
      </c>
    </row>
    <row r="1024" spans="1:9" x14ac:dyDescent="0.2">
      <c r="A1024" s="2">
        <v>12</v>
      </c>
      <c r="B1024" s="1" t="s">
        <v>80</v>
      </c>
      <c r="C1024" s="4">
        <v>7</v>
      </c>
      <c r="D1024" s="8">
        <v>2.72</v>
      </c>
      <c r="E1024" s="4">
        <v>5</v>
      </c>
      <c r="F1024" s="8">
        <v>3.65</v>
      </c>
      <c r="G1024" s="4">
        <v>2</v>
      </c>
      <c r="H1024" s="8">
        <v>1.74</v>
      </c>
      <c r="I1024" s="4">
        <v>0</v>
      </c>
    </row>
    <row r="1025" spans="1:9" x14ac:dyDescent="0.2">
      <c r="A1025" s="2">
        <v>12</v>
      </c>
      <c r="B1025" s="1" t="s">
        <v>86</v>
      </c>
      <c r="C1025" s="4">
        <v>7</v>
      </c>
      <c r="D1025" s="8">
        <v>2.72</v>
      </c>
      <c r="E1025" s="4">
        <v>7</v>
      </c>
      <c r="F1025" s="8">
        <v>5.1100000000000003</v>
      </c>
      <c r="G1025" s="4">
        <v>0</v>
      </c>
      <c r="H1025" s="8">
        <v>0</v>
      </c>
      <c r="I1025" s="4">
        <v>0</v>
      </c>
    </row>
    <row r="1026" spans="1:9" x14ac:dyDescent="0.2">
      <c r="A1026" s="2">
        <v>15</v>
      </c>
      <c r="B1026" s="1" t="s">
        <v>79</v>
      </c>
      <c r="C1026" s="4">
        <v>6</v>
      </c>
      <c r="D1026" s="8">
        <v>2.33</v>
      </c>
      <c r="E1026" s="4">
        <v>3</v>
      </c>
      <c r="F1026" s="8">
        <v>2.19</v>
      </c>
      <c r="G1026" s="4">
        <v>3</v>
      </c>
      <c r="H1026" s="8">
        <v>2.61</v>
      </c>
      <c r="I1026" s="4">
        <v>0</v>
      </c>
    </row>
    <row r="1027" spans="1:9" x14ac:dyDescent="0.2">
      <c r="A1027" s="2">
        <v>16</v>
      </c>
      <c r="B1027" s="1" t="s">
        <v>72</v>
      </c>
      <c r="C1027" s="4">
        <v>4</v>
      </c>
      <c r="D1027" s="8">
        <v>1.56</v>
      </c>
      <c r="E1027" s="4">
        <v>0</v>
      </c>
      <c r="F1027" s="8">
        <v>0</v>
      </c>
      <c r="G1027" s="4">
        <v>4</v>
      </c>
      <c r="H1027" s="8">
        <v>3.48</v>
      </c>
      <c r="I1027" s="4">
        <v>0</v>
      </c>
    </row>
    <row r="1028" spans="1:9" x14ac:dyDescent="0.2">
      <c r="A1028" s="2">
        <v>16</v>
      </c>
      <c r="B1028" s="1" t="s">
        <v>96</v>
      </c>
      <c r="C1028" s="4">
        <v>4</v>
      </c>
      <c r="D1028" s="8">
        <v>1.56</v>
      </c>
      <c r="E1028" s="4">
        <v>0</v>
      </c>
      <c r="F1028" s="8">
        <v>0</v>
      </c>
      <c r="G1028" s="4">
        <v>4</v>
      </c>
      <c r="H1028" s="8">
        <v>3.48</v>
      </c>
      <c r="I1028" s="4">
        <v>0</v>
      </c>
    </row>
    <row r="1029" spans="1:9" x14ac:dyDescent="0.2">
      <c r="A1029" s="2">
        <v>18</v>
      </c>
      <c r="B1029" s="1" t="s">
        <v>71</v>
      </c>
      <c r="C1029" s="4">
        <v>3</v>
      </c>
      <c r="D1029" s="8">
        <v>1.17</v>
      </c>
      <c r="E1029" s="4">
        <v>1</v>
      </c>
      <c r="F1029" s="8">
        <v>0.73</v>
      </c>
      <c r="G1029" s="4">
        <v>2</v>
      </c>
      <c r="H1029" s="8">
        <v>1.74</v>
      </c>
      <c r="I1029" s="4">
        <v>0</v>
      </c>
    </row>
    <row r="1030" spans="1:9" x14ac:dyDescent="0.2">
      <c r="A1030" s="2">
        <v>18</v>
      </c>
      <c r="B1030" s="1" t="s">
        <v>108</v>
      </c>
      <c r="C1030" s="4">
        <v>3</v>
      </c>
      <c r="D1030" s="8">
        <v>1.17</v>
      </c>
      <c r="E1030" s="4">
        <v>1</v>
      </c>
      <c r="F1030" s="8">
        <v>0.73</v>
      </c>
      <c r="G1030" s="4">
        <v>2</v>
      </c>
      <c r="H1030" s="8">
        <v>1.74</v>
      </c>
      <c r="I1030" s="4">
        <v>0</v>
      </c>
    </row>
    <row r="1031" spans="1:9" x14ac:dyDescent="0.2">
      <c r="A1031" s="2">
        <v>18</v>
      </c>
      <c r="B1031" s="1" t="s">
        <v>74</v>
      </c>
      <c r="C1031" s="4">
        <v>3</v>
      </c>
      <c r="D1031" s="8">
        <v>1.17</v>
      </c>
      <c r="E1031" s="4">
        <v>2</v>
      </c>
      <c r="F1031" s="8">
        <v>1.46</v>
      </c>
      <c r="G1031" s="4">
        <v>1</v>
      </c>
      <c r="H1031" s="8">
        <v>0.87</v>
      </c>
      <c r="I1031" s="4">
        <v>0</v>
      </c>
    </row>
    <row r="1032" spans="1:9" x14ac:dyDescent="0.2">
      <c r="A1032" s="2">
        <v>18</v>
      </c>
      <c r="B1032" s="1" t="s">
        <v>89</v>
      </c>
      <c r="C1032" s="4">
        <v>3</v>
      </c>
      <c r="D1032" s="8">
        <v>1.17</v>
      </c>
      <c r="E1032" s="4">
        <v>0</v>
      </c>
      <c r="F1032" s="8">
        <v>0</v>
      </c>
      <c r="G1032" s="4">
        <v>3</v>
      </c>
      <c r="H1032" s="8">
        <v>2.61</v>
      </c>
      <c r="I1032" s="4">
        <v>0</v>
      </c>
    </row>
    <row r="1033" spans="1:9" x14ac:dyDescent="0.2">
      <c r="A1033" s="2">
        <v>18</v>
      </c>
      <c r="B1033" s="1" t="s">
        <v>115</v>
      </c>
      <c r="C1033" s="4">
        <v>3</v>
      </c>
      <c r="D1033" s="8">
        <v>1.17</v>
      </c>
      <c r="E1033" s="4">
        <v>1</v>
      </c>
      <c r="F1033" s="8">
        <v>0.73</v>
      </c>
      <c r="G1033" s="4">
        <v>0</v>
      </c>
      <c r="H1033" s="8">
        <v>0</v>
      </c>
      <c r="I1033" s="4">
        <v>0</v>
      </c>
    </row>
    <row r="1034" spans="1:9" x14ac:dyDescent="0.2">
      <c r="A1034" s="1"/>
      <c r="C1034" s="4"/>
      <c r="D1034" s="8"/>
      <c r="E1034" s="4"/>
      <c r="F1034" s="8"/>
      <c r="G1034" s="4"/>
      <c r="H1034" s="8"/>
      <c r="I103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7360-E8C3-40E0-803C-D50FB6F7C8A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210</v>
      </c>
      <c r="D6" s="8">
        <v>22.06</v>
      </c>
      <c r="E6" s="12">
        <v>110</v>
      </c>
      <c r="F6" s="8">
        <v>19.89</v>
      </c>
      <c r="G6" s="12">
        <v>100</v>
      </c>
      <c r="H6" s="8">
        <v>25.25</v>
      </c>
      <c r="I6" s="12">
        <v>0</v>
      </c>
    </row>
    <row r="7" spans="2:9" ht="15" customHeight="1" x14ac:dyDescent="0.2">
      <c r="B7" t="s">
        <v>47</v>
      </c>
      <c r="C7" s="12">
        <v>107</v>
      </c>
      <c r="D7" s="8">
        <v>11.24</v>
      </c>
      <c r="E7" s="12">
        <v>30</v>
      </c>
      <c r="F7" s="8">
        <v>5.42</v>
      </c>
      <c r="G7" s="12">
        <v>77</v>
      </c>
      <c r="H7" s="8">
        <v>19.440000000000001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0.21</v>
      </c>
      <c r="E8" s="12">
        <v>0</v>
      </c>
      <c r="F8" s="8">
        <v>0</v>
      </c>
      <c r="G8" s="12">
        <v>2</v>
      </c>
      <c r="H8" s="8">
        <v>0.51</v>
      </c>
      <c r="I8" s="12">
        <v>0</v>
      </c>
    </row>
    <row r="9" spans="2:9" ht="15" customHeight="1" x14ac:dyDescent="0.2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50</v>
      </c>
      <c r="C10" s="12">
        <v>9</v>
      </c>
      <c r="D10" s="8">
        <v>0.95</v>
      </c>
      <c r="E10" s="12">
        <v>2</v>
      </c>
      <c r="F10" s="8">
        <v>0.36</v>
      </c>
      <c r="G10" s="12">
        <v>7</v>
      </c>
      <c r="H10" s="8">
        <v>1.77</v>
      </c>
      <c r="I10" s="12">
        <v>0</v>
      </c>
    </row>
    <row r="11" spans="2:9" ht="15" customHeight="1" x14ac:dyDescent="0.2">
      <c r="B11" t="s">
        <v>51</v>
      </c>
      <c r="C11" s="12">
        <v>257</v>
      </c>
      <c r="D11" s="8">
        <v>27</v>
      </c>
      <c r="E11" s="12">
        <v>149</v>
      </c>
      <c r="F11" s="8">
        <v>26.94</v>
      </c>
      <c r="G11" s="12">
        <v>108</v>
      </c>
      <c r="H11" s="8">
        <v>27.27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0.11</v>
      </c>
      <c r="E12" s="12">
        <v>0</v>
      </c>
      <c r="F12" s="8">
        <v>0</v>
      </c>
      <c r="G12" s="12">
        <v>1</v>
      </c>
      <c r="H12" s="8">
        <v>0.25</v>
      </c>
      <c r="I12" s="12">
        <v>0</v>
      </c>
    </row>
    <row r="13" spans="2:9" ht="15" customHeight="1" x14ac:dyDescent="0.2">
      <c r="B13" t="s">
        <v>53</v>
      </c>
      <c r="C13" s="12">
        <v>36</v>
      </c>
      <c r="D13" s="8">
        <v>3.78</v>
      </c>
      <c r="E13" s="12">
        <v>20</v>
      </c>
      <c r="F13" s="8">
        <v>3.62</v>
      </c>
      <c r="G13" s="12">
        <v>16</v>
      </c>
      <c r="H13" s="8">
        <v>4.04</v>
      </c>
      <c r="I13" s="12">
        <v>0</v>
      </c>
    </row>
    <row r="14" spans="2:9" ht="15" customHeight="1" x14ac:dyDescent="0.2">
      <c r="B14" t="s">
        <v>54</v>
      </c>
      <c r="C14" s="12">
        <v>26</v>
      </c>
      <c r="D14" s="8">
        <v>2.73</v>
      </c>
      <c r="E14" s="12">
        <v>16</v>
      </c>
      <c r="F14" s="8">
        <v>2.89</v>
      </c>
      <c r="G14" s="12">
        <v>10</v>
      </c>
      <c r="H14" s="8">
        <v>2.5299999999999998</v>
      </c>
      <c r="I14" s="12">
        <v>0</v>
      </c>
    </row>
    <row r="15" spans="2:9" ht="15" customHeight="1" x14ac:dyDescent="0.2">
      <c r="B15" t="s">
        <v>55</v>
      </c>
      <c r="C15" s="12">
        <v>63</v>
      </c>
      <c r="D15" s="8">
        <v>6.62</v>
      </c>
      <c r="E15" s="12">
        <v>51</v>
      </c>
      <c r="F15" s="8">
        <v>9.2200000000000006</v>
      </c>
      <c r="G15" s="12">
        <v>10</v>
      </c>
      <c r="H15" s="8">
        <v>2.5299999999999998</v>
      </c>
      <c r="I15" s="12">
        <v>0</v>
      </c>
    </row>
    <row r="16" spans="2:9" ht="15" customHeight="1" x14ac:dyDescent="0.2">
      <c r="B16" t="s">
        <v>56</v>
      </c>
      <c r="C16" s="12">
        <v>125</v>
      </c>
      <c r="D16" s="8">
        <v>13.13</v>
      </c>
      <c r="E16" s="12">
        <v>101</v>
      </c>
      <c r="F16" s="8">
        <v>18.260000000000002</v>
      </c>
      <c r="G16" s="12">
        <v>24</v>
      </c>
      <c r="H16" s="8">
        <v>6.06</v>
      </c>
      <c r="I16" s="12">
        <v>0</v>
      </c>
    </row>
    <row r="17" spans="2:9" ht="15" customHeight="1" x14ac:dyDescent="0.2">
      <c r="B17" t="s">
        <v>57</v>
      </c>
      <c r="C17" s="12">
        <v>18</v>
      </c>
      <c r="D17" s="8">
        <v>1.89</v>
      </c>
      <c r="E17" s="12">
        <v>11</v>
      </c>
      <c r="F17" s="8">
        <v>1.99</v>
      </c>
      <c r="G17" s="12">
        <v>7</v>
      </c>
      <c r="H17" s="8">
        <v>1.77</v>
      </c>
      <c r="I17" s="12">
        <v>0</v>
      </c>
    </row>
    <row r="18" spans="2:9" ht="15" customHeight="1" x14ac:dyDescent="0.2">
      <c r="B18" t="s">
        <v>58</v>
      </c>
      <c r="C18" s="12">
        <v>39</v>
      </c>
      <c r="D18" s="8">
        <v>4.0999999999999996</v>
      </c>
      <c r="E18" s="12">
        <v>26</v>
      </c>
      <c r="F18" s="8">
        <v>4.7</v>
      </c>
      <c r="G18" s="12">
        <v>13</v>
      </c>
      <c r="H18" s="8">
        <v>3.28</v>
      </c>
      <c r="I18" s="12">
        <v>0</v>
      </c>
    </row>
    <row r="19" spans="2:9" ht="15" customHeight="1" x14ac:dyDescent="0.2">
      <c r="B19" t="s">
        <v>59</v>
      </c>
      <c r="C19" s="12">
        <v>59</v>
      </c>
      <c r="D19" s="8">
        <v>6.2</v>
      </c>
      <c r="E19" s="12">
        <v>37</v>
      </c>
      <c r="F19" s="8">
        <v>6.69</v>
      </c>
      <c r="G19" s="12">
        <v>21</v>
      </c>
      <c r="H19" s="8">
        <v>5.3</v>
      </c>
      <c r="I19" s="12">
        <v>0</v>
      </c>
    </row>
    <row r="20" spans="2:9" ht="15" customHeight="1" x14ac:dyDescent="0.2">
      <c r="B20" s="9" t="s">
        <v>195</v>
      </c>
      <c r="C20" s="12">
        <f>SUM(LTBL_08229[総数／事業所数])</f>
        <v>952</v>
      </c>
      <c r="E20" s="12">
        <f>SUBTOTAL(109,LTBL_08229[個人／事業所数])</f>
        <v>553</v>
      </c>
      <c r="G20" s="12">
        <f>SUBTOTAL(109,LTBL_08229[法人／事業所数])</f>
        <v>396</v>
      </c>
      <c r="I20" s="12">
        <f>SUBTOTAL(109,LTBL_08229[法人以外の団体／事業所数])</f>
        <v>0</v>
      </c>
    </row>
    <row r="21" spans="2:9" ht="15" customHeight="1" x14ac:dyDescent="0.2">
      <c r="E21" s="11">
        <f>LTBL_08229[[#Totals],[個人／事業所数]]/LTBL_08229[[#Totals],[総数／事業所数]]</f>
        <v>0.58088235294117652</v>
      </c>
      <c r="G21" s="11">
        <f>LTBL_08229[[#Totals],[法人／事業所数]]/LTBL_08229[[#Totals],[総数／事業所数]]</f>
        <v>0.41596638655462187</v>
      </c>
      <c r="I21" s="11">
        <f>LTBL_08229[[#Totals],[法人以外の団体／事業所数]]/LTBL_08229[[#Totals],[総数／事業所数]]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101</v>
      </c>
      <c r="D24" s="8">
        <v>10.61</v>
      </c>
      <c r="E24" s="12">
        <v>90</v>
      </c>
      <c r="F24" s="8">
        <v>16.27</v>
      </c>
      <c r="G24" s="12">
        <v>11</v>
      </c>
      <c r="H24" s="8">
        <v>2.78</v>
      </c>
      <c r="I24" s="12">
        <v>0</v>
      </c>
    </row>
    <row r="25" spans="2:9" ht="15" customHeight="1" x14ac:dyDescent="0.2">
      <c r="B25" t="s">
        <v>68</v>
      </c>
      <c r="C25" s="12">
        <v>96</v>
      </c>
      <c r="D25" s="8">
        <v>10.08</v>
      </c>
      <c r="E25" s="12">
        <v>42</v>
      </c>
      <c r="F25" s="8">
        <v>7.59</v>
      </c>
      <c r="G25" s="12">
        <v>54</v>
      </c>
      <c r="H25" s="8">
        <v>13.64</v>
      </c>
      <c r="I25" s="12">
        <v>0</v>
      </c>
    </row>
    <row r="26" spans="2:9" ht="15" customHeight="1" x14ac:dyDescent="0.2">
      <c r="B26" t="s">
        <v>69</v>
      </c>
      <c r="C26" s="12">
        <v>80</v>
      </c>
      <c r="D26" s="8">
        <v>8.4</v>
      </c>
      <c r="E26" s="12">
        <v>51</v>
      </c>
      <c r="F26" s="8">
        <v>9.2200000000000006</v>
      </c>
      <c r="G26" s="12">
        <v>29</v>
      </c>
      <c r="H26" s="8">
        <v>7.32</v>
      </c>
      <c r="I26" s="12">
        <v>0</v>
      </c>
    </row>
    <row r="27" spans="2:9" ht="15" customHeight="1" x14ac:dyDescent="0.2">
      <c r="B27" t="s">
        <v>77</v>
      </c>
      <c r="C27" s="12">
        <v>77</v>
      </c>
      <c r="D27" s="8">
        <v>8.09</v>
      </c>
      <c r="E27" s="12">
        <v>51</v>
      </c>
      <c r="F27" s="8">
        <v>9.2200000000000006</v>
      </c>
      <c r="G27" s="12">
        <v>26</v>
      </c>
      <c r="H27" s="8">
        <v>6.57</v>
      </c>
      <c r="I27" s="12">
        <v>0</v>
      </c>
    </row>
    <row r="28" spans="2:9" ht="15" customHeight="1" x14ac:dyDescent="0.2">
      <c r="B28" t="s">
        <v>82</v>
      </c>
      <c r="C28" s="12">
        <v>53</v>
      </c>
      <c r="D28" s="8">
        <v>5.57</v>
      </c>
      <c r="E28" s="12">
        <v>50</v>
      </c>
      <c r="F28" s="8">
        <v>9.0399999999999991</v>
      </c>
      <c r="G28" s="12">
        <v>3</v>
      </c>
      <c r="H28" s="8">
        <v>0.76</v>
      </c>
      <c r="I28" s="12">
        <v>0</v>
      </c>
    </row>
    <row r="29" spans="2:9" ht="15" customHeight="1" x14ac:dyDescent="0.2">
      <c r="B29" t="s">
        <v>75</v>
      </c>
      <c r="C29" s="12">
        <v>51</v>
      </c>
      <c r="D29" s="8">
        <v>5.36</v>
      </c>
      <c r="E29" s="12">
        <v>42</v>
      </c>
      <c r="F29" s="8">
        <v>7.59</v>
      </c>
      <c r="G29" s="12">
        <v>9</v>
      </c>
      <c r="H29" s="8">
        <v>2.27</v>
      </c>
      <c r="I29" s="12">
        <v>0</v>
      </c>
    </row>
    <row r="30" spans="2:9" ht="15" customHeight="1" x14ac:dyDescent="0.2">
      <c r="B30" t="s">
        <v>76</v>
      </c>
      <c r="C30" s="12">
        <v>51</v>
      </c>
      <c r="D30" s="8">
        <v>5.36</v>
      </c>
      <c r="E30" s="12">
        <v>38</v>
      </c>
      <c r="F30" s="8">
        <v>6.87</v>
      </c>
      <c r="G30" s="12">
        <v>13</v>
      </c>
      <c r="H30" s="8">
        <v>3.28</v>
      </c>
      <c r="I30" s="12">
        <v>0</v>
      </c>
    </row>
    <row r="31" spans="2:9" ht="15" customHeight="1" x14ac:dyDescent="0.2">
      <c r="B31" t="s">
        <v>87</v>
      </c>
      <c r="C31" s="12">
        <v>35</v>
      </c>
      <c r="D31" s="8">
        <v>3.68</v>
      </c>
      <c r="E31" s="12">
        <v>31</v>
      </c>
      <c r="F31" s="8">
        <v>5.61</v>
      </c>
      <c r="G31" s="12">
        <v>4</v>
      </c>
      <c r="H31" s="8">
        <v>1.01</v>
      </c>
      <c r="I31" s="12">
        <v>0</v>
      </c>
    </row>
    <row r="32" spans="2:9" ht="15" customHeight="1" x14ac:dyDescent="0.2">
      <c r="B32" t="s">
        <v>70</v>
      </c>
      <c r="C32" s="12">
        <v>34</v>
      </c>
      <c r="D32" s="8">
        <v>3.57</v>
      </c>
      <c r="E32" s="12">
        <v>17</v>
      </c>
      <c r="F32" s="8">
        <v>3.07</v>
      </c>
      <c r="G32" s="12">
        <v>17</v>
      </c>
      <c r="H32" s="8">
        <v>4.29</v>
      </c>
      <c r="I32" s="12">
        <v>0</v>
      </c>
    </row>
    <row r="33" spans="2:9" ht="15" customHeight="1" x14ac:dyDescent="0.2">
      <c r="B33" t="s">
        <v>86</v>
      </c>
      <c r="C33" s="12">
        <v>32</v>
      </c>
      <c r="D33" s="8">
        <v>3.36</v>
      </c>
      <c r="E33" s="12">
        <v>26</v>
      </c>
      <c r="F33" s="8">
        <v>4.7</v>
      </c>
      <c r="G33" s="12">
        <v>6</v>
      </c>
      <c r="H33" s="8">
        <v>1.52</v>
      </c>
      <c r="I33" s="12">
        <v>0</v>
      </c>
    </row>
    <row r="34" spans="2:9" ht="15" customHeight="1" x14ac:dyDescent="0.2">
      <c r="B34" t="s">
        <v>74</v>
      </c>
      <c r="C34" s="12">
        <v>29</v>
      </c>
      <c r="D34" s="8">
        <v>3.05</v>
      </c>
      <c r="E34" s="12">
        <v>12</v>
      </c>
      <c r="F34" s="8">
        <v>2.17</v>
      </c>
      <c r="G34" s="12">
        <v>17</v>
      </c>
      <c r="H34" s="8">
        <v>4.29</v>
      </c>
      <c r="I34" s="12">
        <v>0</v>
      </c>
    </row>
    <row r="35" spans="2:9" ht="15" customHeight="1" x14ac:dyDescent="0.2">
      <c r="B35" t="s">
        <v>79</v>
      </c>
      <c r="C35" s="12">
        <v>24</v>
      </c>
      <c r="D35" s="8">
        <v>2.52</v>
      </c>
      <c r="E35" s="12">
        <v>16</v>
      </c>
      <c r="F35" s="8">
        <v>2.89</v>
      </c>
      <c r="G35" s="12">
        <v>8</v>
      </c>
      <c r="H35" s="8">
        <v>2.02</v>
      </c>
      <c r="I35" s="12">
        <v>0</v>
      </c>
    </row>
    <row r="36" spans="2:9" ht="15" customHeight="1" x14ac:dyDescent="0.2">
      <c r="B36" t="s">
        <v>85</v>
      </c>
      <c r="C36" s="12">
        <v>18</v>
      </c>
      <c r="D36" s="8">
        <v>1.89</v>
      </c>
      <c r="E36" s="12">
        <v>11</v>
      </c>
      <c r="F36" s="8">
        <v>1.99</v>
      </c>
      <c r="G36" s="12">
        <v>7</v>
      </c>
      <c r="H36" s="8">
        <v>1.77</v>
      </c>
      <c r="I36" s="12">
        <v>0</v>
      </c>
    </row>
    <row r="37" spans="2:9" ht="15" customHeight="1" x14ac:dyDescent="0.2">
      <c r="B37" t="s">
        <v>71</v>
      </c>
      <c r="C37" s="12">
        <v>17</v>
      </c>
      <c r="D37" s="8">
        <v>1.79</v>
      </c>
      <c r="E37" s="12">
        <v>4</v>
      </c>
      <c r="F37" s="8">
        <v>0.72</v>
      </c>
      <c r="G37" s="12">
        <v>13</v>
      </c>
      <c r="H37" s="8">
        <v>3.28</v>
      </c>
      <c r="I37" s="12">
        <v>0</v>
      </c>
    </row>
    <row r="38" spans="2:9" ht="15" customHeight="1" x14ac:dyDescent="0.2">
      <c r="B38" t="s">
        <v>91</v>
      </c>
      <c r="C38" s="12">
        <v>15</v>
      </c>
      <c r="D38" s="8">
        <v>1.58</v>
      </c>
      <c r="E38" s="12">
        <v>6</v>
      </c>
      <c r="F38" s="8">
        <v>1.08</v>
      </c>
      <c r="G38" s="12">
        <v>9</v>
      </c>
      <c r="H38" s="8">
        <v>2.27</v>
      </c>
      <c r="I38" s="12">
        <v>0</v>
      </c>
    </row>
    <row r="39" spans="2:9" ht="15" customHeight="1" x14ac:dyDescent="0.2">
      <c r="B39" t="s">
        <v>81</v>
      </c>
      <c r="C39" s="12">
        <v>15</v>
      </c>
      <c r="D39" s="8">
        <v>1.58</v>
      </c>
      <c r="E39" s="12">
        <v>7</v>
      </c>
      <c r="F39" s="8">
        <v>1.27</v>
      </c>
      <c r="G39" s="12">
        <v>8</v>
      </c>
      <c r="H39" s="8">
        <v>2.02</v>
      </c>
      <c r="I39" s="12">
        <v>0</v>
      </c>
    </row>
    <row r="40" spans="2:9" ht="15" customHeight="1" x14ac:dyDescent="0.2">
      <c r="B40" t="s">
        <v>72</v>
      </c>
      <c r="C40" s="12">
        <v>13</v>
      </c>
      <c r="D40" s="8">
        <v>1.37</v>
      </c>
      <c r="E40" s="12">
        <v>1</v>
      </c>
      <c r="F40" s="8">
        <v>0.18</v>
      </c>
      <c r="G40" s="12">
        <v>12</v>
      </c>
      <c r="H40" s="8">
        <v>3.03</v>
      </c>
      <c r="I40" s="12">
        <v>0</v>
      </c>
    </row>
    <row r="41" spans="2:9" ht="15" customHeight="1" x14ac:dyDescent="0.2">
      <c r="B41" t="s">
        <v>84</v>
      </c>
      <c r="C41" s="12">
        <v>13</v>
      </c>
      <c r="D41" s="8">
        <v>1.37</v>
      </c>
      <c r="E41" s="12">
        <v>5</v>
      </c>
      <c r="F41" s="8">
        <v>0.9</v>
      </c>
      <c r="G41" s="12">
        <v>8</v>
      </c>
      <c r="H41" s="8">
        <v>2.02</v>
      </c>
      <c r="I41" s="12">
        <v>0</v>
      </c>
    </row>
    <row r="42" spans="2:9" ht="15" customHeight="1" x14ac:dyDescent="0.2">
      <c r="B42" t="s">
        <v>93</v>
      </c>
      <c r="C42" s="12">
        <v>12</v>
      </c>
      <c r="D42" s="8">
        <v>1.26</v>
      </c>
      <c r="E42" s="12">
        <v>3</v>
      </c>
      <c r="F42" s="8">
        <v>0.54</v>
      </c>
      <c r="G42" s="12">
        <v>9</v>
      </c>
      <c r="H42" s="8">
        <v>2.27</v>
      </c>
      <c r="I42" s="12">
        <v>0</v>
      </c>
    </row>
    <row r="43" spans="2:9" ht="15" customHeight="1" x14ac:dyDescent="0.2">
      <c r="B43" t="s">
        <v>97</v>
      </c>
      <c r="C43" s="12">
        <v>11</v>
      </c>
      <c r="D43" s="8">
        <v>1.1599999999999999</v>
      </c>
      <c r="E43" s="12">
        <v>6</v>
      </c>
      <c r="F43" s="8">
        <v>1.08</v>
      </c>
      <c r="G43" s="12">
        <v>5</v>
      </c>
      <c r="H43" s="8">
        <v>1.26</v>
      </c>
      <c r="I43" s="12">
        <v>0</v>
      </c>
    </row>
    <row r="44" spans="2:9" ht="15" customHeight="1" x14ac:dyDescent="0.2">
      <c r="B44" t="s">
        <v>100</v>
      </c>
      <c r="C44" s="12">
        <v>11</v>
      </c>
      <c r="D44" s="8">
        <v>1.1599999999999999</v>
      </c>
      <c r="E44" s="12">
        <v>6</v>
      </c>
      <c r="F44" s="8">
        <v>1.08</v>
      </c>
      <c r="G44" s="12">
        <v>5</v>
      </c>
      <c r="H44" s="8">
        <v>1.26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133</v>
      </c>
      <c r="C48" s="12">
        <v>50</v>
      </c>
      <c r="D48" s="8">
        <v>5.25</v>
      </c>
      <c r="E48" s="12">
        <v>46</v>
      </c>
      <c r="F48" s="8">
        <v>8.32</v>
      </c>
      <c r="G48" s="12">
        <v>4</v>
      </c>
      <c r="H48" s="8">
        <v>1.01</v>
      </c>
      <c r="I48" s="12">
        <v>0</v>
      </c>
    </row>
    <row r="49" spans="2:9" ht="15" customHeight="1" x14ac:dyDescent="0.2">
      <c r="B49" t="s">
        <v>134</v>
      </c>
      <c r="C49" s="12">
        <v>40</v>
      </c>
      <c r="D49" s="8">
        <v>4.2</v>
      </c>
      <c r="E49" s="12">
        <v>39</v>
      </c>
      <c r="F49" s="8">
        <v>7.05</v>
      </c>
      <c r="G49" s="12">
        <v>1</v>
      </c>
      <c r="H49" s="8">
        <v>0.25</v>
      </c>
      <c r="I49" s="12">
        <v>0</v>
      </c>
    </row>
    <row r="50" spans="2:9" ht="15" customHeight="1" x14ac:dyDescent="0.2">
      <c r="B50" t="s">
        <v>120</v>
      </c>
      <c r="C50" s="12">
        <v>37</v>
      </c>
      <c r="D50" s="8">
        <v>3.89</v>
      </c>
      <c r="E50" s="12">
        <v>29</v>
      </c>
      <c r="F50" s="8">
        <v>5.24</v>
      </c>
      <c r="G50" s="12">
        <v>8</v>
      </c>
      <c r="H50" s="8">
        <v>2.02</v>
      </c>
      <c r="I50" s="12">
        <v>0</v>
      </c>
    </row>
    <row r="51" spans="2:9" ht="15" customHeight="1" x14ac:dyDescent="0.2">
      <c r="B51" t="s">
        <v>124</v>
      </c>
      <c r="C51" s="12">
        <v>36</v>
      </c>
      <c r="D51" s="8">
        <v>3.78</v>
      </c>
      <c r="E51" s="12">
        <v>27</v>
      </c>
      <c r="F51" s="8">
        <v>4.88</v>
      </c>
      <c r="G51" s="12">
        <v>9</v>
      </c>
      <c r="H51" s="8">
        <v>2.27</v>
      </c>
      <c r="I51" s="12">
        <v>0</v>
      </c>
    </row>
    <row r="52" spans="2:9" ht="15" customHeight="1" x14ac:dyDescent="0.2">
      <c r="B52" t="s">
        <v>137</v>
      </c>
      <c r="C52" s="12">
        <v>35</v>
      </c>
      <c r="D52" s="8">
        <v>3.68</v>
      </c>
      <c r="E52" s="12">
        <v>31</v>
      </c>
      <c r="F52" s="8">
        <v>5.61</v>
      </c>
      <c r="G52" s="12">
        <v>4</v>
      </c>
      <c r="H52" s="8">
        <v>1.01</v>
      </c>
      <c r="I52" s="12">
        <v>0</v>
      </c>
    </row>
    <row r="53" spans="2:9" ht="15" customHeight="1" x14ac:dyDescent="0.2">
      <c r="B53" t="s">
        <v>118</v>
      </c>
      <c r="C53" s="12">
        <v>30</v>
      </c>
      <c r="D53" s="8">
        <v>3.15</v>
      </c>
      <c r="E53" s="12">
        <v>3</v>
      </c>
      <c r="F53" s="8">
        <v>0.54</v>
      </c>
      <c r="G53" s="12">
        <v>27</v>
      </c>
      <c r="H53" s="8">
        <v>6.82</v>
      </c>
      <c r="I53" s="12">
        <v>0</v>
      </c>
    </row>
    <row r="54" spans="2:9" ht="15" customHeight="1" x14ac:dyDescent="0.2">
      <c r="B54" t="s">
        <v>127</v>
      </c>
      <c r="C54" s="12">
        <v>19</v>
      </c>
      <c r="D54" s="8">
        <v>2</v>
      </c>
      <c r="E54" s="12">
        <v>12</v>
      </c>
      <c r="F54" s="8">
        <v>2.17</v>
      </c>
      <c r="G54" s="12">
        <v>7</v>
      </c>
      <c r="H54" s="8">
        <v>1.77</v>
      </c>
      <c r="I54" s="12">
        <v>0</v>
      </c>
    </row>
    <row r="55" spans="2:9" ht="15" customHeight="1" x14ac:dyDescent="0.2">
      <c r="B55" t="s">
        <v>129</v>
      </c>
      <c r="C55" s="12">
        <v>19</v>
      </c>
      <c r="D55" s="8">
        <v>2</v>
      </c>
      <c r="E55" s="12">
        <v>15</v>
      </c>
      <c r="F55" s="8">
        <v>2.71</v>
      </c>
      <c r="G55" s="12">
        <v>4</v>
      </c>
      <c r="H55" s="8">
        <v>1.01</v>
      </c>
      <c r="I55" s="12">
        <v>0</v>
      </c>
    </row>
    <row r="56" spans="2:9" ht="15" customHeight="1" x14ac:dyDescent="0.2">
      <c r="B56" t="s">
        <v>145</v>
      </c>
      <c r="C56" s="12">
        <v>18</v>
      </c>
      <c r="D56" s="8">
        <v>1.89</v>
      </c>
      <c r="E56" s="12">
        <v>12</v>
      </c>
      <c r="F56" s="8">
        <v>2.17</v>
      </c>
      <c r="G56" s="12">
        <v>6</v>
      </c>
      <c r="H56" s="8">
        <v>1.52</v>
      </c>
      <c r="I56" s="12">
        <v>0</v>
      </c>
    </row>
    <row r="57" spans="2:9" ht="15" customHeight="1" x14ac:dyDescent="0.2">
      <c r="B57" t="s">
        <v>121</v>
      </c>
      <c r="C57" s="12">
        <v>18</v>
      </c>
      <c r="D57" s="8">
        <v>1.89</v>
      </c>
      <c r="E57" s="12">
        <v>8</v>
      </c>
      <c r="F57" s="8">
        <v>1.45</v>
      </c>
      <c r="G57" s="12">
        <v>10</v>
      </c>
      <c r="H57" s="8">
        <v>2.5299999999999998</v>
      </c>
      <c r="I57" s="12">
        <v>0</v>
      </c>
    </row>
    <row r="58" spans="2:9" ht="15" customHeight="1" x14ac:dyDescent="0.2">
      <c r="B58" t="s">
        <v>123</v>
      </c>
      <c r="C58" s="12">
        <v>18</v>
      </c>
      <c r="D58" s="8">
        <v>1.89</v>
      </c>
      <c r="E58" s="12">
        <v>15</v>
      </c>
      <c r="F58" s="8">
        <v>2.71</v>
      </c>
      <c r="G58" s="12">
        <v>3</v>
      </c>
      <c r="H58" s="8">
        <v>0.76</v>
      </c>
      <c r="I58" s="12">
        <v>0</v>
      </c>
    </row>
    <row r="59" spans="2:9" ht="15" customHeight="1" x14ac:dyDescent="0.2">
      <c r="B59" t="s">
        <v>153</v>
      </c>
      <c r="C59" s="12">
        <v>17</v>
      </c>
      <c r="D59" s="8">
        <v>1.79</v>
      </c>
      <c r="E59" s="12">
        <v>8</v>
      </c>
      <c r="F59" s="8">
        <v>1.45</v>
      </c>
      <c r="G59" s="12">
        <v>9</v>
      </c>
      <c r="H59" s="8">
        <v>2.27</v>
      </c>
      <c r="I59" s="12">
        <v>0</v>
      </c>
    </row>
    <row r="60" spans="2:9" ht="15" customHeight="1" x14ac:dyDescent="0.2">
      <c r="B60" t="s">
        <v>131</v>
      </c>
      <c r="C60" s="12">
        <v>17</v>
      </c>
      <c r="D60" s="8">
        <v>1.79</v>
      </c>
      <c r="E60" s="12">
        <v>16</v>
      </c>
      <c r="F60" s="8">
        <v>2.89</v>
      </c>
      <c r="G60" s="12">
        <v>1</v>
      </c>
      <c r="H60" s="8">
        <v>0.25</v>
      </c>
      <c r="I60" s="12">
        <v>0</v>
      </c>
    </row>
    <row r="61" spans="2:9" ht="15" customHeight="1" x14ac:dyDescent="0.2">
      <c r="B61" t="s">
        <v>119</v>
      </c>
      <c r="C61" s="12">
        <v>16</v>
      </c>
      <c r="D61" s="8">
        <v>1.68</v>
      </c>
      <c r="E61" s="12">
        <v>7</v>
      </c>
      <c r="F61" s="8">
        <v>1.27</v>
      </c>
      <c r="G61" s="12">
        <v>9</v>
      </c>
      <c r="H61" s="8">
        <v>2.27</v>
      </c>
      <c r="I61" s="12">
        <v>0</v>
      </c>
    </row>
    <row r="62" spans="2:9" ht="15" customHeight="1" x14ac:dyDescent="0.2">
      <c r="B62" t="s">
        <v>136</v>
      </c>
      <c r="C62" s="12">
        <v>15</v>
      </c>
      <c r="D62" s="8">
        <v>1.58</v>
      </c>
      <c r="E62" s="12">
        <v>13</v>
      </c>
      <c r="F62" s="8">
        <v>2.35</v>
      </c>
      <c r="G62" s="12">
        <v>2</v>
      </c>
      <c r="H62" s="8">
        <v>0.51</v>
      </c>
      <c r="I62" s="12">
        <v>0</v>
      </c>
    </row>
    <row r="63" spans="2:9" ht="15" customHeight="1" x14ac:dyDescent="0.2">
      <c r="B63" t="s">
        <v>169</v>
      </c>
      <c r="C63" s="12">
        <v>14</v>
      </c>
      <c r="D63" s="8">
        <v>1.47</v>
      </c>
      <c r="E63" s="12">
        <v>13</v>
      </c>
      <c r="F63" s="8">
        <v>2.35</v>
      </c>
      <c r="G63" s="12">
        <v>1</v>
      </c>
      <c r="H63" s="8">
        <v>0.25</v>
      </c>
      <c r="I63" s="12">
        <v>0</v>
      </c>
    </row>
    <row r="64" spans="2:9" ht="15" customHeight="1" x14ac:dyDescent="0.2">
      <c r="B64" t="s">
        <v>154</v>
      </c>
      <c r="C64" s="12">
        <v>14</v>
      </c>
      <c r="D64" s="8">
        <v>1.47</v>
      </c>
      <c r="E64" s="12">
        <v>3</v>
      </c>
      <c r="F64" s="8">
        <v>0.54</v>
      </c>
      <c r="G64" s="12">
        <v>11</v>
      </c>
      <c r="H64" s="8">
        <v>2.78</v>
      </c>
      <c r="I64" s="12">
        <v>0</v>
      </c>
    </row>
    <row r="65" spans="2:9" ht="15" customHeight="1" x14ac:dyDescent="0.2">
      <c r="B65" t="s">
        <v>126</v>
      </c>
      <c r="C65" s="12">
        <v>13</v>
      </c>
      <c r="D65" s="8">
        <v>1.37</v>
      </c>
      <c r="E65" s="12">
        <v>9</v>
      </c>
      <c r="F65" s="8">
        <v>1.63</v>
      </c>
      <c r="G65" s="12">
        <v>4</v>
      </c>
      <c r="H65" s="8">
        <v>1.01</v>
      </c>
      <c r="I65" s="12">
        <v>0</v>
      </c>
    </row>
    <row r="66" spans="2:9" ht="15" customHeight="1" x14ac:dyDescent="0.2">
      <c r="B66" t="s">
        <v>170</v>
      </c>
      <c r="C66" s="12">
        <v>12</v>
      </c>
      <c r="D66" s="8">
        <v>1.26</v>
      </c>
      <c r="E66" s="12">
        <v>12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152</v>
      </c>
      <c r="C67" s="12">
        <v>12</v>
      </c>
      <c r="D67" s="8">
        <v>1.26</v>
      </c>
      <c r="E67" s="12">
        <v>10</v>
      </c>
      <c r="F67" s="8">
        <v>1.81</v>
      </c>
      <c r="G67" s="12">
        <v>2</v>
      </c>
      <c r="H67" s="8">
        <v>0.51</v>
      </c>
      <c r="I67" s="12">
        <v>0</v>
      </c>
    </row>
    <row r="68" spans="2:9" ht="15" customHeight="1" x14ac:dyDescent="0.2">
      <c r="B68" t="s">
        <v>132</v>
      </c>
      <c r="C68" s="12">
        <v>12</v>
      </c>
      <c r="D68" s="8">
        <v>1.26</v>
      </c>
      <c r="E68" s="12">
        <v>12</v>
      </c>
      <c r="F68" s="8">
        <v>2.17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836F-747C-4A30-8456-98E8FC176611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199</v>
      </c>
      <c r="D6" s="8">
        <v>23.8</v>
      </c>
      <c r="E6" s="12">
        <v>83</v>
      </c>
      <c r="F6" s="8">
        <v>17.850000000000001</v>
      </c>
      <c r="G6" s="12">
        <v>116</v>
      </c>
      <c r="H6" s="8">
        <v>31.78</v>
      </c>
      <c r="I6" s="12">
        <v>0</v>
      </c>
    </row>
    <row r="7" spans="2:9" ht="15" customHeight="1" x14ac:dyDescent="0.2">
      <c r="B7" t="s">
        <v>47</v>
      </c>
      <c r="C7" s="12">
        <v>69</v>
      </c>
      <c r="D7" s="8">
        <v>8.25</v>
      </c>
      <c r="E7" s="12">
        <v>27</v>
      </c>
      <c r="F7" s="8">
        <v>5.81</v>
      </c>
      <c r="G7" s="12">
        <v>42</v>
      </c>
      <c r="H7" s="8">
        <v>11.51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0.36</v>
      </c>
      <c r="E8" s="12">
        <v>0</v>
      </c>
      <c r="F8" s="8">
        <v>0</v>
      </c>
      <c r="G8" s="12">
        <v>3</v>
      </c>
      <c r="H8" s="8">
        <v>0.82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0.36</v>
      </c>
      <c r="E9" s="12">
        <v>1</v>
      </c>
      <c r="F9" s="8">
        <v>0.22</v>
      </c>
      <c r="G9" s="12">
        <v>2</v>
      </c>
      <c r="H9" s="8">
        <v>0.55000000000000004</v>
      </c>
      <c r="I9" s="12">
        <v>0</v>
      </c>
    </row>
    <row r="10" spans="2:9" ht="15" customHeight="1" x14ac:dyDescent="0.2">
      <c r="B10" t="s">
        <v>50</v>
      </c>
      <c r="C10" s="12">
        <v>11</v>
      </c>
      <c r="D10" s="8">
        <v>1.32</v>
      </c>
      <c r="E10" s="12">
        <v>0</v>
      </c>
      <c r="F10" s="8">
        <v>0</v>
      </c>
      <c r="G10" s="12">
        <v>10</v>
      </c>
      <c r="H10" s="8">
        <v>2.74</v>
      </c>
      <c r="I10" s="12">
        <v>1</v>
      </c>
    </row>
    <row r="11" spans="2:9" ht="15" customHeight="1" x14ac:dyDescent="0.2">
      <c r="B11" t="s">
        <v>51</v>
      </c>
      <c r="C11" s="12">
        <v>154</v>
      </c>
      <c r="D11" s="8">
        <v>18.420000000000002</v>
      </c>
      <c r="E11" s="12">
        <v>85</v>
      </c>
      <c r="F11" s="8">
        <v>18.28</v>
      </c>
      <c r="G11" s="12">
        <v>68</v>
      </c>
      <c r="H11" s="8">
        <v>18.63</v>
      </c>
      <c r="I11" s="12">
        <v>1</v>
      </c>
    </row>
    <row r="12" spans="2:9" ht="15" customHeight="1" x14ac:dyDescent="0.2">
      <c r="B12" t="s">
        <v>52</v>
      </c>
      <c r="C12" s="12">
        <v>2</v>
      </c>
      <c r="D12" s="8">
        <v>0.24</v>
      </c>
      <c r="E12" s="12">
        <v>0</v>
      </c>
      <c r="F12" s="8">
        <v>0</v>
      </c>
      <c r="G12" s="12">
        <v>2</v>
      </c>
      <c r="H12" s="8">
        <v>0.55000000000000004</v>
      </c>
      <c r="I12" s="12">
        <v>0</v>
      </c>
    </row>
    <row r="13" spans="2:9" ht="15" customHeight="1" x14ac:dyDescent="0.2">
      <c r="B13" t="s">
        <v>53</v>
      </c>
      <c r="C13" s="12">
        <v>108</v>
      </c>
      <c r="D13" s="8">
        <v>12.92</v>
      </c>
      <c r="E13" s="12">
        <v>72</v>
      </c>
      <c r="F13" s="8">
        <v>15.48</v>
      </c>
      <c r="G13" s="12">
        <v>36</v>
      </c>
      <c r="H13" s="8">
        <v>9.86</v>
      </c>
      <c r="I13" s="12">
        <v>0</v>
      </c>
    </row>
    <row r="14" spans="2:9" ht="15" customHeight="1" x14ac:dyDescent="0.2">
      <c r="B14" t="s">
        <v>54</v>
      </c>
      <c r="C14" s="12">
        <v>22</v>
      </c>
      <c r="D14" s="8">
        <v>2.63</v>
      </c>
      <c r="E14" s="12">
        <v>12</v>
      </c>
      <c r="F14" s="8">
        <v>2.58</v>
      </c>
      <c r="G14" s="12">
        <v>10</v>
      </c>
      <c r="H14" s="8">
        <v>2.74</v>
      </c>
      <c r="I14" s="12">
        <v>0</v>
      </c>
    </row>
    <row r="15" spans="2:9" ht="15" customHeight="1" x14ac:dyDescent="0.2">
      <c r="B15" t="s">
        <v>55</v>
      </c>
      <c r="C15" s="12">
        <v>57</v>
      </c>
      <c r="D15" s="8">
        <v>6.82</v>
      </c>
      <c r="E15" s="12">
        <v>44</v>
      </c>
      <c r="F15" s="8">
        <v>9.4600000000000009</v>
      </c>
      <c r="G15" s="12">
        <v>13</v>
      </c>
      <c r="H15" s="8">
        <v>3.56</v>
      </c>
      <c r="I15" s="12">
        <v>0</v>
      </c>
    </row>
    <row r="16" spans="2:9" ht="15" customHeight="1" x14ac:dyDescent="0.2">
      <c r="B16" t="s">
        <v>56</v>
      </c>
      <c r="C16" s="12">
        <v>95</v>
      </c>
      <c r="D16" s="8">
        <v>11.36</v>
      </c>
      <c r="E16" s="12">
        <v>82</v>
      </c>
      <c r="F16" s="8">
        <v>17.63</v>
      </c>
      <c r="G16" s="12">
        <v>13</v>
      </c>
      <c r="H16" s="8">
        <v>3.56</v>
      </c>
      <c r="I16" s="12">
        <v>0</v>
      </c>
    </row>
    <row r="17" spans="2:9" ht="15" customHeight="1" x14ac:dyDescent="0.2">
      <c r="B17" t="s">
        <v>57</v>
      </c>
      <c r="C17" s="12">
        <v>18</v>
      </c>
      <c r="D17" s="8">
        <v>2.15</v>
      </c>
      <c r="E17" s="12">
        <v>11</v>
      </c>
      <c r="F17" s="8">
        <v>2.37</v>
      </c>
      <c r="G17" s="12">
        <v>5</v>
      </c>
      <c r="H17" s="8">
        <v>1.37</v>
      </c>
      <c r="I17" s="12">
        <v>0</v>
      </c>
    </row>
    <row r="18" spans="2:9" ht="15" customHeight="1" x14ac:dyDescent="0.2">
      <c r="B18" t="s">
        <v>58</v>
      </c>
      <c r="C18" s="12">
        <v>34</v>
      </c>
      <c r="D18" s="8">
        <v>4.07</v>
      </c>
      <c r="E18" s="12">
        <v>14</v>
      </c>
      <c r="F18" s="8">
        <v>3.01</v>
      </c>
      <c r="G18" s="12">
        <v>19</v>
      </c>
      <c r="H18" s="8">
        <v>5.21</v>
      </c>
      <c r="I18" s="12">
        <v>0</v>
      </c>
    </row>
    <row r="19" spans="2:9" ht="15" customHeight="1" x14ac:dyDescent="0.2">
      <c r="B19" t="s">
        <v>59</v>
      </c>
      <c r="C19" s="12">
        <v>61</v>
      </c>
      <c r="D19" s="8">
        <v>7.3</v>
      </c>
      <c r="E19" s="12">
        <v>34</v>
      </c>
      <c r="F19" s="8">
        <v>7.31</v>
      </c>
      <c r="G19" s="12">
        <v>26</v>
      </c>
      <c r="H19" s="8">
        <v>7.12</v>
      </c>
      <c r="I19" s="12">
        <v>0</v>
      </c>
    </row>
    <row r="20" spans="2:9" ht="15" customHeight="1" x14ac:dyDescent="0.2">
      <c r="B20" s="9" t="s">
        <v>195</v>
      </c>
      <c r="C20" s="12">
        <f>SUM(LTBL_08230[総数／事業所数])</f>
        <v>836</v>
      </c>
      <c r="E20" s="12">
        <f>SUBTOTAL(109,LTBL_08230[個人／事業所数])</f>
        <v>465</v>
      </c>
      <c r="G20" s="12">
        <f>SUBTOTAL(109,LTBL_08230[法人／事業所数])</f>
        <v>365</v>
      </c>
      <c r="I20" s="12">
        <f>SUBTOTAL(109,LTBL_08230[法人以外の団体／事業所数])</f>
        <v>2</v>
      </c>
    </row>
    <row r="21" spans="2:9" ht="15" customHeight="1" x14ac:dyDescent="0.2">
      <c r="E21" s="11">
        <f>LTBL_08230[[#Totals],[個人／事業所数]]/LTBL_08230[[#Totals],[総数／事業所数]]</f>
        <v>0.55622009569377995</v>
      </c>
      <c r="G21" s="11">
        <f>LTBL_08230[[#Totals],[法人／事業所数]]/LTBL_08230[[#Totals],[総数／事業所数]]</f>
        <v>0.4366028708133971</v>
      </c>
      <c r="I21" s="11">
        <f>LTBL_08230[[#Totals],[法人以外の団体／事業所数]]/LTBL_08230[[#Totals],[総数／事業所数]]</f>
        <v>2.3923444976076554E-3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79</v>
      </c>
      <c r="C24" s="12">
        <v>95</v>
      </c>
      <c r="D24" s="8">
        <v>11.36</v>
      </c>
      <c r="E24" s="12">
        <v>71</v>
      </c>
      <c r="F24" s="8">
        <v>15.27</v>
      </c>
      <c r="G24" s="12">
        <v>24</v>
      </c>
      <c r="H24" s="8">
        <v>6.58</v>
      </c>
      <c r="I24" s="12">
        <v>0</v>
      </c>
    </row>
    <row r="25" spans="2:9" ht="15" customHeight="1" x14ac:dyDescent="0.2">
      <c r="B25" t="s">
        <v>83</v>
      </c>
      <c r="C25" s="12">
        <v>86</v>
      </c>
      <c r="D25" s="8">
        <v>10.29</v>
      </c>
      <c r="E25" s="12">
        <v>79</v>
      </c>
      <c r="F25" s="8">
        <v>16.989999999999998</v>
      </c>
      <c r="G25" s="12">
        <v>7</v>
      </c>
      <c r="H25" s="8">
        <v>1.92</v>
      </c>
      <c r="I25" s="12">
        <v>0</v>
      </c>
    </row>
    <row r="26" spans="2:9" ht="15" customHeight="1" x14ac:dyDescent="0.2">
      <c r="B26" t="s">
        <v>68</v>
      </c>
      <c r="C26" s="12">
        <v>85</v>
      </c>
      <c r="D26" s="8">
        <v>10.17</v>
      </c>
      <c r="E26" s="12">
        <v>24</v>
      </c>
      <c r="F26" s="8">
        <v>5.16</v>
      </c>
      <c r="G26" s="12">
        <v>61</v>
      </c>
      <c r="H26" s="8">
        <v>16.71</v>
      </c>
      <c r="I26" s="12">
        <v>0</v>
      </c>
    </row>
    <row r="27" spans="2:9" ht="15" customHeight="1" x14ac:dyDescent="0.2">
      <c r="B27" t="s">
        <v>69</v>
      </c>
      <c r="C27" s="12">
        <v>60</v>
      </c>
      <c r="D27" s="8">
        <v>7.18</v>
      </c>
      <c r="E27" s="12">
        <v>38</v>
      </c>
      <c r="F27" s="8">
        <v>8.17</v>
      </c>
      <c r="G27" s="12">
        <v>22</v>
      </c>
      <c r="H27" s="8">
        <v>6.03</v>
      </c>
      <c r="I27" s="12">
        <v>0</v>
      </c>
    </row>
    <row r="28" spans="2:9" ht="15" customHeight="1" x14ac:dyDescent="0.2">
      <c r="B28" t="s">
        <v>70</v>
      </c>
      <c r="C28" s="12">
        <v>54</v>
      </c>
      <c r="D28" s="8">
        <v>6.46</v>
      </c>
      <c r="E28" s="12">
        <v>21</v>
      </c>
      <c r="F28" s="8">
        <v>4.5199999999999996</v>
      </c>
      <c r="G28" s="12">
        <v>33</v>
      </c>
      <c r="H28" s="8">
        <v>9.0399999999999991</v>
      </c>
      <c r="I28" s="12">
        <v>0</v>
      </c>
    </row>
    <row r="29" spans="2:9" ht="15" customHeight="1" x14ac:dyDescent="0.2">
      <c r="B29" t="s">
        <v>82</v>
      </c>
      <c r="C29" s="12">
        <v>43</v>
      </c>
      <c r="D29" s="8">
        <v>5.14</v>
      </c>
      <c r="E29" s="12">
        <v>41</v>
      </c>
      <c r="F29" s="8">
        <v>8.82</v>
      </c>
      <c r="G29" s="12">
        <v>2</v>
      </c>
      <c r="H29" s="8">
        <v>0.55000000000000004</v>
      </c>
      <c r="I29" s="12">
        <v>0</v>
      </c>
    </row>
    <row r="30" spans="2:9" ht="15" customHeight="1" x14ac:dyDescent="0.2">
      <c r="B30" t="s">
        <v>87</v>
      </c>
      <c r="C30" s="12">
        <v>37</v>
      </c>
      <c r="D30" s="8">
        <v>4.43</v>
      </c>
      <c r="E30" s="12">
        <v>30</v>
      </c>
      <c r="F30" s="8">
        <v>6.45</v>
      </c>
      <c r="G30" s="12">
        <v>7</v>
      </c>
      <c r="H30" s="8">
        <v>1.92</v>
      </c>
      <c r="I30" s="12">
        <v>0</v>
      </c>
    </row>
    <row r="31" spans="2:9" ht="15" customHeight="1" x14ac:dyDescent="0.2">
      <c r="B31" t="s">
        <v>76</v>
      </c>
      <c r="C31" s="12">
        <v>36</v>
      </c>
      <c r="D31" s="8">
        <v>4.3099999999999996</v>
      </c>
      <c r="E31" s="12">
        <v>23</v>
      </c>
      <c r="F31" s="8">
        <v>4.95</v>
      </c>
      <c r="G31" s="12">
        <v>13</v>
      </c>
      <c r="H31" s="8">
        <v>3.56</v>
      </c>
      <c r="I31" s="12">
        <v>0</v>
      </c>
    </row>
    <row r="32" spans="2:9" ht="15" customHeight="1" x14ac:dyDescent="0.2">
      <c r="B32" t="s">
        <v>77</v>
      </c>
      <c r="C32" s="12">
        <v>36</v>
      </c>
      <c r="D32" s="8">
        <v>4.3099999999999996</v>
      </c>
      <c r="E32" s="12">
        <v>19</v>
      </c>
      <c r="F32" s="8">
        <v>4.09</v>
      </c>
      <c r="G32" s="12">
        <v>17</v>
      </c>
      <c r="H32" s="8">
        <v>4.66</v>
      </c>
      <c r="I32" s="12">
        <v>0</v>
      </c>
    </row>
    <row r="33" spans="2:9" ht="15" customHeight="1" x14ac:dyDescent="0.2">
      <c r="B33" t="s">
        <v>75</v>
      </c>
      <c r="C33" s="12">
        <v>34</v>
      </c>
      <c r="D33" s="8">
        <v>4.07</v>
      </c>
      <c r="E33" s="12">
        <v>28</v>
      </c>
      <c r="F33" s="8">
        <v>6.02</v>
      </c>
      <c r="G33" s="12">
        <v>5</v>
      </c>
      <c r="H33" s="8">
        <v>1.37</v>
      </c>
      <c r="I33" s="12">
        <v>1</v>
      </c>
    </row>
    <row r="34" spans="2:9" ht="15" customHeight="1" x14ac:dyDescent="0.2">
      <c r="B34" t="s">
        <v>96</v>
      </c>
      <c r="C34" s="12">
        <v>19</v>
      </c>
      <c r="D34" s="8">
        <v>2.27</v>
      </c>
      <c r="E34" s="12">
        <v>0</v>
      </c>
      <c r="F34" s="8">
        <v>0</v>
      </c>
      <c r="G34" s="12">
        <v>18</v>
      </c>
      <c r="H34" s="8">
        <v>4.93</v>
      </c>
      <c r="I34" s="12">
        <v>0</v>
      </c>
    </row>
    <row r="35" spans="2:9" ht="15" customHeight="1" x14ac:dyDescent="0.2">
      <c r="B35" t="s">
        <v>85</v>
      </c>
      <c r="C35" s="12">
        <v>18</v>
      </c>
      <c r="D35" s="8">
        <v>2.15</v>
      </c>
      <c r="E35" s="12">
        <v>11</v>
      </c>
      <c r="F35" s="8">
        <v>2.37</v>
      </c>
      <c r="G35" s="12">
        <v>5</v>
      </c>
      <c r="H35" s="8">
        <v>1.37</v>
      </c>
      <c r="I35" s="12">
        <v>0</v>
      </c>
    </row>
    <row r="36" spans="2:9" ht="15" customHeight="1" x14ac:dyDescent="0.2">
      <c r="B36" t="s">
        <v>86</v>
      </c>
      <c r="C36" s="12">
        <v>15</v>
      </c>
      <c r="D36" s="8">
        <v>1.79</v>
      </c>
      <c r="E36" s="12">
        <v>14</v>
      </c>
      <c r="F36" s="8">
        <v>3.01</v>
      </c>
      <c r="G36" s="12">
        <v>1</v>
      </c>
      <c r="H36" s="8">
        <v>0.27</v>
      </c>
      <c r="I36" s="12">
        <v>0</v>
      </c>
    </row>
    <row r="37" spans="2:9" ht="15" customHeight="1" x14ac:dyDescent="0.2">
      <c r="B37" t="s">
        <v>71</v>
      </c>
      <c r="C37" s="12">
        <v>14</v>
      </c>
      <c r="D37" s="8">
        <v>1.67</v>
      </c>
      <c r="E37" s="12">
        <v>2</v>
      </c>
      <c r="F37" s="8">
        <v>0.43</v>
      </c>
      <c r="G37" s="12">
        <v>12</v>
      </c>
      <c r="H37" s="8">
        <v>3.29</v>
      </c>
      <c r="I37" s="12">
        <v>0</v>
      </c>
    </row>
    <row r="38" spans="2:9" ht="15" customHeight="1" x14ac:dyDescent="0.2">
      <c r="B38" t="s">
        <v>72</v>
      </c>
      <c r="C38" s="12">
        <v>13</v>
      </c>
      <c r="D38" s="8">
        <v>1.56</v>
      </c>
      <c r="E38" s="12">
        <v>2</v>
      </c>
      <c r="F38" s="8">
        <v>0.43</v>
      </c>
      <c r="G38" s="12">
        <v>11</v>
      </c>
      <c r="H38" s="8">
        <v>3.01</v>
      </c>
      <c r="I38" s="12">
        <v>0</v>
      </c>
    </row>
    <row r="39" spans="2:9" ht="15" customHeight="1" x14ac:dyDescent="0.2">
      <c r="B39" t="s">
        <v>93</v>
      </c>
      <c r="C39" s="12">
        <v>12</v>
      </c>
      <c r="D39" s="8">
        <v>1.44</v>
      </c>
      <c r="E39" s="12">
        <v>3</v>
      </c>
      <c r="F39" s="8">
        <v>0.65</v>
      </c>
      <c r="G39" s="12">
        <v>9</v>
      </c>
      <c r="H39" s="8">
        <v>2.4700000000000002</v>
      </c>
      <c r="I39" s="12">
        <v>0</v>
      </c>
    </row>
    <row r="40" spans="2:9" ht="15" customHeight="1" x14ac:dyDescent="0.2">
      <c r="B40" t="s">
        <v>80</v>
      </c>
      <c r="C40" s="12">
        <v>11</v>
      </c>
      <c r="D40" s="8">
        <v>1.32</v>
      </c>
      <c r="E40" s="12">
        <v>7</v>
      </c>
      <c r="F40" s="8">
        <v>1.51</v>
      </c>
      <c r="G40" s="12">
        <v>4</v>
      </c>
      <c r="H40" s="8">
        <v>1.1000000000000001</v>
      </c>
      <c r="I40" s="12">
        <v>0</v>
      </c>
    </row>
    <row r="41" spans="2:9" ht="15" customHeight="1" x14ac:dyDescent="0.2">
      <c r="B41" t="s">
        <v>105</v>
      </c>
      <c r="C41" s="12">
        <v>11</v>
      </c>
      <c r="D41" s="8">
        <v>1.32</v>
      </c>
      <c r="E41" s="12">
        <v>2</v>
      </c>
      <c r="F41" s="8">
        <v>0.43</v>
      </c>
      <c r="G41" s="12">
        <v>9</v>
      </c>
      <c r="H41" s="8">
        <v>2.4700000000000002</v>
      </c>
      <c r="I41" s="12">
        <v>0</v>
      </c>
    </row>
    <row r="42" spans="2:9" ht="15" customHeight="1" x14ac:dyDescent="0.2">
      <c r="B42" t="s">
        <v>78</v>
      </c>
      <c r="C42" s="12">
        <v>10</v>
      </c>
      <c r="D42" s="8">
        <v>1.2</v>
      </c>
      <c r="E42" s="12">
        <v>1</v>
      </c>
      <c r="F42" s="8">
        <v>0.22</v>
      </c>
      <c r="G42" s="12">
        <v>9</v>
      </c>
      <c r="H42" s="8">
        <v>2.4700000000000002</v>
      </c>
      <c r="I42" s="12">
        <v>0</v>
      </c>
    </row>
    <row r="43" spans="2:9" ht="15" customHeight="1" x14ac:dyDescent="0.2">
      <c r="B43" t="s">
        <v>97</v>
      </c>
      <c r="C43" s="12">
        <v>9</v>
      </c>
      <c r="D43" s="8">
        <v>1.08</v>
      </c>
      <c r="E43" s="12">
        <v>5</v>
      </c>
      <c r="F43" s="8">
        <v>1.08</v>
      </c>
      <c r="G43" s="12">
        <v>4</v>
      </c>
      <c r="H43" s="8">
        <v>1.1000000000000001</v>
      </c>
      <c r="I43" s="12">
        <v>0</v>
      </c>
    </row>
    <row r="44" spans="2:9" ht="15" customHeight="1" x14ac:dyDescent="0.2">
      <c r="B44" t="s">
        <v>81</v>
      </c>
      <c r="C44" s="12">
        <v>9</v>
      </c>
      <c r="D44" s="8">
        <v>1.08</v>
      </c>
      <c r="E44" s="12">
        <v>5</v>
      </c>
      <c r="F44" s="8">
        <v>1.08</v>
      </c>
      <c r="G44" s="12">
        <v>4</v>
      </c>
      <c r="H44" s="8">
        <v>1.1000000000000001</v>
      </c>
      <c r="I44" s="12">
        <v>0</v>
      </c>
    </row>
    <row r="45" spans="2:9" ht="15" customHeight="1" x14ac:dyDescent="0.2">
      <c r="B45" t="s">
        <v>106</v>
      </c>
      <c r="C45" s="12">
        <v>9</v>
      </c>
      <c r="D45" s="8">
        <v>1.08</v>
      </c>
      <c r="E45" s="12">
        <v>3</v>
      </c>
      <c r="F45" s="8">
        <v>0.65</v>
      </c>
      <c r="G45" s="12">
        <v>6</v>
      </c>
      <c r="H45" s="8">
        <v>1.64</v>
      </c>
      <c r="I45" s="12">
        <v>0</v>
      </c>
    </row>
    <row r="46" spans="2:9" ht="15" customHeight="1" x14ac:dyDescent="0.2">
      <c r="B46" t="s">
        <v>89</v>
      </c>
      <c r="C46" s="12">
        <v>9</v>
      </c>
      <c r="D46" s="8">
        <v>1.08</v>
      </c>
      <c r="E46" s="12">
        <v>0</v>
      </c>
      <c r="F46" s="8">
        <v>0</v>
      </c>
      <c r="G46" s="12">
        <v>9</v>
      </c>
      <c r="H46" s="8">
        <v>2.4700000000000002</v>
      </c>
      <c r="I46" s="12">
        <v>0</v>
      </c>
    </row>
    <row r="49" spans="2:9" ht="33" customHeight="1" x14ac:dyDescent="0.2">
      <c r="B49" t="s">
        <v>197</v>
      </c>
      <c r="C49" s="10" t="s">
        <v>61</v>
      </c>
      <c r="D49" s="10" t="s">
        <v>62</v>
      </c>
      <c r="E49" s="10" t="s">
        <v>63</v>
      </c>
      <c r="F49" s="10" t="s">
        <v>64</v>
      </c>
      <c r="G49" s="10" t="s">
        <v>65</v>
      </c>
      <c r="H49" s="10" t="s">
        <v>66</v>
      </c>
      <c r="I49" s="10" t="s">
        <v>67</v>
      </c>
    </row>
    <row r="50" spans="2:9" ht="15" customHeight="1" x14ac:dyDescent="0.2">
      <c r="B50" t="s">
        <v>129</v>
      </c>
      <c r="C50" s="12">
        <v>71</v>
      </c>
      <c r="D50" s="8">
        <v>8.49</v>
      </c>
      <c r="E50" s="12">
        <v>62</v>
      </c>
      <c r="F50" s="8">
        <v>13.33</v>
      </c>
      <c r="G50" s="12">
        <v>9</v>
      </c>
      <c r="H50" s="8">
        <v>2.4700000000000002</v>
      </c>
      <c r="I50" s="12">
        <v>0</v>
      </c>
    </row>
    <row r="51" spans="2:9" ht="15" customHeight="1" x14ac:dyDescent="0.2">
      <c r="B51" t="s">
        <v>133</v>
      </c>
      <c r="C51" s="12">
        <v>46</v>
      </c>
      <c r="D51" s="8">
        <v>5.5</v>
      </c>
      <c r="E51" s="12">
        <v>46</v>
      </c>
      <c r="F51" s="8">
        <v>9.89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118</v>
      </c>
      <c r="C52" s="12">
        <v>40</v>
      </c>
      <c r="D52" s="8">
        <v>4.78</v>
      </c>
      <c r="E52" s="12">
        <v>6</v>
      </c>
      <c r="F52" s="8">
        <v>1.29</v>
      </c>
      <c r="G52" s="12">
        <v>34</v>
      </c>
      <c r="H52" s="8">
        <v>9.32</v>
      </c>
      <c r="I52" s="12">
        <v>0</v>
      </c>
    </row>
    <row r="53" spans="2:9" ht="15" customHeight="1" x14ac:dyDescent="0.2">
      <c r="B53" t="s">
        <v>137</v>
      </c>
      <c r="C53" s="12">
        <v>37</v>
      </c>
      <c r="D53" s="8">
        <v>4.43</v>
      </c>
      <c r="E53" s="12">
        <v>30</v>
      </c>
      <c r="F53" s="8">
        <v>6.45</v>
      </c>
      <c r="G53" s="12">
        <v>7</v>
      </c>
      <c r="H53" s="8">
        <v>1.92</v>
      </c>
      <c r="I53" s="12">
        <v>0</v>
      </c>
    </row>
    <row r="54" spans="2:9" ht="15" customHeight="1" x14ac:dyDescent="0.2">
      <c r="B54" t="s">
        <v>134</v>
      </c>
      <c r="C54" s="12">
        <v>31</v>
      </c>
      <c r="D54" s="8">
        <v>3.71</v>
      </c>
      <c r="E54" s="12">
        <v>29</v>
      </c>
      <c r="F54" s="8">
        <v>6.24</v>
      </c>
      <c r="G54" s="12">
        <v>2</v>
      </c>
      <c r="H54" s="8">
        <v>0.55000000000000004</v>
      </c>
      <c r="I54" s="12">
        <v>0</v>
      </c>
    </row>
    <row r="55" spans="2:9" ht="15" customHeight="1" x14ac:dyDescent="0.2">
      <c r="B55" t="s">
        <v>124</v>
      </c>
      <c r="C55" s="12">
        <v>30</v>
      </c>
      <c r="D55" s="8">
        <v>3.59</v>
      </c>
      <c r="E55" s="12">
        <v>18</v>
      </c>
      <c r="F55" s="8">
        <v>3.87</v>
      </c>
      <c r="G55" s="12">
        <v>12</v>
      </c>
      <c r="H55" s="8">
        <v>3.29</v>
      </c>
      <c r="I55" s="12">
        <v>0</v>
      </c>
    </row>
    <row r="56" spans="2:9" ht="15" customHeight="1" x14ac:dyDescent="0.2">
      <c r="B56" t="s">
        <v>121</v>
      </c>
      <c r="C56" s="12">
        <v>27</v>
      </c>
      <c r="D56" s="8">
        <v>3.23</v>
      </c>
      <c r="E56" s="12">
        <v>13</v>
      </c>
      <c r="F56" s="8">
        <v>2.8</v>
      </c>
      <c r="G56" s="12">
        <v>14</v>
      </c>
      <c r="H56" s="8">
        <v>3.84</v>
      </c>
      <c r="I56" s="12">
        <v>0</v>
      </c>
    </row>
    <row r="57" spans="2:9" ht="15" customHeight="1" x14ac:dyDescent="0.2">
      <c r="B57" t="s">
        <v>120</v>
      </c>
      <c r="C57" s="12">
        <v>21</v>
      </c>
      <c r="D57" s="8">
        <v>2.5099999999999998</v>
      </c>
      <c r="E57" s="12">
        <v>15</v>
      </c>
      <c r="F57" s="8">
        <v>3.23</v>
      </c>
      <c r="G57" s="12">
        <v>6</v>
      </c>
      <c r="H57" s="8">
        <v>1.64</v>
      </c>
      <c r="I57" s="12">
        <v>0</v>
      </c>
    </row>
    <row r="58" spans="2:9" ht="15" customHeight="1" x14ac:dyDescent="0.2">
      <c r="B58" t="s">
        <v>145</v>
      </c>
      <c r="C58" s="12">
        <v>20</v>
      </c>
      <c r="D58" s="8">
        <v>2.39</v>
      </c>
      <c r="E58" s="12">
        <v>16</v>
      </c>
      <c r="F58" s="8">
        <v>3.44</v>
      </c>
      <c r="G58" s="12">
        <v>4</v>
      </c>
      <c r="H58" s="8">
        <v>1.1000000000000001</v>
      </c>
      <c r="I58" s="12">
        <v>0</v>
      </c>
    </row>
    <row r="59" spans="2:9" ht="15" customHeight="1" x14ac:dyDescent="0.2">
      <c r="B59" t="s">
        <v>128</v>
      </c>
      <c r="C59" s="12">
        <v>20</v>
      </c>
      <c r="D59" s="8">
        <v>2.39</v>
      </c>
      <c r="E59" s="12">
        <v>8</v>
      </c>
      <c r="F59" s="8">
        <v>1.72</v>
      </c>
      <c r="G59" s="12">
        <v>12</v>
      </c>
      <c r="H59" s="8">
        <v>3.29</v>
      </c>
      <c r="I59" s="12">
        <v>0</v>
      </c>
    </row>
    <row r="60" spans="2:9" ht="15" customHeight="1" x14ac:dyDescent="0.2">
      <c r="B60" t="s">
        <v>132</v>
      </c>
      <c r="C60" s="12">
        <v>20</v>
      </c>
      <c r="D60" s="8">
        <v>2.39</v>
      </c>
      <c r="E60" s="12">
        <v>20</v>
      </c>
      <c r="F60" s="8">
        <v>4.3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122</v>
      </c>
      <c r="C61" s="12">
        <v>18</v>
      </c>
      <c r="D61" s="8">
        <v>2.15</v>
      </c>
      <c r="E61" s="12">
        <v>7</v>
      </c>
      <c r="F61" s="8">
        <v>1.51</v>
      </c>
      <c r="G61" s="12">
        <v>11</v>
      </c>
      <c r="H61" s="8">
        <v>3.01</v>
      </c>
      <c r="I61" s="12">
        <v>0</v>
      </c>
    </row>
    <row r="62" spans="2:9" ht="15" customHeight="1" x14ac:dyDescent="0.2">
      <c r="B62" t="s">
        <v>172</v>
      </c>
      <c r="C62" s="12">
        <v>15</v>
      </c>
      <c r="D62" s="8">
        <v>1.79</v>
      </c>
      <c r="E62" s="12">
        <v>0</v>
      </c>
      <c r="F62" s="8">
        <v>0</v>
      </c>
      <c r="G62" s="12">
        <v>14</v>
      </c>
      <c r="H62" s="8">
        <v>3.84</v>
      </c>
      <c r="I62" s="12">
        <v>0</v>
      </c>
    </row>
    <row r="63" spans="2:9" ht="15" customHeight="1" x14ac:dyDescent="0.2">
      <c r="B63" t="s">
        <v>119</v>
      </c>
      <c r="C63" s="12">
        <v>14</v>
      </c>
      <c r="D63" s="8">
        <v>1.67</v>
      </c>
      <c r="E63" s="12">
        <v>3</v>
      </c>
      <c r="F63" s="8">
        <v>0.65</v>
      </c>
      <c r="G63" s="12">
        <v>11</v>
      </c>
      <c r="H63" s="8">
        <v>3.01</v>
      </c>
      <c r="I63" s="12">
        <v>0</v>
      </c>
    </row>
    <row r="64" spans="2:9" ht="15" customHeight="1" x14ac:dyDescent="0.2">
      <c r="B64" t="s">
        <v>123</v>
      </c>
      <c r="C64" s="12">
        <v>14</v>
      </c>
      <c r="D64" s="8">
        <v>1.67</v>
      </c>
      <c r="E64" s="12">
        <v>13</v>
      </c>
      <c r="F64" s="8">
        <v>2.8</v>
      </c>
      <c r="G64" s="12">
        <v>1</v>
      </c>
      <c r="H64" s="8">
        <v>0.27</v>
      </c>
      <c r="I64" s="12">
        <v>0</v>
      </c>
    </row>
    <row r="65" spans="2:9" ht="15" customHeight="1" x14ac:dyDescent="0.2">
      <c r="B65" t="s">
        <v>146</v>
      </c>
      <c r="C65" s="12">
        <v>13</v>
      </c>
      <c r="D65" s="8">
        <v>1.56</v>
      </c>
      <c r="E65" s="12">
        <v>5</v>
      </c>
      <c r="F65" s="8">
        <v>1.08</v>
      </c>
      <c r="G65" s="12">
        <v>8</v>
      </c>
      <c r="H65" s="8">
        <v>2.19</v>
      </c>
      <c r="I65" s="12">
        <v>0</v>
      </c>
    </row>
    <row r="66" spans="2:9" ht="15" customHeight="1" x14ac:dyDescent="0.2">
      <c r="B66" t="s">
        <v>126</v>
      </c>
      <c r="C66" s="12">
        <v>11</v>
      </c>
      <c r="D66" s="8">
        <v>1.32</v>
      </c>
      <c r="E66" s="12">
        <v>4</v>
      </c>
      <c r="F66" s="8">
        <v>0.86</v>
      </c>
      <c r="G66" s="12">
        <v>7</v>
      </c>
      <c r="H66" s="8">
        <v>1.92</v>
      </c>
      <c r="I66" s="12">
        <v>0</v>
      </c>
    </row>
    <row r="67" spans="2:9" ht="15" customHeight="1" x14ac:dyDescent="0.2">
      <c r="B67" t="s">
        <v>131</v>
      </c>
      <c r="C67" s="12">
        <v>11</v>
      </c>
      <c r="D67" s="8">
        <v>1.32</v>
      </c>
      <c r="E67" s="12">
        <v>11</v>
      </c>
      <c r="F67" s="8">
        <v>2.37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135</v>
      </c>
      <c r="C68" s="12">
        <v>11</v>
      </c>
      <c r="D68" s="8">
        <v>1.32</v>
      </c>
      <c r="E68" s="12">
        <v>7</v>
      </c>
      <c r="F68" s="8">
        <v>1.51</v>
      </c>
      <c r="G68" s="12">
        <v>4</v>
      </c>
      <c r="H68" s="8">
        <v>1.1000000000000001</v>
      </c>
      <c r="I68" s="12">
        <v>0</v>
      </c>
    </row>
    <row r="69" spans="2:9" ht="15" customHeight="1" x14ac:dyDescent="0.2">
      <c r="B69" t="s">
        <v>152</v>
      </c>
      <c r="C69" s="12">
        <v>10</v>
      </c>
      <c r="D69" s="8">
        <v>1.2</v>
      </c>
      <c r="E69" s="12">
        <v>9</v>
      </c>
      <c r="F69" s="8">
        <v>1.94</v>
      </c>
      <c r="G69" s="12">
        <v>1</v>
      </c>
      <c r="H69" s="8">
        <v>0.27</v>
      </c>
      <c r="I69" s="12">
        <v>0</v>
      </c>
    </row>
    <row r="70" spans="2:9" ht="15" customHeight="1" x14ac:dyDescent="0.2">
      <c r="B70" t="s">
        <v>171</v>
      </c>
      <c r="C70" s="12">
        <v>10</v>
      </c>
      <c r="D70" s="8">
        <v>1.2</v>
      </c>
      <c r="E70" s="12">
        <v>1</v>
      </c>
      <c r="F70" s="8">
        <v>0.22</v>
      </c>
      <c r="G70" s="12">
        <v>9</v>
      </c>
      <c r="H70" s="8">
        <v>2.4700000000000002</v>
      </c>
      <c r="I70" s="12">
        <v>0</v>
      </c>
    </row>
    <row r="72" spans="2:9" ht="15" customHeight="1" x14ac:dyDescent="0.2">
      <c r="B72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03E5B-D664-4293-A4D4-3F7AEC723EF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0.08</v>
      </c>
      <c r="E5" s="12">
        <v>1</v>
      </c>
      <c r="F5" s="8">
        <v>0.13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235</v>
      </c>
      <c r="D6" s="8">
        <v>18.190000000000001</v>
      </c>
      <c r="E6" s="12">
        <v>125</v>
      </c>
      <c r="F6" s="8">
        <v>16.13</v>
      </c>
      <c r="G6" s="12">
        <v>110</v>
      </c>
      <c r="H6" s="8">
        <v>21.65</v>
      </c>
      <c r="I6" s="12">
        <v>0</v>
      </c>
    </row>
    <row r="7" spans="2:9" ht="15" customHeight="1" x14ac:dyDescent="0.2">
      <c r="B7" t="s">
        <v>47</v>
      </c>
      <c r="C7" s="12">
        <v>337</v>
      </c>
      <c r="D7" s="8">
        <v>26.08</v>
      </c>
      <c r="E7" s="12">
        <v>162</v>
      </c>
      <c r="F7" s="8">
        <v>20.9</v>
      </c>
      <c r="G7" s="12">
        <v>175</v>
      </c>
      <c r="H7" s="8">
        <v>34.450000000000003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0.23</v>
      </c>
      <c r="E8" s="12">
        <v>0</v>
      </c>
      <c r="F8" s="8">
        <v>0</v>
      </c>
      <c r="G8" s="12">
        <v>3</v>
      </c>
      <c r="H8" s="8">
        <v>0.59</v>
      </c>
      <c r="I8" s="12">
        <v>0</v>
      </c>
    </row>
    <row r="9" spans="2:9" ht="15" customHeight="1" x14ac:dyDescent="0.2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50</v>
      </c>
      <c r="C10" s="12">
        <v>9</v>
      </c>
      <c r="D10" s="8">
        <v>0.7</v>
      </c>
      <c r="E10" s="12">
        <v>1</v>
      </c>
      <c r="F10" s="8">
        <v>0.13</v>
      </c>
      <c r="G10" s="12">
        <v>8</v>
      </c>
      <c r="H10" s="8">
        <v>1.57</v>
      </c>
      <c r="I10" s="12">
        <v>0</v>
      </c>
    </row>
    <row r="11" spans="2:9" ht="15" customHeight="1" x14ac:dyDescent="0.2">
      <c r="B11" t="s">
        <v>51</v>
      </c>
      <c r="C11" s="12">
        <v>315</v>
      </c>
      <c r="D11" s="8">
        <v>24.38</v>
      </c>
      <c r="E11" s="12">
        <v>186</v>
      </c>
      <c r="F11" s="8">
        <v>24</v>
      </c>
      <c r="G11" s="12">
        <v>129</v>
      </c>
      <c r="H11" s="8">
        <v>25.39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0.08</v>
      </c>
      <c r="E12" s="12">
        <v>1</v>
      </c>
      <c r="F12" s="8">
        <v>0.13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53</v>
      </c>
      <c r="C13" s="12">
        <v>30</v>
      </c>
      <c r="D13" s="8">
        <v>2.3199999999999998</v>
      </c>
      <c r="E13" s="12">
        <v>10</v>
      </c>
      <c r="F13" s="8">
        <v>1.29</v>
      </c>
      <c r="G13" s="12">
        <v>20</v>
      </c>
      <c r="H13" s="8">
        <v>3.94</v>
      </c>
      <c r="I13" s="12">
        <v>0</v>
      </c>
    </row>
    <row r="14" spans="2:9" ht="15" customHeight="1" x14ac:dyDescent="0.2">
      <c r="B14" t="s">
        <v>54</v>
      </c>
      <c r="C14" s="12">
        <v>42</v>
      </c>
      <c r="D14" s="8">
        <v>3.25</v>
      </c>
      <c r="E14" s="12">
        <v>25</v>
      </c>
      <c r="F14" s="8">
        <v>3.23</v>
      </c>
      <c r="G14" s="12">
        <v>16</v>
      </c>
      <c r="H14" s="8">
        <v>3.15</v>
      </c>
      <c r="I14" s="12">
        <v>0</v>
      </c>
    </row>
    <row r="15" spans="2:9" ht="15" customHeight="1" x14ac:dyDescent="0.2">
      <c r="B15" t="s">
        <v>55</v>
      </c>
      <c r="C15" s="12">
        <v>85</v>
      </c>
      <c r="D15" s="8">
        <v>6.58</v>
      </c>
      <c r="E15" s="12">
        <v>79</v>
      </c>
      <c r="F15" s="8">
        <v>10.19</v>
      </c>
      <c r="G15" s="12">
        <v>5</v>
      </c>
      <c r="H15" s="8">
        <v>0.98</v>
      </c>
      <c r="I15" s="12">
        <v>0</v>
      </c>
    </row>
    <row r="16" spans="2:9" ht="15" customHeight="1" x14ac:dyDescent="0.2">
      <c r="B16" t="s">
        <v>56</v>
      </c>
      <c r="C16" s="12">
        <v>124</v>
      </c>
      <c r="D16" s="8">
        <v>9.6</v>
      </c>
      <c r="E16" s="12">
        <v>112</v>
      </c>
      <c r="F16" s="8">
        <v>14.45</v>
      </c>
      <c r="G16" s="12">
        <v>12</v>
      </c>
      <c r="H16" s="8">
        <v>2.36</v>
      </c>
      <c r="I16" s="12">
        <v>0</v>
      </c>
    </row>
    <row r="17" spans="2:9" ht="15" customHeight="1" x14ac:dyDescent="0.2">
      <c r="B17" t="s">
        <v>57</v>
      </c>
      <c r="C17" s="12">
        <v>15</v>
      </c>
      <c r="D17" s="8">
        <v>1.1599999999999999</v>
      </c>
      <c r="E17" s="12">
        <v>11</v>
      </c>
      <c r="F17" s="8">
        <v>1.42</v>
      </c>
      <c r="G17" s="12">
        <v>4</v>
      </c>
      <c r="H17" s="8">
        <v>0.79</v>
      </c>
      <c r="I17" s="12">
        <v>0</v>
      </c>
    </row>
    <row r="18" spans="2:9" ht="15" customHeight="1" x14ac:dyDescent="0.2">
      <c r="B18" t="s">
        <v>58</v>
      </c>
      <c r="C18" s="12">
        <v>41</v>
      </c>
      <c r="D18" s="8">
        <v>3.17</v>
      </c>
      <c r="E18" s="12">
        <v>26</v>
      </c>
      <c r="F18" s="8">
        <v>3.35</v>
      </c>
      <c r="G18" s="12">
        <v>9</v>
      </c>
      <c r="H18" s="8">
        <v>1.77</v>
      </c>
      <c r="I18" s="12">
        <v>0</v>
      </c>
    </row>
    <row r="19" spans="2:9" ht="15" customHeight="1" x14ac:dyDescent="0.2">
      <c r="B19" t="s">
        <v>59</v>
      </c>
      <c r="C19" s="12">
        <v>54</v>
      </c>
      <c r="D19" s="8">
        <v>4.18</v>
      </c>
      <c r="E19" s="12">
        <v>36</v>
      </c>
      <c r="F19" s="8">
        <v>4.6500000000000004</v>
      </c>
      <c r="G19" s="12">
        <v>17</v>
      </c>
      <c r="H19" s="8">
        <v>3.35</v>
      </c>
      <c r="I19" s="12">
        <v>0</v>
      </c>
    </row>
    <row r="20" spans="2:9" ht="15" customHeight="1" x14ac:dyDescent="0.2">
      <c r="B20" s="9" t="s">
        <v>195</v>
      </c>
      <c r="C20" s="12">
        <f>SUM(LTBL_08231[総数／事業所数])</f>
        <v>1292</v>
      </c>
      <c r="E20" s="12">
        <f>SUBTOTAL(109,LTBL_08231[個人／事業所数])</f>
        <v>775</v>
      </c>
      <c r="G20" s="12">
        <f>SUBTOTAL(109,LTBL_08231[法人／事業所数])</f>
        <v>508</v>
      </c>
      <c r="I20" s="12">
        <f>SUBTOTAL(109,LTBL_08231[法人以外の団体／事業所数])</f>
        <v>0</v>
      </c>
    </row>
    <row r="21" spans="2:9" ht="15" customHeight="1" x14ac:dyDescent="0.2">
      <c r="E21" s="11">
        <f>LTBL_08231[[#Totals],[個人／事業所数]]/LTBL_08231[[#Totals],[総数／事業所数]]</f>
        <v>0.59984520123839014</v>
      </c>
      <c r="G21" s="11">
        <f>LTBL_08231[[#Totals],[法人／事業所数]]/LTBL_08231[[#Totals],[総数／事業所数]]</f>
        <v>0.39318885448916407</v>
      </c>
      <c r="I21" s="11">
        <f>LTBL_08231[[#Totals],[法人以外の団体／事業所数]]/LTBL_08231[[#Totals],[総数／事業所数]]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95</v>
      </c>
      <c r="C24" s="12">
        <v>238</v>
      </c>
      <c r="D24" s="8">
        <v>18.420000000000002</v>
      </c>
      <c r="E24" s="12">
        <v>118</v>
      </c>
      <c r="F24" s="8">
        <v>15.23</v>
      </c>
      <c r="G24" s="12">
        <v>120</v>
      </c>
      <c r="H24" s="8">
        <v>23.62</v>
      </c>
      <c r="I24" s="12">
        <v>0</v>
      </c>
    </row>
    <row r="25" spans="2:9" ht="15" customHeight="1" x14ac:dyDescent="0.2">
      <c r="B25" t="s">
        <v>77</v>
      </c>
      <c r="C25" s="12">
        <v>122</v>
      </c>
      <c r="D25" s="8">
        <v>9.44</v>
      </c>
      <c r="E25" s="12">
        <v>72</v>
      </c>
      <c r="F25" s="8">
        <v>9.2899999999999991</v>
      </c>
      <c r="G25" s="12">
        <v>50</v>
      </c>
      <c r="H25" s="8">
        <v>9.84</v>
      </c>
      <c r="I25" s="12">
        <v>0</v>
      </c>
    </row>
    <row r="26" spans="2:9" ht="15" customHeight="1" x14ac:dyDescent="0.2">
      <c r="B26" t="s">
        <v>83</v>
      </c>
      <c r="C26" s="12">
        <v>114</v>
      </c>
      <c r="D26" s="8">
        <v>8.82</v>
      </c>
      <c r="E26" s="12">
        <v>104</v>
      </c>
      <c r="F26" s="8">
        <v>13.42</v>
      </c>
      <c r="G26" s="12">
        <v>10</v>
      </c>
      <c r="H26" s="8">
        <v>1.97</v>
      </c>
      <c r="I26" s="12">
        <v>0</v>
      </c>
    </row>
    <row r="27" spans="2:9" ht="15" customHeight="1" x14ac:dyDescent="0.2">
      <c r="B27" t="s">
        <v>68</v>
      </c>
      <c r="C27" s="12">
        <v>99</v>
      </c>
      <c r="D27" s="8">
        <v>7.66</v>
      </c>
      <c r="E27" s="12">
        <v>48</v>
      </c>
      <c r="F27" s="8">
        <v>6.19</v>
      </c>
      <c r="G27" s="12">
        <v>51</v>
      </c>
      <c r="H27" s="8">
        <v>10.039999999999999</v>
      </c>
      <c r="I27" s="12">
        <v>0</v>
      </c>
    </row>
    <row r="28" spans="2:9" ht="15" customHeight="1" x14ac:dyDescent="0.2">
      <c r="B28" t="s">
        <v>69</v>
      </c>
      <c r="C28" s="12">
        <v>95</v>
      </c>
      <c r="D28" s="8">
        <v>7.35</v>
      </c>
      <c r="E28" s="12">
        <v>59</v>
      </c>
      <c r="F28" s="8">
        <v>7.61</v>
      </c>
      <c r="G28" s="12">
        <v>36</v>
      </c>
      <c r="H28" s="8">
        <v>7.09</v>
      </c>
      <c r="I28" s="12">
        <v>0</v>
      </c>
    </row>
    <row r="29" spans="2:9" ht="15" customHeight="1" x14ac:dyDescent="0.2">
      <c r="B29" t="s">
        <v>82</v>
      </c>
      <c r="C29" s="12">
        <v>78</v>
      </c>
      <c r="D29" s="8">
        <v>6.04</v>
      </c>
      <c r="E29" s="12">
        <v>73</v>
      </c>
      <c r="F29" s="8">
        <v>9.42</v>
      </c>
      <c r="G29" s="12">
        <v>5</v>
      </c>
      <c r="H29" s="8">
        <v>0.98</v>
      </c>
      <c r="I29" s="12">
        <v>0</v>
      </c>
    </row>
    <row r="30" spans="2:9" ht="15" customHeight="1" x14ac:dyDescent="0.2">
      <c r="B30" t="s">
        <v>75</v>
      </c>
      <c r="C30" s="12">
        <v>61</v>
      </c>
      <c r="D30" s="8">
        <v>4.72</v>
      </c>
      <c r="E30" s="12">
        <v>56</v>
      </c>
      <c r="F30" s="8">
        <v>7.23</v>
      </c>
      <c r="G30" s="12">
        <v>5</v>
      </c>
      <c r="H30" s="8">
        <v>0.98</v>
      </c>
      <c r="I30" s="12">
        <v>0</v>
      </c>
    </row>
    <row r="31" spans="2:9" ht="15" customHeight="1" x14ac:dyDescent="0.2">
      <c r="B31" t="s">
        <v>70</v>
      </c>
      <c r="C31" s="12">
        <v>41</v>
      </c>
      <c r="D31" s="8">
        <v>3.17</v>
      </c>
      <c r="E31" s="12">
        <v>18</v>
      </c>
      <c r="F31" s="8">
        <v>2.3199999999999998</v>
      </c>
      <c r="G31" s="12">
        <v>23</v>
      </c>
      <c r="H31" s="8">
        <v>4.53</v>
      </c>
      <c r="I31" s="12">
        <v>0</v>
      </c>
    </row>
    <row r="32" spans="2:9" ht="15" customHeight="1" x14ac:dyDescent="0.2">
      <c r="B32" t="s">
        <v>87</v>
      </c>
      <c r="C32" s="12">
        <v>40</v>
      </c>
      <c r="D32" s="8">
        <v>3.1</v>
      </c>
      <c r="E32" s="12">
        <v>33</v>
      </c>
      <c r="F32" s="8">
        <v>4.26</v>
      </c>
      <c r="G32" s="12">
        <v>7</v>
      </c>
      <c r="H32" s="8">
        <v>1.38</v>
      </c>
      <c r="I32" s="12">
        <v>0</v>
      </c>
    </row>
    <row r="33" spans="2:9" ht="15" customHeight="1" x14ac:dyDescent="0.2">
      <c r="B33" t="s">
        <v>76</v>
      </c>
      <c r="C33" s="12">
        <v>38</v>
      </c>
      <c r="D33" s="8">
        <v>2.94</v>
      </c>
      <c r="E33" s="12">
        <v>24</v>
      </c>
      <c r="F33" s="8">
        <v>3.1</v>
      </c>
      <c r="G33" s="12">
        <v>14</v>
      </c>
      <c r="H33" s="8">
        <v>2.76</v>
      </c>
      <c r="I33" s="12">
        <v>0</v>
      </c>
    </row>
    <row r="34" spans="2:9" ht="15" customHeight="1" x14ac:dyDescent="0.2">
      <c r="B34" t="s">
        <v>86</v>
      </c>
      <c r="C34" s="12">
        <v>29</v>
      </c>
      <c r="D34" s="8">
        <v>2.2400000000000002</v>
      </c>
      <c r="E34" s="12">
        <v>26</v>
      </c>
      <c r="F34" s="8">
        <v>3.35</v>
      </c>
      <c r="G34" s="12">
        <v>3</v>
      </c>
      <c r="H34" s="8">
        <v>0.59</v>
      </c>
      <c r="I34" s="12">
        <v>0</v>
      </c>
    </row>
    <row r="35" spans="2:9" ht="15" customHeight="1" x14ac:dyDescent="0.2">
      <c r="B35" t="s">
        <v>72</v>
      </c>
      <c r="C35" s="12">
        <v>28</v>
      </c>
      <c r="D35" s="8">
        <v>2.17</v>
      </c>
      <c r="E35" s="12">
        <v>4</v>
      </c>
      <c r="F35" s="8">
        <v>0.52</v>
      </c>
      <c r="G35" s="12">
        <v>24</v>
      </c>
      <c r="H35" s="8">
        <v>4.72</v>
      </c>
      <c r="I35" s="12">
        <v>0</v>
      </c>
    </row>
    <row r="36" spans="2:9" ht="15" customHeight="1" x14ac:dyDescent="0.2">
      <c r="B36" t="s">
        <v>79</v>
      </c>
      <c r="C36" s="12">
        <v>25</v>
      </c>
      <c r="D36" s="8">
        <v>1.93</v>
      </c>
      <c r="E36" s="12">
        <v>9</v>
      </c>
      <c r="F36" s="8">
        <v>1.1599999999999999</v>
      </c>
      <c r="G36" s="12">
        <v>16</v>
      </c>
      <c r="H36" s="8">
        <v>3.15</v>
      </c>
      <c r="I36" s="12">
        <v>0</v>
      </c>
    </row>
    <row r="37" spans="2:9" ht="15" customHeight="1" x14ac:dyDescent="0.2">
      <c r="B37" t="s">
        <v>80</v>
      </c>
      <c r="C37" s="12">
        <v>25</v>
      </c>
      <c r="D37" s="8">
        <v>1.93</v>
      </c>
      <c r="E37" s="12">
        <v>17</v>
      </c>
      <c r="F37" s="8">
        <v>2.19</v>
      </c>
      <c r="G37" s="12">
        <v>8</v>
      </c>
      <c r="H37" s="8">
        <v>1.57</v>
      </c>
      <c r="I37" s="12">
        <v>0</v>
      </c>
    </row>
    <row r="38" spans="2:9" ht="15" customHeight="1" x14ac:dyDescent="0.2">
      <c r="B38" t="s">
        <v>71</v>
      </c>
      <c r="C38" s="12">
        <v>24</v>
      </c>
      <c r="D38" s="8">
        <v>1.86</v>
      </c>
      <c r="E38" s="12">
        <v>11</v>
      </c>
      <c r="F38" s="8">
        <v>1.42</v>
      </c>
      <c r="G38" s="12">
        <v>13</v>
      </c>
      <c r="H38" s="8">
        <v>2.56</v>
      </c>
      <c r="I38" s="12">
        <v>0</v>
      </c>
    </row>
    <row r="39" spans="2:9" ht="15" customHeight="1" x14ac:dyDescent="0.2">
      <c r="B39" t="s">
        <v>88</v>
      </c>
      <c r="C39" s="12">
        <v>20</v>
      </c>
      <c r="D39" s="8">
        <v>1.55</v>
      </c>
      <c r="E39" s="12">
        <v>8</v>
      </c>
      <c r="F39" s="8">
        <v>1.03</v>
      </c>
      <c r="G39" s="12">
        <v>12</v>
      </c>
      <c r="H39" s="8">
        <v>2.36</v>
      </c>
      <c r="I39" s="12">
        <v>0</v>
      </c>
    </row>
    <row r="40" spans="2:9" ht="15" customHeight="1" x14ac:dyDescent="0.2">
      <c r="B40" t="s">
        <v>74</v>
      </c>
      <c r="C40" s="12">
        <v>19</v>
      </c>
      <c r="D40" s="8">
        <v>1.47</v>
      </c>
      <c r="E40" s="12">
        <v>15</v>
      </c>
      <c r="F40" s="8">
        <v>1.94</v>
      </c>
      <c r="G40" s="12">
        <v>4</v>
      </c>
      <c r="H40" s="8">
        <v>0.79</v>
      </c>
      <c r="I40" s="12">
        <v>0</v>
      </c>
    </row>
    <row r="41" spans="2:9" ht="15" customHeight="1" x14ac:dyDescent="0.2">
      <c r="B41" t="s">
        <v>81</v>
      </c>
      <c r="C41" s="12">
        <v>17</v>
      </c>
      <c r="D41" s="8">
        <v>1.32</v>
      </c>
      <c r="E41" s="12">
        <v>8</v>
      </c>
      <c r="F41" s="8">
        <v>1.03</v>
      </c>
      <c r="G41" s="12">
        <v>8</v>
      </c>
      <c r="H41" s="8">
        <v>1.57</v>
      </c>
      <c r="I41" s="12">
        <v>0</v>
      </c>
    </row>
    <row r="42" spans="2:9" ht="15" customHeight="1" x14ac:dyDescent="0.2">
      <c r="B42" t="s">
        <v>85</v>
      </c>
      <c r="C42" s="12">
        <v>15</v>
      </c>
      <c r="D42" s="8">
        <v>1.1599999999999999</v>
      </c>
      <c r="E42" s="12">
        <v>11</v>
      </c>
      <c r="F42" s="8">
        <v>1.42</v>
      </c>
      <c r="G42" s="12">
        <v>4</v>
      </c>
      <c r="H42" s="8">
        <v>0.79</v>
      </c>
      <c r="I42" s="12">
        <v>0</v>
      </c>
    </row>
    <row r="43" spans="2:9" ht="15" customHeight="1" x14ac:dyDescent="0.2">
      <c r="B43" t="s">
        <v>101</v>
      </c>
      <c r="C43" s="12">
        <v>14</v>
      </c>
      <c r="D43" s="8">
        <v>1.08</v>
      </c>
      <c r="E43" s="12">
        <v>1</v>
      </c>
      <c r="F43" s="8">
        <v>0.13</v>
      </c>
      <c r="G43" s="12">
        <v>13</v>
      </c>
      <c r="H43" s="8">
        <v>2.56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161</v>
      </c>
      <c r="C47" s="12">
        <v>223</v>
      </c>
      <c r="D47" s="8">
        <v>17.260000000000002</v>
      </c>
      <c r="E47" s="12">
        <v>107</v>
      </c>
      <c r="F47" s="8">
        <v>13.81</v>
      </c>
      <c r="G47" s="12">
        <v>116</v>
      </c>
      <c r="H47" s="8">
        <v>22.83</v>
      </c>
      <c r="I47" s="12">
        <v>0</v>
      </c>
    </row>
    <row r="48" spans="2:9" ht="15" customHeight="1" x14ac:dyDescent="0.2">
      <c r="B48" t="s">
        <v>134</v>
      </c>
      <c r="C48" s="12">
        <v>52</v>
      </c>
      <c r="D48" s="8">
        <v>4.0199999999999996</v>
      </c>
      <c r="E48" s="12">
        <v>47</v>
      </c>
      <c r="F48" s="8">
        <v>6.06</v>
      </c>
      <c r="G48" s="12">
        <v>5</v>
      </c>
      <c r="H48" s="8">
        <v>0.98</v>
      </c>
      <c r="I48" s="12">
        <v>0</v>
      </c>
    </row>
    <row r="49" spans="2:9" ht="15" customHeight="1" x14ac:dyDescent="0.2">
      <c r="B49" t="s">
        <v>127</v>
      </c>
      <c r="C49" s="12">
        <v>51</v>
      </c>
      <c r="D49" s="8">
        <v>3.95</v>
      </c>
      <c r="E49" s="12">
        <v>33</v>
      </c>
      <c r="F49" s="8">
        <v>4.26</v>
      </c>
      <c r="G49" s="12">
        <v>18</v>
      </c>
      <c r="H49" s="8">
        <v>3.54</v>
      </c>
      <c r="I49" s="12">
        <v>0</v>
      </c>
    </row>
    <row r="50" spans="2:9" ht="15" customHeight="1" x14ac:dyDescent="0.2">
      <c r="B50" t="s">
        <v>133</v>
      </c>
      <c r="C50" s="12">
        <v>49</v>
      </c>
      <c r="D50" s="8">
        <v>3.79</v>
      </c>
      <c r="E50" s="12">
        <v>48</v>
      </c>
      <c r="F50" s="8">
        <v>6.19</v>
      </c>
      <c r="G50" s="12">
        <v>1</v>
      </c>
      <c r="H50" s="8">
        <v>0.2</v>
      </c>
      <c r="I50" s="12">
        <v>0</v>
      </c>
    </row>
    <row r="51" spans="2:9" ht="15" customHeight="1" x14ac:dyDescent="0.2">
      <c r="B51" t="s">
        <v>137</v>
      </c>
      <c r="C51" s="12">
        <v>40</v>
      </c>
      <c r="D51" s="8">
        <v>3.1</v>
      </c>
      <c r="E51" s="12">
        <v>33</v>
      </c>
      <c r="F51" s="8">
        <v>4.26</v>
      </c>
      <c r="G51" s="12">
        <v>7</v>
      </c>
      <c r="H51" s="8">
        <v>1.38</v>
      </c>
      <c r="I51" s="12">
        <v>0</v>
      </c>
    </row>
    <row r="52" spans="2:9" ht="15" customHeight="1" x14ac:dyDescent="0.2">
      <c r="B52" t="s">
        <v>118</v>
      </c>
      <c r="C52" s="12">
        <v>39</v>
      </c>
      <c r="D52" s="8">
        <v>3.02</v>
      </c>
      <c r="E52" s="12">
        <v>11</v>
      </c>
      <c r="F52" s="8">
        <v>1.42</v>
      </c>
      <c r="G52" s="12">
        <v>28</v>
      </c>
      <c r="H52" s="8">
        <v>5.51</v>
      </c>
      <c r="I52" s="12">
        <v>0</v>
      </c>
    </row>
    <row r="53" spans="2:9" ht="15" customHeight="1" x14ac:dyDescent="0.2">
      <c r="B53" t="s">
        <v>120</v>
      </c>
      <c r="C53" s="12">
        <v>35</v>
      </c>
      <c r="D53" s="8">
        <v>2.71</v>
      </c>
      <c r="E53" s="12">
        <v>27</v>
      </c>
      <c r="F53" s="8">
        <v>3.48</v>
      </c>
      <c r="G53" s="12">
        <v>8</v>
      </c>
      <c r="H53" s="8">
        <v>1.57</v>
      </c>
      <c r="I53" s="12">
        <v>0</v>
      </c>
    </row>
    <row r="54" spans="2:9" ht="15" customHeight="1" x14ac:dyDescent="0.2">
      <c r="B54" t="s">
        <v>124</v>
      </c>
      <c r="C54" s="12">
        <v>27</v>
      </c>
      <c r="D54" s="8">
        <v>2.09</v>
      </c>
      <c r="E54" s="12">
        <v>14</v>
      </c>
      <c r="F54" s="8">
        <v>1.81</v>
      </c>
      <c r="G54" s="12">
        <v>13</v>
      </c>
      <c r="H54" s="8">
        <v>2.56</v>
      </c>
      <c r="I54" s="12">
        <v>0</v>
      </c>
    </row>
    <row r="55" spans="2:9" ht="15" customHeight="1" x14ac:dyDescent="0.2">
      <c r="B55" t="s">
        <v>126</v>
      </c>
      <c r="C55" s="12">
        <v>26</v>
      </c>
      <c r="D55" s="8">
        <v>2.0099999999999998</v>
      </c>
      <c r="E55" s="12">
        <v>11</v>
      </c>
      <c r="F55" s="8">
        <v>1.42</v>
      </c>
      <c r="G55" s="12">
        <v>15</v>
      </c>
      <c r="H55" s="8">
        <v>2.95</v>
      </c>
      <c r="I55" s="12">
        <v>0</v>
      </c>
    </row>
    <row r="56" spans="2:9" ht="15" customHeight="1" x14ac:dyDescent="0.2">
      <c r="B56" t="s">
        <v>173</v>
      </c>
      <c r="C56" s="12">
        <v>25</v>
      </c>
      <c r="D56" s="8">
        <v>1.93</v>
      </c>
      <c r="E56" s="12">
        <v>16</v>
      </c>
      <c r="F56" s="8">
        <v>2.06</v>
      </c>
      <c r="G56" s="12">
        <v>9</v>
      </c>
      <c r="H56" s="8">
        <v>1.77</v>
      </c>
      <c r="I56" s="12">
        <v>0</v>
      </c>
    </row>
    <row r="57" spans="2:9" ht="15" customHeight="1" x14ac:dyDescent="0.2">
      <c r="B57" t="s">
        <v>174</v>
      </c>
      <c r="C57" s="12">
        <v>25</v>
      </c>
      <c r="D57" s="8">
        <v>1.93</v>
      </c>
      <c r="E57" s="12">
        <v>4</v>
      </c>
      <c r="F57" s="8">
        <v>0.52</v>
      </c>
      <c r="G57" s="12">
        <v>21</v>
      </c>
      <c r="H57" s="8">
        <v>4.13</v>
      </c>
      <c r="I57" s="12">
        <v>0</v>
      </c>
    </row>
    <row r="58" spans="2:9" ht="15" customHeight="1" x14ac:dyDescent="0.2">
      <c r="B58" t="s">
        <v>131</v>
      </c>
      <c r="C58" s="12">
        <v>24</v>
      </c>
      <c r="D58" s="8">
        <v>1.86</v>
      </c>
      <c r="E58" s="12">
        <v>21</v>
      </c>
      <c r="F58" s="8">
        <v>2.71</v>
      </c>
      <c r="G58" s="12">
        <v>3</v>
      </c>
      <c r="H58" s="8">
        <v>0.59</v>
      </c>
      <c r="I58" s="12">
        <v>0</v>
      </c>
    </row>
    <row r="59" spans="2:9" ht="15" customHeight="1" x14ac:dyDescent="0.2">
      <c r="B59" t="s">
        <v>123</v>
      </c>
      <c r="C59" s="12">
        <v>20</v>
      </c>
      <c r="D59" s="8">
        <v>1.55</v>
      </c>
      <c r="E59" s="12">
        <v>19</v>
      </c>
      <c r="F59" s="8">
        <v>2.4500000000000002</v>
      </c>
      <c r="G59" s="12">
        <v>1</v>
      </c>
      <c r="H59" s="8">
        <v>0.2</v>
      </c>
      <c r="I59" s="12">
        <v>0</v>
      </c>
    </row>
    <row r="60" spans="2:9" ht="15" customHeight="1" x14ac:dyDescent="0.2">
      <c r="B60" t="s">
        <v>136</v>
      </c>
      <c r="C60" s="12">
        <v>20</v>
      </c>
      <c r="D60" s="8">
        <v>1.55</v>
      </c>
      <c r="E60" s="12">
        <v>18</v>
      </c>
      <c r="F60" s="8">
        <v>2.3199999999999998</v>
      </c>
      <c r="G60" s="12">
        <v>2</v>
      </c>
      <c r="H60" s="8">
        <v>0.39</v>
      </c>
      <c r="I60" s="12">
        <v>0</v>
      </c>
    </row>
    <row r="61" spans="2:9" ht="15" customHeight="1" x14ac:dyDescent="0.2">
      <c r="B61" t="s">
        <v>145</v>
      </c>
      <c r="C61" s="12">
        <v>19</v>
      </c>
      <c r="D61" s="8">
        <v>1.47</v>
      </c>
      <c r="E61" s="12">
        <v>17</v>
      </c>
      <c r="F61" s="8">
        <v>2.19</v>
      </c>
      <c r="G61" s="12">
        <v>2</v>
      </c>
      <c r="H61" s="8">
        <v>0.39</v>
      </c>
      <c r="I61" s="12">
        <v>0</v>
      </c>
    </row>
    <row r="62" spans="2:9" ht="15" customHeight="1" x14ac:dyDescent="0.2">
      <c r="B62" t="s">
        <v>122</v>
      </c>
      <c r="C62" s="12">
        <v>19</v>
      </c>
      <c r="D62" s="8">
        <v>1.47</v>
      </c>
      <c r="E62" s="12">
        <v>10</v>
      </c>
      <c r="F62" s="8">
        <v>1.29</v>
      </c>
      <c r="G62" s="12">
        <v>9</v>
      </c>
      <c r="H62" s="8">
        <v>1.77</v>
      </c>
      <c r="I62" s="12">
        <v>0</v>
      </c>
    </row>
    <row r="63" spans="2:9" ht="15" customHeight="1" x14ac:dyDescent="0.2">
      <c r="B63" t="s">
        <v>147</v>
      </c>
      <c r="C63" s="12">
        <v>19</v>
      </c>
      <c r="D63" s="8">
        <v>1.47</v>
      </c>
      <c r="E63" s="12">
        <v>17</v>
      </c>
      <c r="F63" s="8">
        <v>2.19</v>
      </c>
      <c r="G63" s="12">
        <v>2</v>
      </c>
      <c r="H63" s="8">
        <v>0.39</v>
      </c>
      <c r="I63" s="12">
        <v>0</v>
      </c>
    </row>
    <row r="64" spans="2:9" ht="15" customHeight="1" x14ac:dyDescent="0.2">
      <c r="B64" t="s">
        <v>121</v>
      </c>
      <c r="C64" s="12">
        <v>18</v>
      </c>
      <c r="D64" s="8">
        <v>1.39</v>
      </c>
      <c r="E64" s="12">
        <v>7</v>
      </c>
      <c r="F64" s="8">
        <v>0.9</v>
      </c>
      <c r="G64" s="12">
        <v>11</v>
      </c>
      <c r="H64" s="8">
        <v>2.17</v>
      </c>
      <c r="I64" s="12">
        <v>0</v>
      </c>
    </row>
    <row r="65" spans="2:9" ht="15" customHeight="1" x14ac:dyDescent="0.2">
      <c r="B65" t="s">
        <v>175</v>
      </c>
      <c r="C65" s="12">
        <v>16</v>
      </c>
      <c r="D65" s="8">
        <v>1.24</v>
      </c>
      <c r="E65" s="12">
        <v>5</v>
      </c>
      <c r="F65" s="8">
        <v>0.65</v>
      </c>
      <c r="G65" s="12">
        <v>11</v>
      </c>
      <c r="H65" s="8">
        <v>2.17</v>
      </c>
      <c r="I65" s="12">
        <v>0</v>
      </c>
    </row>
    <row r="66" spans="2:9" ht="15" customHeight="1" x14ac:dyDescent="0.2">
      <c r="B66" t="s">
        <v>125</v>
      </c>
      <c r="C66" s="12">
        <v>16</v>
      </c>
      <c r="D66" s="8">
        <v>1.24</v>
      </c>
      <c r="E66" s="12">
        <v>8</v>
      </c>
      <c r="F66" s="8">
        <v>1.03</v>
      </c>
      <c r="G66" s="12">
        <v>8</v>
      </c>
      <c r="H66" s="8">
        <v>1.57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D363-5A1A-431F-A39E-8E0FE5CF909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226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4</v>
      </c>
      <c r="D5" s="8">
        <v>0.18</v>
      </c>
      <c r="E5" s="12">
        <v>0</v>
      </c>
      <c r="F5" s="8">
        <v>0</v>
      </c>
      <c r="G5" s="12">
        <v>4</v>
      </c>
      <c r="H5" s="8">
        <v>0.36</v>
      </c>
      <c r="I5" s="12">
        <v>0</v>
      </c>
    </row>
    <row r="6" spans="2:9" ht="15" customHeight="1" x14ac:dyDescent="0.2">
      <c r="B6" t="s">
        <v>46</v>
      </c>
      <c r="C6" s="12">
        <v>495</v>
      </c>
      <c r="D6" s="8">
        <v>21.8</v>
      </c>
      <c r="E6" s="12">
        <v>107</v>
      </c>
      <c r="F6" s="8">
        <v>9.35</v>
      </c>
      <c r="G6" s="12">
        <v>388</v>
      </c>
      <c r="H6" s="8">
        <v>34.950000000000003</v>
      </c>
      <c r="I6" s="12">
        <v>0</v>
      </c>
    </row>
    <row r="7" spans="2:9" ht="15" customHeight="1" x14ac:dyDescent="0.2">
      <c r="B7" t="s">
        <v>47</v>
      </c>
      <c r="C7" s="12">
        <v>121</v>
      </c>
      <c r="D7" s="8">
        <v>5.33</v>
      </c>
      <c r="E7" s="12">
        <v>40</v>
      </c>
      <c r="F7" s="8">
        <v>3.5</v>
      </c>
      <c r="G7" s="12">
        <v>81</v>
      </c>
      <c r="H7" s="8">
        <v>7.3</v>
      </c>
      <c r="I7" s="12">
        <v>0</v>
      </c>
    </row>
    <row r="8" spans="2:9" ht="15" customHeight="1" x14ac:dyDescent="0.2">
      <c r="B8" t="s">
        <v>48</v>
      </c>
      <c r="C8" s="12">
        <v>16</v>
      </c>
      <c r="D8" s="8">
        <v>0.7</v>
      </c>
      <c r="E8" s="12">
        <v>0</v>
      </c>
      <c r="F8" s="8">
        <v>0</v>
      </c>
      <c r="G8" s="12">
        <v>16</v>
      </c>
      <c r="H8" s="8">
        <v>1.44</v>
      </c>
      <c r="I8" s="12">
        <v>0</v>
      </c>
    </row>
    <row r="9" spans="2:9" ht="15" customHeight="1" x14ac:dyDescent="0.2">
      <c r="B9" t="s">
        <v>49</v>
      </c>
      <c r="C9" s="12">
        <v>10</v>
      </c>
      <c r="D9" s="8">
        <v>0.44</v>
      </c>
      <c r="E9" s="12">
        <v>1</v>
      </c>
      <c r="F9" s="8">
        <v>0.09</v>
      </c>
      <c r="G9" s="12">
        <v>9</v>
      </c>
      <c r="H9" s="8">
        <v>0.81</v>
      </c>
      <c r="I9" s="12">
        <v>0</v>
      </c>
    </row>
    <row r="10" spans="2:9" ht="15" customHeight="1" x14ac:dyDescent="0.2">
      <c r="B10" t="s">
        <v>50</v>
      </c>
      <c r="C10" s="12">
        <v>80</v>
      </c>
      <c r="D10" s="8">
        <v>3.52</v>
      </c>
      <c r="E10" s="12">
        <v>9</v>
      </c>
      <c r="F10" s="8">
        <v>0.79</v>
      </c>
      <c r="G10" s="12">
        <v>71</v>
      </c>
      <c r="H10" s="8">
        <v>6.4</v>
      </c>
      <c r="I10" s="12">
        <v>0</v>
      </c>
    </row>
    <row r="11" spans="2:9" ht="15" customHeight="1" x14ac:dyDescent="0.2">
      <c r="B11" t="s">
        <v>51</v>
      </c>
      <c r="C11" s="12">
        <v>403</v>
      </c>
      <c r="D11" s="8">
        <v>17.75</v>
      </c>
      <c r="E11" s="12">
        <v>199</v>
      </c>
      <c r="F11" s="8">
        <v>17.399999999999999</v>
      </c>
      <c r="G11" s="12">
        <v>203</v>
      </c>
      <c r="H11" s="8">
        <v>18.29</v>
      </c>
      <c r="I11" s="12">
        <v>1</v>
      </c>
    </row>
    <row r="12" spans="2:9" ht="15" customHeight="1" x14ac:dyDescent="0.2">
      <c r="B12" t="s">
        <v>52</v>
      </c>
      <c r="C12" s="12">
        <v>11</v>
      </c>
      <c r="D12" s="8">
        <v>0.48</v>
      </c>
      <c r="E12" s="12">
        <v>5</v>
      </c>
      <c r="F12" s="8">
        <v>0.44</v>
      </c>
      <c r="G12" s="12">
        <v>6</v>
      </c>
      <c r="H12" s="8">
        <v>0.54</v>
      </c>
      <c r="I12" s="12">
        <v>0</v>
      </c>
    </row>
    <row r="13" spans="2:9" ht="15" customHeight="1" x14ac:dyDescent="0.2">
      <c r="B13" t="s">
        <v>53</v>
      </c>
      <c r="C13" s="12">
        <v>257</v>
      </c>
      <c r="D13" s="8">
        <v>11.32</v>
      </c>
      <c r="E13" s="12">
        <v>156</v>
      </c>
      <c r="F13" s="8">
        <v>13.64</v>
      </c>
      <c r="G13" s="12">
        <v>101</v>
      </c>
      <c r="H13" s="8">
        <v>9.1</v>
      </c>
      <c r="I13" s="12">
        <v>0</v>
      </c>
    </row>
    <row r="14" spans="2:9" ht="15" customHeight="1" x14ac:dyDescent="0.2">
      <c r="B14" t="s">
        <v>54</v>
      </c>
      <c r="C14" s="12">
        <v>67</v>
      </c>
      <c r="D14" s="8">
        <v>2.95</v>
      </c>
      <c r="E14" s="12">
        <v>29</v>
      </c>
      <c r="F14" s="8">
        <v>2.5299999999999998</v>
      </c>
      <c r="G14" s="12">
        <v>37</v>
      </c>
      <c r="H14" s="8">
        <v>3.33</v>
      </c>
      <c r="I14" s="12">
        <v>0</v>
      </c>
    </row>
    <row r="15" spans="2:9" ht="15" customHeight="1" x14ac:dyDescent="0.2">
      <c r="B15" t="s">
        <v>55</v>
      </c>
      <c r="C15" s="12">
        <v>283</v>
      </c>
      <c r="D15" s="8">
        <v>12.46</v>
      </c>
      <c r="E15" s="12">
        <v>226</v>
      </c>
      <c r="F15" s="8">
        <v>19.760000000000002</v>
      </c>
      <c r="G15" s="12">
        <v>56</v>
      </c>
      <c r="H15" s="8">
        <v>5.05</v>
      </c>
      <c r="I15" s="12">
        <v>0</v>
      </c>
    </row>
    <row r="16" spans="2:9" ht="15" customHeight="1" x14ac:dyDescent="0.2">
      <c r="B16" t="s">
        <v>56</v>
      </c>
      <c r="C16" s="12">
        <v>287</v>
      </c>
      <c r="D16" s="8">
        <v>12.64</v>
      </c>
      <c r="E16" s="12">
        <v>237</v>
      </c>
      <c r="F16" s="8">
        <v>20.72</v>
      </c>
      <c r="G16" s="12">
        <v>48</v>
      </c>
      <c r="H16" s="8">
        <v>4.32</v>
      </c>
      <c r="I16" s="12">
        <v>0</v>
      </c>
    </row>
    <row r="17" spans="2:9" ht="15" customHeight="1" x14ac:dyDescent="0.2">
      <c r="B17" t="s">
        <v>57</v>
      </c>
      <c r="C17" s="12">
        <v>62</v>
      </c>
      <c r="D17" s="8">
        <v>2.73</v>
      </c>
      <c r="E17" s="12">
        <v>41</v>
      </c>
      <c r="F17" s="8">
        <v>3.58</v>
      </c>
      <c r="G17" s="12">
        <v>18</v>
      </c>
      <c r="H17" s="8">
        <v>1.62</v>
      </c>
      <c r="I17" s="12">
        <v>0</v>
      </c>
    </row>
    <row r="18" spans="2:9" ht="15" customHeight="1" x14ac:dyDescent="0.2">
      <c r="B18" t="s">
        <v>58</v>
      </c>
      <c r="C18" s="12">
        <v>65</v>
      </c>
      <c r="D18" s="8">
        <v>2.86</v>
      </c>
      <c r="E18" s="12">
        <v>46</v>
      </c>
      <c r="F18" s="8">
        <v>4.0199999999999996</v>
      </c>
      <c r="G18" s="12">
        <v>16</v>
      </c>
      <c r="H18" s="8">
        <v>1.44</v>
      </c>
      <c r="I18" s="12">
        <v>0</v>
      </c>
    </row>
    <row r="19" spans="2:9" ht="15" customHeight="1" x14ac:dyDescent="0.2">
      <c r="B19" t="s">
        <v>59</v>
      </c>
      <c r="C19" s="12">
        <v>110</v>
      </c>
      <c r="D19" s="8">
        <v>4.84</v>
      </c>
      <c r="E19" s="12">
        <v>48</v>
      </c>
      <c r="F19" s="8">
        <v>4.2</v>
      </c>
      <c r="G19" s="12">
        <v>56</v>
      </c>
      <c r="H19" s="8">
        <v>5.05</v>
      </c>
      <c r="I19" s="12">
        <v>0</v>
      </c>
    </row>
    <row r="20" spans="2:9" ht="15" customHeight="1" x14ac:dyDescent="0.2">
      <c r="B20" s="9" t="s">
        <v>195</v>
      </c>
      <c r="C20" s="12">
        <f>SUM(LTBL_08232[総数／事業所数])</f>
        <v>2271</v>
      </c>
      <c r="E20" s="12">
        <f>SUBTOTAL(109,LTBL_08232[個人／事業所数])</f>
        <v>1144</v>
      </c>
      <c r="G20" s="12">
        <f>SUBTOTAL(109,LTBL_08232[法人／事業所数])</f>
        <v>1110</v>
      </c>
      <c r="I20" s="12">
        <f>SUBTOTAL(109,LTBL_08232[法人以外の団体／事業所数])</f>
        <v>1</v>
      </c>
    </row>
    <row r="21" spans="2:9" ht="15" customHeight="1" x14ac:dyDescent="0.2">
      <c r="E21" s="11">
        <f>LTBL_08232[[#Totals],[個人／事業所数]]/LTBL_08232[[#Totals],[総数／事業所数]]</f>
        <v>0.50374284456186702</v>
      </c>
      <c r="G21" s="11">
        <f>LTBL_08232[[#Totals],[法人／事業所数]]/LTBL_08232[[#Totals],[総数／事業所数]]</f>
        <v>0.48877146631439894</v>
      </c>
      <c r="I21" s="11">
        <f>LTBL_08232[[#Totals],[法人以外の団体／事業所数]]/LTBL_08232[[#Totals],[総数／事業所数]]</f>
        <v>4.4033465433729633E-4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249</v>
      </c>
      <c r="D24" s="8">
        <v>10.96</v>
      </c>
      <c r="E24" s="12">
        <v>221</v>
      </c>
      <c r="F24" s="8">
        <v>19.32</v>
      </c>
      <c r="G24" s="12">
        <v>28</v>
      </c>
      <c r="H24" s="8">
        <v>2.52</v>
      </c>
      <c r="I24" s="12">
        <v>0</v>
      </c>
    </row>
    <row r="25" spans="2:9" ht="15" customHeight="1" x14ac:dyDescent="0.2">
      <c r="B25" t="s">
        <v>82</v>
      </c>
      <c r="C25" s="12">
        <v>231</v>
      </c>
      <c r="D25" s="8">
        <v>10.17</v>
      </c>
      <c r="E25" s="12">
        <v>197</v>
      </c>
      <c r="F25" s="8">
        <v>17.22</v>
      </c>
      <c r="G25" s="12">
        <v>34</v>
      </c>
      <c r="H25" s="8">
        <v>3.06</v>
      </c>
      <c r="I25" s="12">
        <v>0</v>
      </c>
    </row>
    <row r="26" spans="2:9" ht="15" customHeight="1" x14ac:dyDescent="0.2">
      <c r="B26" t="s">
        <v>79</v>
      </c>
      <c r="C26" s="12">
        <v>208</v>
      </c>
      <c r="D26" s="8">
        <v>9.16</v>
      </c>
      <c r="E26" s="12">
        <v>144</v>
      </c>
      <c r="F26" s="8">
        <v>12.59</v>
      </c>
      <c r="G26" s="12">
        <v>64</v>
      </c>
      <c r="H26" s="8">
        <v>5.77</v>
      </c>
      <c r="I26" s="12">
        <v>0</v>
      </c>
    </row>
    <row r="27" spans="2:9" ht="15" customHeight="1" x14ac:dyDescent="0.2">
      <c r="B27" t="s">
        <v>70</v>
      </c>
      <c r="C27" s="12">
        <v>191</v>
      </c>
      <c r="D27" s="8">
        <v>8.41</v>
      </c>
      <c r="E27" s="12">
        <v>20</v>
      </c>
      <c r="F27" s="8">
        <v>1.75</v>
      </c>
      <c r="G27" s="12">
        <v>171</v>
      </c>
      <c r="H27" s="8">
        <v>15.41</v>
      </c>
      <c r="I27" s="12">
        <v>0</v>
      </c>
    </row>
    <row r="28" spans="2:9" ht="15" customHeight="1" x14ac:dyDescent="0.2">
      <c r="B28" t="s">
        <v>68</v>
      </c>
      <c r="C28" s="12">
        <v>182</v>
      </c>
      <c r="D28" s="8">
        <v>8.01</v>
      </c>
      <c r="E28" s="12">
        <v>54</v>
      </c>
      <c r="F28" s="8">
        <v>4.72</v>
      </c>
      <c r="G28" s="12">
        <v>128</v>
      </c>
      <c r="H28" s="8">
        <v>11.53</v>
      </c>
      <c r="I28" s="12">
        <v>0</v>
      </c>
    </row>
    <row r="29" spans="2:9" ht="15" customHeight="1" x14ac:dyDescent="0.2">
      <c r="B29" t="s">
        <v>69</v>
      </c>
      <c r="C29" s="12">
        <v>122</v>
      </c>
      <c r="D29" s="8">
        <v>5.37</v>
      </c>
      <c r="E29" s="12">
        <v>33</v>
      </c>
      <c r="F29" s="8">
        <v>2.88</v>
      </c>
      <c r="G29" s="12">
        <v>89</v>
      </c>
      <c r="H29" s="8">
        <v>8.02</v>
      </c>
      <c r="I29" s="12">
        <v>0</v>
      </c>
    </row>
    <row r="30" spans="2:9" ht="15" customHeight="1" x14ac:dyDescent="0.2">
      <c r="B30" t="s">
        <v>77</v>
      </c>
      <c r="C30" s="12">
        <v>115</v>
      </c>
      <c r="D30" s="8">
        <v>5.0599999999999996</v>
      </c>
      <c r="E30" s="12">
        <v>60</v>
      </c>
      <c r="F30" s="8">
        <v>5.24</v>
      </c>
      <c r="G30" s="12">
        <v>55</v>
      </c>
      <c r="H30" s="8">
        <v>4.95</v>
      </c>
      <c r="I30" s="12">
        <v>0</v>
      </c>
    </row>
    <row r="31" spans="2:9" ht="15" customHeight="1" x14ac:dyDescent="0.2">
      <c r="B31" t="s">
        <v>75</v>
      </c>
      <c r="C31" s="12">
        <v>96</v>
      </c>
      <c r="D31" s="8">
        <v>4.2300000000000004</v>
      </c>
      <c r="E31" s="12">
        <v>77</v>
      </c>
      <c r="F31" s="8">
        <v>6.73</v>
      </c>
      <c r="G31" s="12">
        <v>18</v>
      </c>
      <c r="H31" s="8">
        <v>1.62</v>
      </c>
      <c r="I31" s="12">
        <v>1</v>
      </c>
    </row>
    <row r="32" spans="2:9" ht="15" customHeight="1" x14ac:dyDescent="0.2">
      <c r="B32" t="s">
        <v>85</v>
      </c>
      <c r="C32" s="12">
        <v>62</v>
      </c>
      <c r="D32" s="8">
        <v>2.73</v>
      </c>
      <c r="E32" s="12">
        <v>41</v>
      </c>
      <c r="F32" s="8">
        <v>3.58</v>
      </c>
      <c r="G32" s="12">
        <v>18</v>
      </c>
      <c r="H32" s="8">
        <v>1.62</v>
      </c>
      <c r="I32" s="12">
        <v>0</v>
      </c>
    </row>
    <row r="33" spans="2:9" ht="15" customHeight="1" x14ac:dyDescent="0.2">
      <c r="B33" t="s">
        <v>87</v>
      </c>
      <c r="C33" s="12">
        <v>56</v>
      </c>
      <c r="D33" s="8">
        <v>2.4700000000000002</v>
      </c>
      <c r="E33" s="12">
        <v>43</v>
      </c>
      <c r="F33" s="8">
        <v>3.76</v>
      </c>
      <c r="G33" s="12">
        <v>13</v>
      </c>
      <c r="H33" s="8">
        <v>1.17</v>
      </c>
      <c r="I33" s="12">
        <v>0</v>
      </c>
    </row>
    <row r="34" spans="2:9" ht="15" customHeight="1" x14ac:dyDescent="0.2">
      <c r="B34" t="s">
        <v>86</v>
      </c>
      <c r="C34" s="12">
        <v>52</v>
      </c>
      <c r="D34" s="8">
        <v>2.29</v>
      </c>
      <c r="E34" s="12">
        <v>45</v>
      </c>
      <c r="F34" s="8">
        <v>3.93</v>
      </c>
      <c r="G34" s="12">
        <v>7</v>
      </c>
      <c r="H34" s="8">
        <v>0.63</v>
      </c>
      <c r="I34" s="12">
        <v>0</v>
      </c>
    </row>
    <row r="35" spans="2:9" ht="15" customHeight="1" x14ac:dyDescent="0.2">
      <c r="B35" t="s">
        <v>72</v>
      </c>
      <c r="C35" s="12">
        <v>45</v>
      </c>
      <c r="D35" s="8">
        <v>1.98</v>
      </c>
      <c r="E35" s="12">
        <v>4</v>
      </c>
      <c r="F35" s="8">
        <v>0.35</v>
      </c>
      <c r="G35" s="12">
        <v>41</v>
      </c>
      <c r="H35" s="8">
        <v>3.69</v>
      </c>
      <c r="I35" s="12">
        <v>0</v>
      </c>
    </row>
    <row r="36" spans="2:9" ht="15" customHeight="1" x14ac:dyDescent="0.2">
      <c r="B36" t="s">
        <v>81</v>
      </c>
      <c r="C36" s="12">
        <v>44</v>
      </c>
      <c r="D36" s="8">
        <v>1.94</v>
      </c>
      <c r="E36" s="12">
        <v>14</v>
      </c>
      <c r="F36" s="8">
        <v>1.22</v>
      </c>
      <c r="G36" s="12">
        <v>29</v>
      </c>
      <c r="H36" s="8">
        <v>2.61</v>
      </c>
      <c r="I36" s="12">
        <v>0</v>
      </c>
    </row>
    <row r="37" spans="2:9" ht="15" customHeight="1" x14ac:dyDescent="0.2">
      <c r="B37" t="s">
        <v>107</v>
      </c>
      <c r="C37" s="12">
        <v>41</v>
      </c>
      <c r="D37" s="8">
        <v>1.81</v>
      </c>
      <c r="E37" s="12">
        <v>0</v>
      </c>
      <c r="F37" s="8">
        <v>0</v>
      </c>
      <c r="G37" s="12">
        <v>41</v>
      </c>
      <c r="H37" s="8">
        <v>3.69</v>
      </c>
      <c r="I37" s="12">
        <v>0</v>
      </c>
    </row>
    <row r="38" spans="2:9" ht="15" customHeight="1" x14ac:dyDescent="0.2">
      <c r="B38" t="s">
        <v>76</v>
      </c>
      <c r="C38" s="12">
        <v>39</v>
      </c>
      <c r="D38" s="8">
        <v>1.72</v>
      </c>
      <c r="E38" s="12">
        <v>25</v>
      </c>
      <c r="F38" s="8">
        <v>2.19</v>
      </c>
      <c r="G38" s="12">
        <v>14</v>
      </c>
      <c r="H38" s="8">
        <v>1.26</v>
      </c>
      <c r="I38" s="12">
        <v>0</v>
      </c>
    </row>
    <row r="39" spans="2:9" ht="15" customHeight="1" x14ac:dyDescent="0.2">
      <c r="B39" t="s">
        <v>73</v>
      </c>
      <c r="C39" s="12">
        <v>36</v>
      </c>
      <c r="D39" s="8">
        <v>1.59</v>
      </c>
      <c r="E39" s="12">
        <v>3</v>
      </c>
      <c r="F39" s="8">
        <v>0.26</v>
      </c>
      <c r="G39" s="12">
        <v>33</v>
      </c>
      <c r="H39" s="8">
        <v>2.97</v>
      </c>
      <c r="I39" s="12">
        <v>0</v>
      </c>
    </row>
    <row r="40" spans="2:9" ht="15" customHeight="1" x14ac:dyDescent="0.2">
      <c r="B40" t="s">
        <v>99</v>
      </c>
      <c r="C40" s="12">
        <v>35</v>
      </c>
      <c r="D40" s="8">
        <v>1.54</v>
      </c>
      <c r="E40" s="12">
        <v>23</v>
      </c>
      <c r="F40" s="8">
        <v>2.0099999999999998</v>
      </c>
      <c r="G40" s="12">
        <v>12</v>
      </c>
      <c r="H40" s="8">
        <v>1.08</v>
      </c>
      <c r="I40" s="12">
        <v>0</v>
      </c>
    </row>
    <row r="41" spans="2:9" ht="15" customHeight="1" x14ac:dyDescent="0.2">
      <c r="B41" t="s">
        <v>74</v>
      </c>
      <c r="C41" s="12">
        <v>31</v>
      </c>
      <c r="D41" s="8">
        <v>1.37</v>
      </c>
      <c r="E41" s="12">
        <v>18</v>
      </c>
      <c r="F41" s="8">
        <v>1.57</v>
      </c>
      <c r="G41" s="12">
        <v>13</v>
      </c>
      <c r="H41" s="8">
        <v>1.17</v>
      </c>
      <c r="I41" s="12">
        <v>0</v>
      </c>
    </row>
    <row r="42" spans="2:9" ht="15" customHeight="1" x14ac:dyDescent="0.2">
      <c r="B42" t="s">
        <v>78</v>
      </c>
      <c r="C42" s="12">
        <v>29</v>
      </c>
      <c r="D42" s="8">
        <v>1.28</v>
      </c>
      <c r="E42" s="12">
        <v>8</v>
      </c>
      <c r="F42" s="8">
        <v>0.7</v>
      </c>
      <c r="G42" s="12">
        <v>21</v>
      </c>
      <c r="H42" s="8">
        <v>1.89</v>
      </c>
      <c r="I42" s="12">
        <v>0</v>
      </c>
    </row>
    <row r="43" spans="2:9" ht="15" customHeight="1" x14ac:dyDescent="0.2">
      <c r="B43" t="s">
        <v>84</v>
      </c>
      <c r="C43" s="12">
        <v>24</v>
      </c>
      <c r="D43" s="8">
        <v>1.06</v>
      </c>
      <c r="E43" s="12">
        <v>11</v>
      </c>
      <c r="F43" s="8">
        <v>0.96</v>
      </c>
      <c r="G43" s="12">
        <v>13</v>
      </c>
      <c r="H43" s="8">
        <v>1.17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129</v>
      </c>
      <c r="C47" s="12">
        <v>171</v>
      </c>
      <c r="D47" s="8">
        <v>7.53</v>
      </c>
      <c r="E47" s="12">
        <v>139</v>
      </c>
      <c r="F47" s="8">
        <v>12.15</v>
      </c>
      <c r="G47" s="12">
        <v>32</v>
      </c>
      <c r="H47" s="8">
        <v>2.88</v>
      </c>
      <c r="I47" s="12">
        <v>0</v>
      </c>
    </row>
    <row r="48" spans="2:9" ht="15" customHeight="1" x14ac:dyDescent="0.2">
      <c r="B48" t="s">
        <v>134</v>
      </c>
      <c r="C48" s="12">
        <v>108</v>
      </c>
      <c r="D48" s="8">
        <v>4.76</v>
      </c>
      <c r="E48" s="12">
        <v>102</v>
      </c>
      <c r="F48" s="8">
        <v>8.92</v>
      </c>
      <c r="G48" s="12">
        <v>6</v>
      </c>
      <c r="H48" s="8">
        <v>0.54</v>
      </c>
      <c r="I48" s="12">
        <v>0</v>
      </c>
    </row>
    <row r="49" spans="2:9" ht="15" customHeight="1" x14ac:dyDescent="0.2">
      <c r="B49" t="s">
        <v>133</v>
      </c>
      <c r="C49" s="12">
        <v>99</v>
      </c>
      <c r="D49" s="8">
        <v>4.3600000000000003</v>
      </c>
      <c r="E49" s="12">
        <v>93</v>
      </c>
      <c r="F49" s="8">
        <v>8.1300000000000008</v>
      </c>
      <c r="G49" s="12">
        <v>6</v>
      </c>
      <c r="H49" s="8">
        <v>0.54</v>
      </c>
      <c r="I49" s="12">
        <v>0</v>
      </c>
    </row>
    <row r="50" spans="2:9" ht="15" customHeight="1" x14ac:dyDescent="0.2">
      <c r="B50" t="s">
        <v>122</v>
      </c>
      <c r="C50" s="12">
        <v>75</v>
      </c>
      <c r="D50" s="8">
        <v>3.3</v>
      </c>
      <c r="E50" s="12">
        <v>7</v>
      </c>
      <c r="F50" s="8">
        <v>0.61</v>
      </c>
      <c r="G50" s="12">
        <v>68</v>
      </c>
      <c r="H50" s="8">
        <v>6.13</v>
      </c>
      <c r="I50" s="12">
        <v>0</v>
      </c>
    </row>
    <row r="51" spans="2:9" ht="15" customHeight="1" x14ac:dyDescent="0.2">
      <c r="B51" t="s">
        <v>132</v>
      </c>
      <c r="C51" s="12">
        <v>71</v>
      </c>
      <c r="D51" s="8">
        <v>3.13</v>
      </c>
      <c r="E51" s="12">
        <v>67</v>
      </c>
      <c r="F51" s="8">
        <v>5.86</v>
      </c>
      <c r="G51" s="12">
        <v>4</v>
      </c>
      <c r="H51" s="8">
        <v>0.36</v>
      </c>
      <c r="I51" s="12">
        <v>0</v>
      </c>
    </row>
    <row r="52" spans="2:9" ht="15" customHeight="1" x14ac:dyDescent="0.2">
      <c r="B52" t="s">
        <v>131</v>
      </c>
      <c r="C52" s="12">
        <v>69</v>
      </c>
      <c r="D52" s="8">
        <v>3.04</v>
      </c>
      <c r="E52" s="12">
        <v>51</v>
      </c>
      <c r="F52" s="8">
        <v>4.46</v>
      </c>
      <c r="G52" s="12">
        <v>18</v>
      </c>
      <c r="H52" s="8">
        <v>1.62</v>
      </c>
      <c r="I52" s="12">
        <v>0</v>
      </c>
    </row>
    <row r="53" spans="2:9" ht="15" customHeight="1" x14ac:dyDescent="0.2">
      <c r="B53" t="s">
        <v>118</v>
      </c>
      <c r="C53" s="12">
        <v>68</v>
      </c>
      <c r="D53" s="8">
        <v>2.99</v>
      </c>
      <c r="E53" s="12">
        <v>7</v>
      </c>
      <c r="F53" s="8">
        <v>0.61</v>
      </c>
      <c r="G53" s="12">
        <v>61</v>
      </c>
      <c r="H53" s="8">
        <v>5.5</v>
      </c>
      <c r="I53" s="12">
        <v>0</v>
      </c>
    </row>
    <row r="54" spans="2:9" ht="15" customHeight="1" x14ac:dyDescent="0.2">
      <c r="B54" t="s">
        <v>121</v>
      </c>
      <c r="C54" s="12">
        <v>56</v>
      </c>
      <c r="D54" s="8">
        <v>2.4700000000000002</v>
      </c>
      <c r="E54" s="12">
        <v>10</v>
      </c>
      <c r="F54" s="8">
        <v>0.87</v>
      </c>
      <c r="G54" s="12">
        <v>46</v>
      </c>
      <c r="H54" s="8">
        <v>4.1399999999999997</v>
      </c>
      <c r="I54" s="12">
        <v>0</v>
      </c>
    </row>
    <row r="55" spans="2:9" ht="15" customHeight="1" x14ac:dyDescent="0.2">
      <c r="B55" t="s">
        <v>137</v>
      </c>
      <c r="C55" s="12">
        <v>56</v>
      </c>
      <c r="D55" s="8">
        <v>2.4700000000000002</v>
      </c>
      <c r="E55" s="12">
        <v>43</v>
      </c>
      <c r="F55" s="8">
        <v>3.76</v>
      </c>
      <c r="G55" s="12">
        <v>13</v>
      </c>
      <c r="H55" s="8">
        <v>1.17</v>
      </c>
      <c r="I55" s="12">
        <v>0</v>
      </c>
    </row>
    <row r="56" spans="2:9" ht="15" customHeight="1" x14ac:dyDescent="0.2">
      <c r="B56" t="s">
        <v>120</v>
      </c>
      <c r="C56" s="12">
        <v>55</v>
      </c>
      <c r="D56" s="8">
        <v>2.42</v>
      </c>
      <c r="E56" s="12">
        <v>35</v>
      </c>
      <c r="F56" s="8">
        <v>3.06</v>
      </c>
      <c r="G56" s="12">
        <v>20</v>
      </c>
      <c r="H56" s="8">
        <v>1.8</v>
      </c>
      <c r="I56" s="12">
        <v>0</v>
      </c>
    </row>
    <row r="57" spans="2:9" ht="15" customHeight="1" x14ac:dyDescent="0.2">
      <c r="B57" t="s">
        <v>136</v>
      </c>
      <c r="C57" s="12">
        <v>40</v>
      </c>
      <c r="D57" s="8">
        <v>1.76</v>
      </c>
      <c r="E57" s="12">
        <v>35</v>
      </c>
      <c r="F57" s="8">
        <v>3.06</v>
      </c>
      <c r="G57" s="12">
        <v>5</v>
      </c>
      <c r="H57" s="8">
        <v>0.45</v>
      </c>
      <c r="I57" s="12">
        <v>0</v>
      </c>
    </row>
    <row r="58" spans="2:9" ht="15" customHeight="1" x14ac:dyDescent="0.2">
      <c r="B58" t="s">
        <v>177</v>
      </c>
      <c r="C58" s="12">
        <v>38</v>
      </c>
      <c r="D58" s="8">
        <v>1.67</v>
      </c>
      <c r="E58" s="12">
        <v>0</v>
      </c>
      <c r="F58" s="8">
        <v>0</v>
      </c>
      <c r="G58" s="12">
        <v>38</v>
      </c>
      <c r="H58" s="8">
        <v>3.42</v>
      </c>
      <c r="I58" s="12">
        <v>0</v>
      </c>
    </row>
    <row r="59" spans="2:9" ht="15" customHeight="1" x14ac:dyDescent="0.2">
      <c r="B59" t="s">
        <v>123</v>
      </c>
      <c r="C59" s="12">
        <v>37</v>
      </c>
      <c r="D59" s="8">
        <v>1.63</v>
      </c>
      <c r="E59" s="12">
        <v>31</v>
      </c>
      <c r="F59" s="8">
        <v>2.71</v>
      </c>
      <c r="G59" s="12">
        <v>6</v>
      </c>
      <c r="H59" s="8">
        <v>0.54</v>
      </c>
      <c r="I59" s="12">
        <v>0</v>
      </c>
    </row>
    <row r="60" spans="2:9" ht="15" customHeight="1" x14ac:dyDescent="0.2">
      <c r="B60" t="s">
        <v>127</v>
      </c>
      <c r="C60" s="12">
        <v>37</v>
      </c>
      <c r="D60" s="8">
        <v>1.63</v>
      </c>
      <c r="E60" s="12">
        <v>18</v>
      </c>
      <c r="F60" s="8">
        <v>1.57</v>
      </c>
      <c r="G60" s="12">
        <v>19</v>
      </c>
      <c r="H60" s="8">
        <v>1.71</v>
      </c>
      <c r="I60" s="12">
        <v>0</v>
      </c>
    </row>
    <row r="61" spans="2:9" ht="15" customHeight="1" x14ac:dyDescent="0.2">
      <c r="B61" t="s">
        <v>176</v>
      </c>
      <c r="C61" s="12">
        <v>35</v>
      </c>
      <c r="D61" s="8">
        <v>1.54</v>
      </c>
      <c r="E61" s="12">
        <v>0</v>
      </c>
      <c r="F61" s="8">
        <v>0</v>
      </c>
      <c r="G61" s="12">
        <v>35</v>
      </c>
      <c r="H61" s="8">
        <v>3.15</v>
      </c>
      <c r="I61" s="12">
        <v>0</v>
      </c>
    </row>
    <row r="62" spans="2:9" ht="15" customHeight="1" x14ac:dyDescent="0.2">
      <c r="B62" t="s">
        <v>119</v>
      </c>
      <c r="C62" s="12">
        <v>31</v>
      </c>
      <c r="D62" s="8">
        <v>1.37</v>
      </c>
      <c r="E62" s="12">
        <v>4</v>
      </c>
      <c r="F62" s="8">
        <v>0.35</v>
      </c>
      <c r="G62" s="12">
        <v>27</v>
      </c>
      <c r="H62" s="8">
        <v>2.4300000000000002</v>
      </c>
      <c r="I62" s="12">
        <v>0</v>
      </c>
    </row>
    <row r="63" spans="2:9" ht="15" customHeight="1" x14ac:dyDescent="0.2">
      <c r="B63" t="s">
        <v>153</v>
      </c>
      <c r="C63" s="12">
        <v>30</v>
      </c>
      <c r="D63" s="8">
        <v>1.32</v>
      </c>
      <c r="E63" s="12">
        <v>1</v>
      </c>
      <c r="F63" s="8">
        <v>0.09</v>
      </c>
      <c r="G63" s="12">
        <v>29</v>
      </c>
      <c r="H63" s="8">
        <v>2.61</v>
      </c>
      <c r="I63" s="12">
        <v>0</v>
      </c>
    </row>
    <row r="64" spans="2:9" ht="15" customHeight="1" x14ac:dyDescent="0.2">
      <c r="B64" t="s">
        <v>135</v>
      </c>
      <c r="C64" s="12">
        <v>30</v>
      </c>
      <c r="D64" s="8">
        <v>1.32</v>
      </c>
      <c r="E64" s="12">
        <v>24</v>
      </c>
      <c r="F64" s="8">
        <v>2.1</v>
      </c>
      <c r="G64" s="12">
        <v>6</v>
      </c>
      <c r="H64" s="8">
        <v>0.54</v>
      </c>
      <c r="I64" s="12">
        <v>0</v>
      </c>
    </row>
    <row r="65" spans="2:9" ht="15" customHeight="1" x14ac:dyDescent="0.2">
      <c r="B65" t="s">
        <v>159</v>
      </c>
      <c r="C65" s="12">
        <v>28</v>
      </c>
      <c r="D65" s="8">
        <v>1.23</v>
      </c>
      <c r="E65" s="12">
        <v>23</v>
      </c>
      <c r="F65" s="8">
        <v>2.0099999999999998</v>
      </c>
      <c r="G65" s="12">
        <v>5</v>
      </c>
      <c r="H65" s="8">
        <v>0.45</v>
      </c>
      <c r="I65" s="12">
        <v>0</v>
      </c>
    </row>
    <row r="66" spans="2:9" ht="15" customHeight="1" x14ac:dyDescent="0.2">
      <c r="B66" t="s">
        <v>141</v>
      </c>
      <c r="C66" s="12">
        <v>27</v>
      </c>
      <c r="D66" s="8">
        <v>1.19</v>
      </c>
      <c r="E66" s="12">
        <v>17</v>
      </c>
      <c r="F66" s="8">
        <v>1.49</v>
      </c>
      <c r="G66" s="12">
        <v>10</v>
      </c>
      <c r="H66" s="8">
        <v>0.9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205E-13DD-4D39-94E1-41BDA3EF2D6F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3</v>
      </c>
      <c r="D5" s="8">
        <v>0.32</v>
      </c>
      <c r="E5" s="12">
        <v>1</v>
      </c>
      <c r="F5" s="8">
        <v>0.15</v>
      </c>
      <c r="G5" s="12">
        <v>2</v>
      </c>
      <c r="H5" s="8">
        <v>0.71</v>
      </c>
      <c r="I5" s="12">
        <v>0</v>
      </c>
    </row>
    <row r="6" spans="2:9" ht="15" customHeight="1" x14ac:dyDescent="0.2">
      <c r="B6" t="s">
        <v>46</v>
      </c>
      <c r="C6" s="12">
        <v>249</v>
      </c>
      <c r="D6" s="8">
        <v>26.32</v>
      </c>
      <c r="E6" s="12">
        <v>160</v>
      </c>
      <c r="F6" s="8">
        <v>24.35</v>
      </c>
      <c r="G6" s="12">
        <v>89</v>
      </c>
      <c r="H6" s="8">
        <v>31.56</v>
      </c>
      <c r="I6" s="12">
        <v>0</v>
      </c>
    </row>
    <row r="7" spans="2:9" ht="15" customHeight="1" x14ac:dyDescent="0.2">
      <c r="B7" t="s">
        <v>47</v>
      </c>
      <c r="C7" s="12">
        <v>112</v>
      </c>
      <c r="D7" s="8">
        <v>11.84</v>
      </c>
      <c r="E7" s="12">
        <v>69</v>
      </c>
      <c r="F7" s="8">
        <v>10.5</v>
      </c>
      <c r="G7" s="12">
        <v>43</v>
      </c>
      <c r="H7" s="8">
        <v>15.25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0.35</v>
      </c>
      <c r="I8" s="12">
        <v>0</v>
      </c>
    </row>
    <row r="9" spans="2:9" ht="15" customHeight="1" x14ac:dyDescent="0.2">
      <c r="B9" t="s">
        <v>49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0.35</v>
      </c>
      <c r="I9" s="12">
        <v>0</v>
      </c>
    </row>
    <row r="10" spans="2:9" ht="15" customHeight="1" x14ac:dyDescent="0.2">
      <c r="B10" t="s">
        <v>50</v>
      </c>
      <c r="C10" s="12">
        <v>16</v>
      </c>
      <c r="D10" s="8">
        <v>1.69</v>
      </c>
      <c r="E10" s="12">
        <v>1</v>
      </c>
      <c r="F10" s="8">
        <v>0.15</v>
      </c>
      <c r="G10" s="12">
        <v>15</v>
      </c>
      <c r="H10" s="8">
        <v>5.32</v>
      </c>
      <c r="I10" s="12">
        <v>0</v>
      </c>
    </row>
    <row r="11" spans="2:9" ht="15" customHeight="1" x14ac:dyDescent="0.2">
      <c r="B11" t="s">
        <v>51</v>
      </c>
      <c r="C11" s="12">
        <v>248</v>
      </c>
      <c r="D11" s="8">
        <v>26.22</v>
      </c>
      <c r="E11" s="12">
        <v>178</v>
      </c>
      <c r="F11" s="8">
        <v>27.09</v>
      </c>
      <c r="G11" s="12">
        <v>69</v>
      </c>
      <c r="H11" s="8">
        <v>24.47</v>
      </c>
      <c r="I11" s="12">
        <v>1</v>
      </c>
    </row>
    <row r="12" spans="2:9" ht="15" customHeight="1" x14ac:dyDescent="0.2">
      <c r="B12" t="s">
        <v>52</v>
      </c>
      <c r="C12" s="12">
        <v>5</v>
      </c>
      <c r="D12" s="8">
        <v>0.53</v>
      </c>
      <c r="E12" s="12">
        <v>1</v>
      </c>
      <c r="F12" s="8">
        <v>0.15</v>
      </c>
      <c r="G12" s="12">
        <v>4</v>
      </c>
      <c r="H12" s="8">
        <v>1.42</v>
      </c>
      <c r="I12" s="12">
        <v>0</v>
      </c>
    </row>
    <row r="13" spans="2:9" ht="15" customHeight="1" x14ac:dyDescent="0.2">
      <c r="B13" t="s">
        <v>53</v>
      </c>
      <c r="C13" s="12">
        <v>19</v>
      </c>
      <c r="D13" s="8">
        <v>2.0099999999999998</v>
      </c>
      <c r="E13" s="12">
        <v>9</v>
      </c>
      <c r="F13" s="8">
        <v>1.37</v>
      </c>
      <c r="G13" s="12">
        <v>10</v>
      </c>
      <c r="H13" s="8">
        <v>3.55</v>
      </c>
      <c r="I13" s="12">
        <v>0</v>
      </c>
    </row>
    <row r="14" spans="2:9" ht="15" customHeight="1" x14ac:dyDescent="0.2">
      <c r="B14" t="s">
        <v>54</v>
      </c>
      <c r="C14" s="12">
        <v>25</v>
      </c>
      <c r="D14" s="8">
        <v>2.64</v>
      </c>
      <c r="E14" s="12">
        <v>17</v>
      </c>
      <c r="F14" s="8">
        <v>2.59</v>
      </c>
      <c r="G14" s="12">
        <v>6</v>
      </c>
      <c r="H14" s="8">
        <v>2.13</v>
      </c>
      <c r="I14" s="12">
        <v>0</v>
      </c>
    </row>
    <row r="15" spans="2:9" ht="15" customHeight="1" x14ac:dyDescent="0.2">
      <c r="B15" t="s">
        <v>55</v>
      </c>
      <c r="C15" s="12">
        <v>63</v>
      </c>
      <c r="D15" s="8">
        <v>6.66</v>
      </c>
      <c r="E15" s="12">
        <v>56</v>
      </c>
      <c r="F15" s="8">
        <v>8.52</v>
      </c>
      <c r="G15" s="12">
        <v>5</v>
      </c>
      <c r="H15" s="8">
        <v>1.77</v>
      </c>
      <c r="I15" s="12">
        <v>0</v>
      </c>
    </row>
    <row r="16" spans="2:9" ht="15" customHeight="1" x14ac:dyDescent="0.2">
      <c r="B16" t="s">
        <v>56</v>
      </c>
      <c r="C16" s="12">
        <v>101</v>
      </c>
      <c r="D16" s="8">
        <v>10.68</v>
      </c>
      <c r="E16" s="12">
        <v>90</v>
      </c>
      <c r="F16" s="8">
        <v>13.7</v>
      </c>
      <c r="G16" s="12">
        <v>11</v>
      </c>
      <c r="H16" s="8">
        <v>3.9</v>
      </c>
      <c r="I16" s="12">
        <v>0</v>
      </c>
    </row>
    <row r="17" spans="2:9" ht="15" customHeight="1" x14ac:dyDescent="0.2">
      <c r="B17" t="s">
        <v>57</v>
      </c>
      <c r="C17" s="12">
        <v>15</v>
      </c>
      <c r="D17" s="8">
        <v>1.59</v>
      </c>
      <c r="E17" s="12">
        <v>12</v>
      </c>
      <c r="F17" s="8">
        <v>1.83</v>
      </c>
      <c r="G17" s="12">
        <v>1</v>
      </c>
      <c r="H17" s="8">
        <v>0.35</v>
      </c>
      <c r="I17" s="12">
        <v>0</v>
      </c>
    </row>
    <row r="18" spans="2:9" ht="15" customHeight="1" x14ac:dyDescent="0.2">
      <c r="B18" t="s">
        <v>58</v>
      </c>
      <c r="C18" s="12">
        <v>32</v>
      </c>
      <c r="D18" s="8">
        <v>3.38</v>
      </c>
      <c r="E18" s="12">
        <v>19</v>
      </c>
      <c r="F18" s="8">
        <v>2.89</v>
      </c>
      <c r="G18" s="12">
        <v>13</v>
      </c>
      <c r="H18" s="8">
        <v>4.6100000000000003</v>
      </c>
      <c r="I18" s="12">
        <v>0</v>
      </c>
    </row>
    <row r="19" spans="2:9" ht="15" customHeight="1" x14ac:dyDescent="0.2">
      <c r="B19" t="s">
        <v>59</v>
      </c>
      <c r="C19" s="12">
        <v>56</v>
      </c>
      <c r="D19" s="8">
        <v>5.92</v>
      </c>
      <c r="E19" s="12">
        <v>44</v>
      </c>
      <c r="F19" s="8">
        <v>6.7</v>
      </c>
      <c r="G19" s="12">
        <v>12</v>
      </c>
      <c r="H19" s="8">
        <v>4.26</v>
      </c>
      <c r="I19" s="12">
        <v>0</v>
      </c>
    </row>
    <row r="20" spans="2:9" ht="15" customHeight="1" x14ac:dyDescent="0.2">
      <c r="B20" s="9" t="s">
        <v>195</v>
      </c>
      <c r="C20" s="12">
        <f>SUM(LTBL_08233[総数／事業所数])</f>
        <v>946</v>
      </c>
      <c r="E20" s="12">
        <f>SUBTOTAL(109,LTBL_08233[個人／事業所数])</f>
        <v>657</v>
      </c>
      <c r="G20" s="12">
        <f>SUBTOTAL(109,LTBL_08233[法人／事業所数])</f>
        <v>282</v>
      </c>
      <c r="I20" s="12">
        <f>SUBTOTAL(109,LTBL_08233[法人以外の団体／事業所数])</f>
        <v>1</v>
      </c>
    </row>
    <row r="21" spans="2:9" ht="15" customHeight="1" x14ac:dyDescent="0.2">
      <c r="E21" s="11">
        <f>LTBL_08233[[#Totals],[個人／事業所数]]/LTBL_08233[[#Totals],[総数／事業所数]]</f>
        <v>0.69450317124735728</v>
      </c>
      <c r="G21" s="11">
        <f>LTBL_08233[[#Totals],[法人／事業所数]]/LTBL_08233[[#Totals],[総数／事業所数]]</f>
        <v>0.29809725158562367</v>
      </c>
      <c r="I21" s="11">
        <f>LTBL_08233[[#Totals],[法人以外の団体／事業所数]]/LTBL_08233[[#Totals],[総数／事業所数]]</f>
        <v>1.0570824524312897E-3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68</v>
      </c>
      <c r="C24" s="12">
        <v>125</v>
      </c>
      <c r="D24" s="8">
        <v>13.21</v>
      </c>
      <c r="E24" s="12">
        <v>75</v>
      </c>
      <c r="F24" s="8">
        <v>11.42</v>
      </c>
      <c r="G24" s="12">
        <v>50</v>
      </c>
      <c r="H24" s="8">
        <v>17.73</v>
      </c>
      <c r="I24" s="12">
        <v>0</v>
      </c>
    </row>
    <row r="25" spans="2:9" ht="15" customHeight="1" x14ac:dyDescent="0.2">
      <c r="B25" t="s">
        <v>83</v>
      </c>
      <c r="C25" s="12">
        <v>90</v>
      </c>
      <c r="D25" s="8">
        <v>9.51</v>
      </c>
      <c r="E25" s="12">
        <v>84</v>
      </c>
      <c r="F25" s="8">
        <v>12.79</v>
      </c>
      <c r="G25" s="12">
        <v>6</v>
      </c>
      <c r="H25" s="8">
        <v>2.13</v>
      </c>
      <c r="I25" s="12">
        <v>0</v>
      </c>
    </row>
    <row r="26" spans="2:9" ht="15" customHeight="1" x14ac:dyDescent="0.2">
      <c r="B26" t="s">
        <v>69</v>
      </c>
      <c r="C26" s="12">
        <v>78</v>
      </c>
      <c r="D26" s="8">
        <v>8.25</v>
      </c>
      <c r="E26" s="12">
        <v>61</v>
      </c>
      <c r="F26" s="8">
        <v>9.2799999999999994</v>
      </c>
      <c r="G26" s="12">
        <v>17</v>
      </c>
      <c r="H26" s="8">
        <v>6.03</v>
      </c>
      <c r="I26" s="12">
        <v>0</v>
      </c>
    </row>
    <row r="27" spans="2:9" ht="15" customHeight="1" x14ac:dyDescent="0.2">
      <c r="B27" t="s">
        <v>75</v>
      </c>
      <c r="C27" s="12">
        <v>75</v>
      </c>
      <c r="D27" s="8">
        <v>7.93</v>
      </c>
      <c r="E27" s="12">
        <v>65</v>
      </c>
      <c r="F27" s="8">
        <v>9.89</v>
      </c>
      <c r="G27" s="12">
        <v>9</v>
      </c>
      <c r="H27" s="8">
        <v>3.19</v>
      </c>
      <c r="I27" s="12">
        <v>1</v>
      </c>
    </row>
    <row r="28" spans="2:9" ht="15" customHeight="1" x14ac:dyDescent="0.2">
      <c r="B28" t="s">
        <v>77</v>
      </c>
      <c r="C28" s="12">
        <v>73</v>
      </c>
      <c r="D28" s="8">
        <v>7.72</v>
      </c>
      <c r="E28" s="12">
        <v>57</v>
      </c>
      <c r="F28" s="8">
        <v>8.68</v>
      </c>
      <c r="G28" s="12">
        <v>16</v>
      </c>
      <c r="H28" s="8">
        <v>5.67</v>
      </c>
      <c r="I28" s="12">
        <v>0</v>
      </c>
    </row>
    <row r="29" spans="2:9" ht="15" customHeight="1" x14ac:dyDescent="0.2">
      <c r="B29" t="s">
        <v>82</v>
      </c>
      <c r="C29" s="12">
        <v>58</v>
      </c>
      <c r="D29" s="8">
        <v>6.13</v>
      </c>
      <c r="E29" s="12">
        <v>54</v>
      </c>
      <c r="F29" s="8">
        <v>8.2200000000000006</v>
      </c>
      <c r="G29" s="12">
        <v>4</v>
      </c>
      <c r="H29" s="8">
        <v>1.42</v>
      </c>
      <c r="I29" s="12">
        <v>0</v>
      </c>
    </row>
    <row r="30" spans="2:9" ht="15" customHeight="1" x14ac:dyDescent="0.2">
      <c r="B30" t="s">
        <v>70</v>
      </c>
      <c r="C30" s="12">
        <v>46</v>
      </c>
      <c r="D30" s="8">
        <v>4.8600000000000003</v>
      </c>
      <c r="E30" s="12">
        <v>24</v>
      </c>
      <c r="F30" s="8">
        <v>3.65</v>
      </c>
      <c r="G30" s="12">
        <v>22</v>
      </c>
      <c r="H30" s="8">
        <v>7.8</v>
      </c>
      <c r="I30" s="12">
        <v>0</v>
      </c>
    </row>
    <row r="31" spans="2:9" ht="15" customHeight="1" x14ac:dyDescent="0.2">
      <c r="B31" t="s">
        <v>76</v>
      </c>
      <c r="C31" s="12">
        <v>42</v>
      </c>
      <c r="D31" s="8">
        <v>4.4400000000000004</v>
      </c>
      <c r="E31" s="12">
        <v>32</v>
      </c>
      <c r="F31" s="8">
        <v>4.87</v>
      </c>
      <c r="G31" s="12">
        <v>10</v>
      </c>
      <c r="H31" s="8">
        <v>3.55</v>
      </c>
      <c r="I31" s="12">
        <v>0</v>
      </c>
    </row>
    <row r="32" spans="2:9" ht="15" customHeight="1" x14ac:dyDescent="0.2">
      <c r="B32" t="s">
        <v>87</v>
      </c>
      <c r="C32" s="12">
        <v>41</v>
      </c>
      <c r="D32" s="8">
        <v>4.33</v>
      </c>
      <c r="E32" s="12">
        <v>40</v>
      </c>
      <c r="F32" s="8">
        <v>6.09</v>
      </c>
      <c r="G32" s="12">
        <v>1</v>
      </c>
      <c r="H32" s="8">
        <v>0.35</v>
      </c>
      <c r="I32" s="12">
        <v>0</v>
      </c>
    </row>
    <row r="33" spans="2:9" ht="15" customHeight="1" x14ac:dyDescent="0.2">
      <c r="B33" t="s">
        <v>97</v>
      </c>
      <c r="C33" s="12">
        <v>21</v>
      </c>
      <c r="D33" s="8">
        <v>2.2200000000000002</v>
      </c>
      <c r="E33" s="12">
        <v>17</v>
      </c>
      <c r="F33" s="8">
        <v>2.59</v>
      </c>
      <c r="G33" s="12">
        <v>4</v>
      </c>
      <c r="H33" s="8">
        <v>1.42</v>
      </c>
      <c r="I33" s="12">
        <v>0</v>
      </c>
    </row>
    <row r="34" spans="2:9" ht="15" customHeight="1" x14ac:dyDescent="0.2">
      <c r="B34" t="s">
        <v>86</v>
      </c>
      <c r="C34" s="12">
        <v>21</v>
      </c>
      <c r="D34" s="8">
        <v>2.2200000000000002</v>
      </c>
      <c r="E34" s="12">
        <v>19</v>
      </c>
      <c r="F34" s="8">
        <v>2.89</v>
      </c>
      <c r="G34" s="12">
        <v>2</v>
      </c>
      <c r="H34" s="8">
        <v>0.71</v>
      </c>
      <c r="I34" s="12">
        <v>0</v>
      </c>
    </row>
    <row r="35" spans="2:9" ht="15" customHeight="1" x14ac:dyDescent="0.2">
      <c r="B35" t="s">
        <v>71</v>
      </c>
      <c r="C35" s="12">
        <v>19</v>
      </c>
      <c r="D35" s="8">
        <v>2.0099999999999998</v>
      </c>
      <c r="E35" s="12">
        <v>9</v>
      </c>
      <c r="F35" s="8">
        <v>1.37</v>
      </c>
      <c r="G35" s="12">
        <v>10</v>
      </c>
      <c r="H35" s="8">
        <v>3.55</v>
      </c>
      <c r="I35" s="12">
        <v>0</v>
      </c>
    </row>
    <row r="36" spans="2:9" ht="15" customHeight="1" x14ac:dyDescent="0.2">
      <c r="B36" t="s">
        <v>93</v>
      </c>
      <c r="C36" s="12">
        <v>18</v>
      </c>
      <c r="D36" s="8">
        <v>1.9</v>
      </c>
      <c r="E36" s="12">
        <v>6</v>
      </c>
      <c r="F36" s="8">
        <v>0.91</v>
      </c>
      <c r="G36" s="12">
        <v>12</v>
      </c>
      <c r="H36" s="8">
        <v>4.26</v>
      </c>
      <c r="I36" s="12">
        <v>0</v>
      </c>
    </row>
    <row r="37" spans="2:9" ht="15" customHeight="1" x14ac:dyDescent="0.2">
      <c r="B37" t="s">
        <v>81</v>
      </c>
      <c r="C37" s="12">
        <v>18</v>
      </c>
      <c r="D37" s="8">
        <v>1.9</v>
      </c>
      <c r="E37" s="12">
        <v>11</v>
      </c>
      <c r="F37" s="8">
        <v>1.67</v>
      </c>
      <c r="G37" s="12">
        <v>5</v>
      </c>
      <c r="H37" s="8">
        <v>1.77</v>
      </c>
      <c r="I37" s="12">
        <v>0</v>
      </c>
    </row>
    <row r="38" spans="2:9" ht="15" customHeight="1" x14ac:dyDescent="0.2">
      <c r="B38" t="s">
        <v>91</v>
      </c>
      <c r="C38" s="12">
        <v>16</v>
      </c>
      <c r="D38" s="8">
        <v>1.69</v>
      </c>
      <c r="E38" s="12">
        <v>10</v>
      </c>
      <c r="F38" s="8">
        <v>1.52</v>
      </c>
      <c r="G38" s="12">
        <v>6</v>
      </c>
      <c r="H38" s="8">
        <v>2.13</v>
      </c>
      <c r="I38" s="12">
        <v>0</v>
      </c>
    </row>
    <row r="39" spans="2:9" ht="15" customHeight="1" x14ac:dyDescent="0.2">
      <c r="B39" t="s">
        <v>74</v>
      </c>
      <c r="C39" s="12">
        <v>15</v>
      </c>
      <c r="D39" s="8">
        <v>1.59</v>
      </c>
      <c r="E39" s="12">
        <v>9</v>
      </c>
      <c r="F39" s="8">
        <v>1.37</v>
      </c>
      <c r="G39" s="12">
        <v>6</v>
      </c>
      <c r="H39" s="8">
        <v>2.13</v>
      </c>
      <c r="I39" s="12">
        <v>0</v>
      </c>
    </row>
    <row r="40" spans="2:9" ht="15" customHeight="1" x14ac:dyDescent="0.2">
      <c r="B40" t="s">
        <v>79</v>
      </c>
      <c r="C40" s="12">
        <v>15</v>
      </c>
      <c r="D40" s="8">
        <v>1.59</v>
      </c>
      <c r="E40" s="12">
        <v>9</v>
      </c>
      <c r="F40" s="8">
        <v>1.37</v>
      </c>
      <c r="G40" s="12">
        <v>6</v>
      </c>
      <c r="H40" s="8">
        <v>2.13</v>
      </c>
      <c r="I40" s="12">
        <v>0</v>
      </c>
    </row>
    <row r="41" spans="2:9" ht="15" customHeight="1" x14ac:dyDescent="0.2">
      <c r="B41" t="s">
        <v>85</v>
      </c>
      <c r="C41" s="12">
        <v>15</v>
      </c>
      <c r="D41" s="8">
        <v>1.59</v>
      </c>
      <c r="E41" s="12">
        <v>12</v>
      </c>
      <c r="F41" s="8">
        <v>1.83</v>
      </c>
      <c r="G41" s="12">
        <v>1</v>
      </c>
      <c r="H41" s="8">
        <v>0.35</v>
      </c>
      <c r="I41" s="12">
        <v>0</v>
      </c>
    </row>
    <row r="42" spans="2:9" ht="15" customHeight="1" x14ac:dyDescent="0.2">
      <c r="B42" t="s">
        <v>72</v>
      </c>
      <c r="C42" s="12">
        <v>13</v>
      </c>
      <c r="D42" s="8">
        <v>1.37</v>
      </c>
      <c r="E42" s="12">
        <v>7</v>
      </c>
      <c r="F42" s="8">
        <v>1.07</v>
      </c>
      <c r="G42" s="12">
        <v>6</v>
      </c>
      <c r="H42" s="8">
        <v>2.13</v>
      </c>
      <c r="I42" s="12">
        <v>0</v>
      </c>
    </row>
    <row r="43" spans="2:9" ht="15" customHeight="1" x14ac:dyDescent="0.2">
      <c r="B43" t="s">
        <v>96</v>
      </c>
      <c r="C43" s="12">
        <v>11</v>
      </c>
      <c r="D43" s="8">
        <v>1.1599999999999999</v>
      </c>
      <c r="E43" s="12">
        <v>0</v>
      </c>
      <c r="F43" s="8">
        <v>0</v>
      </c>
      <c r="G43" s="12">
        <v>11</v>
      </c>
      <c r="H43" s="8">
        <v>3.9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120</v>
      </c>
      <c r="C47" s="12">
        <v>59</v>
      </c>
      <c r="D47" s="8">
        <v>6.24</v>
      </c>
      <c r="E47" s="12">
        <v>49</v>
      </c>
      <c r="F47" s="8">
        <v>7.46</v>
      </c>
      <c r="G47" s="12">
        <v>10</v>
      </c>
      <c r="H47" s="8">
        <v>3.55</v>
      </c>
      <c r="I47" s="12">
        <v>0</v>
      </c>
    </row>
    <row r="48" spans="2:9" ht="15" customHeight="1" x14ac:dyDescent="0.2">
      <c r="B48" t="s">
        <v>133</v>
      </c>
      <c r="C48" s="12">
        <v>44</v>
      </c>
      <c r="D48" s="8">
        <v>4.6500000000000004</v>
      </c>
      <c r="E48" s="12">
        <v>41</v>
      </c>
      <c r="F48" s="8">
        <v>6.24</v>
      </c>
      <c r="G48" s="12">
        <v>3</v>
      </c>
      <c r="H48" s="8">
        <v>1.06</v>
      </c>
      <c r="I48" s="12">
        <v>0</v>
      </c>
    </row>
    <row r="49" spans="2:9" ht="15" customHeight="1" x14ac:dyDescent="0.2">
      <c r="B49" t="s">
        <v>137</v>
      </c>
      <c r="C49" s="12">
        <v>41</v>
      </c>
      <c r="D49" s="8">
        <v>4.33</v>
      </c>
      <c r="E49" s="12">
        <v>40</v>
      </c>
      <c r="F49" s="8">
        <v>6.09</v>
      </c>
      <c r="G49" s="12">
        <v>1</v>
      </c>
      <c r="H49" s="8">
        <v>0.35</v>
      </c>
      <c r="I49" s="12">
        <v>0</v>
      </c>
    </row>
    <row r="50" spans="2:9" ht="15" customHeight="1" x14ac:dyDescent="0.2">
      <c r="B50" t="s">
        <v>134</v>
      </c>
      <c r="C50" s="12">
        <v>39</v>
      </c>
      <c r="D50" s="8">
        <v>4.12</v>
      </c>
      <c r="E50" s="12">
        <v>38</v>
      </c>
      <c r="F50" s="8">
        <v>5.78</v>
      </c>
      <c r="G50" s="12">
        <v>1</v>
      </c>
      <c r="H50" s="8">
        <v>0.35</v>
      </c>
      <c r="I50" s="12">
        <v>0</v>
      </c>
    </row>
    <row r="51" spans="2:9" ht="15" customHeight="1" x14ac:dyDescent="0.2">
      <c r="B51" t="s">
        <v>118</v>
      </c>
      <c r="C51" s="12">
        <v>36</v>
      </c>
      <c r="D51" s="8">
        <v>3.81</v>
      </c>
      <c r="E51" s="12">
        <v>5</v>
      </c>
      <c r="F51" s="8">
        <v>0.76</v>
      </c>
      <c r="G51" s="12">
        <v>31</v>
      </c>
      <c r="H51" s="8">
        <v>10.99</v>
      </c>
      <c r="I51" s="12">
        <v>0</v>
      </c>
    </row>
    <row r="52" spans="2:9" ht="15" customHeight="1" x14ac:dyDescent="0.2">
      <c r="B52" t="s">
        <v>124</v>
      </c>
      <c r="C52" s="12">
        <v>34</v>
      </c>
      <c r="D52" s="8">
        <v>3.59</v>
      </c>
      <c r="E52" s="12">
        <v>26</v>
      </c>
      <c r="F52" s="8">
        <v>3.96</v>
      </c>
      <c r="G52" s="12">
        <v>8</v>
      </c>
      <c r="H52" s="8">
        <v>2.84</v>
      </c>
      <c r="I52" s="12">
        <v>0</v>
      </c>
    </row>
    <row r="53" spans="2:9" ht="15" customHeight="1" x14ac:dyDescent="0.2">
      <c r="B53" t="s">
        <v>123</v>
      </c>
      <c r="C53" s="12">
        <v>33</v>
      </c>
      <c r="D53" s="8">
        <v>3.49</v>
      </c>
      <c r="E53" s="12">
        <v>28</v>
      </c>
      <c r="F53" s="8">
        <v>4.26</v>
      </c>
      <c r="G53" s="12">
        <v>4</v>
      </c>
      <c r="H53" s="8">
        <v>1.42</v>
      </c>
      <c r="I53" s="12">
        <v>1</v>
      </c>
    </row>
    <row r="54" spans="2:9" ht="15" customHeight="1" x14ac:dyDescent="0.2">
      <c r="B54" t="s">
        <v>126</v>
      </c>
      <c r="C54" s="12">
        <v>30</v>
      </c>
      <c r="D54" s="8">
        <v>3.17</v>
      </c>
      <c r="E54" s="12">
        <v>24</v>
      </c>
      <c r="F54" s="8">
        <v>3.65</v>
      </c>
      <c r="G54" s="12">
        <v>6</v>
      </c>
      <c r="H54" s="8">
        <v>2.13</v>
      </c>
      <c r="I54" s="12">
        <v>0</v>
      </c>
    </row>
    <row r="55" spans="2:9" ht="15" customHeight="1" x14ac:dyDescent="0.2">
      <c r="B55" t="s">
        <v>121</v>
      </c>
      <c r="C55" s="12">
        <v>25</v>
      </c>
      <c r="D55" s="8">
        <v>2.64</v>
      </c>
      <c r="E55" s="12">
        <v>13</v>
      </c>
      <c r="F55" s="8">
        <v>1.98</v>
      </c>
      <c r="G55" s="12">
        <v>12</v>
      </c>
      <c r="H55" s="8">
        <v>4.26</v>
      </c>
      <c r="I55" s="12">
        <v>0</v>
      </c>
    </row>
    <row r="56" spans="2:9" ht="15" customHeight="1" x14ac:dyDescent="0.2">
      <c r="B56" t="s">
        <v>131</v>
      </c>
      <c r="C56" s="12">
        <v>19</v>
      </c>
      <c r="D56" s="8">
        <v>2.0099999999999998</v>
      </c>
      <c r="E56" s="12">
        <v>17</v>
      </c>
      <c r="F56" s="8">
        <v>2.59</v>
      </c>
      <c r="G56" s="12">
        <v>2</v>
      </c>
      <c r="H56" s="8">
        <v>0.71</v>
      </c>
      <c r="I56" s="12">
        <v>0</v>
      </c>
    </row>
    <row r="57" spans="2:9" ht="15" customHeight="1" x14ac:dyDescent="0.2">
      <c r="B57" t="s">
        <v>178</v>
      </c>
      <c r="C57" s="12">
        <v>17</v>
      </c>
      <c r="D57" s="8">
        <v>1.8</v>
      </c>
      <c r="E57" s="12">
        <v>6</v>
      </c>
      <c r="F57" s="8">
        <v>0.91</v>
      </c>
      <c r="G57" s="12">
        <v>11</v>
      </c>
      <c r="H57" s="8">
        <v>3.9</v>
      </c>
      <c r="I57" s="12">
        <v>0</v>
      </c>
    </row>
    <row r="58" spans="2:9" ht="15" customHeight="1" x14ac:dyDescent="0.2">
      <c r="B58" t="s">
        <v>145</v>
      </c>
      <c r="C58" s="12">
        <v>16</v>
      </c>
      <c r="D58" s="8">
        <v>1.69</v>
      </c>
      <c r="E58" s="12">
        <v>14</v>
      </c>
      <c r="F58" s="8">
        <v>2.13</v>
      </c>
      <c r="G58" s="12">
        <v>2</v>
      </c>
      <c r="H58" s="8">
        <v>0.71</v>
      </c>
      <c r="I58" s="12">
        <v>0</v>
      </c>
    </row>
    <row r="59" spans="2:9" ht="15" customHeight="1" x14ac:dyDescent="0.2">
      <c r="B59" t="s">
        <v>122</v>
      </c>
      <c r="C59" s="12">
        <v>15</v>
      </c>
      <c r="D59" s="8">
        <v>1.59</v>
      </c>
      <c r="E59" s="12">
        <v>9</v>
      </c>
      <c r="F59" s="8">
        <v>1.37</v>
      </c>
      <c r="G59" s="12">
        <v>6</v>
      </c>
      <c r="H59" s="8">
        <v>2.13</v>
      </c>
      <c r="I59" s="12">
        <v>0</v>
      </c>
    </row>
    <row r="60" spans="2:9" ht="15" customHeight="1" x14ac:dyDescent="0.2">
      <c r="B60" t="s">
        <v>147</v>
      </c>
      <c r="C60" s="12">
        <v>15</v>
      </c>
      <c r="D60" s="8">
        <v>1.59</v>
      </c>
      <c r="E60" s="12">
        <v>13</v>
      </c>
      <c r="F60" s="8">
        <v>1.98</v>
      </c>
      <c r="G60" s="12">
        <v>2</v>
      </c>
      <c r="H60" s="8">
        <v>0.71</v>
      </c>
      <c r="I60" s="12">
        <v>0</v>
      </c>
    </row>
    <row r="61" spans="2:9" ht="15" customHeight="1" x14ac:dyDescent="0.2">
      <c r="B61" t="s">
        <v>119</v>
      </c>
      <c r="C61" s="12">
        <v>14</v>
      </c>
      <c r="D61" s="8">
        <v>1.48</v>
      </c>
      <c r="E61" s="12">
        <v>9</v>
      </c>
      <c r="F61" s="8">
        <v>1.37</v>
      </c>
      <c r="G61" s="12">
        <v>5</v>
      </c>
      <c r="H61" s="8">
        <v>1.77</v>
      </c>
      <c r="I61" s="12">
        <v>0</v>
      </c>
    </row>
    <row r="62" spans="2:9" ht="15" customHeight="1" x14ac:dyDescent="0.2">
      <c r="B62" t="s">
        <v>136</v>
      </c>
      <c r="C62" s="12">
        <v>14</v>
      </c>
      <c r="D62" s="8">
        <v>1.48</v>
      </c>
      <c r="E62" s="12">
        <v>14</v>
      </c>
      <c r="F62" s="8">
        <v>2.13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157</v>
      </c>
      <c r="C63" s="12">
        <v>13</v>
      </c>
      <c r="D63" s="8">
        <v>1.37</v>
      </c>
      <c r="E63" s="12">
        <v>12</v>
      </c>
      <c r="F63" s="8">
        <v>1.83</v>
      </c>
      <c r="G63" s="12">
        <v>1</v>
      </c>
      <c r="H63" s="8">
        <v>0.35</v>
      </c>
      <c r="I63" s="12">
        <v>0</v>
      </c>
    </row>
    <row r="64" spans="2:9" ht="15" customHeight="1" x14ac:dyDescent="0.2">
      <c r="B64" t="s">
        <v>151</v>
      </c>
      <c r="C64" s="12">
        <v>12</v>
      </c>
      <c r="D64" s="8">
        <v>1.27</v>
      </c>
      <c r="E64" s="12">
        <v>11</v>
      </c>
      <c r="F64" s="8">
        <v>1.67</v>
      </c>
      <c r="G64" s="12">
        <v>1</v>
      </c>
      <c r="H64" s="8">
        <v>0.35</v>
      </c>
      <c r="I64" s="12">
        <v>0</v>
      </c>
    </row>
    <row r="65" spans="2:9" ht="15" customHeight="1" x14ac:dyDescent="0.2">
      <c r="B65" t="s">
        <v>170</v>
      </c>
      <c r="C65" s="12">
        <v>12</v>
      </c>
      <c r="D65" s="8">
        <v>1.27</v>
      </c>
      <c r="E65" s="12">
        <v>10</v>
      </c>
      <c r="F65" s="8">
        <v>1.52</v>
      </c>
      <c r="G65" s="12">
        <v>2</v>
      </c>
      <c r="H65" s="8">
        <v>0.71</v>
      </c>
      <c r="I65" s="12">
        <v>0</v>
      </c>
    </row>
    <row r="66" spans="2:9" ht="15" customHeight="1" x14ac:dyDescent="0.2">
      <c r="B66" t="s">
        <v>167</v>
      </c>
      <c r="C66" s="12">
        <v>11</v>
      </c>
      <c r="D66" s="8">
        <v>1.1599999999999999</v>
      </c>
      <c r="E66" s="12">
        <v>10</v>
      </c>
      <c r="F66" s="8">
        <v>1.52</v>
      </c>
      <c r="G66" s="12">
        <v>1</v>
      </c>
      <c r="H66" s="8">
        <v>0.35</v>
      </c>
      <c r="I66" s="12">
        <v>0</v>
      </c>
    </row>
    <row r="67" spans="2:9" ht="15" customHeight="1" x14ac:dyDescent="0.2">
      <c r="B67" t="s">
        <v>146</v>
      </c>
      <c r="C67" s="12">
        <v>11</v>
      </c>
      <c r="D67" s="8">
        <v>1.1599999999999999</v>
      </c>
      <c r="E67" s="12">
        <v>7</v>
      </c>
      <c r="F67" s="8">
        <v>1.07</v>
      </c>
      <c r="G67" s="12">
        <v>4</v>
      </c>
      <c r="H67" s="8">
        <v>1.42</v>
      </c>
      <c r="I67" s="12">
        <v>0</v>
      </c>
    </row>
    <row r="68" spans="2:9" ht="15" customHeight="1" x14ac:dyDescent="0.2">
      <c r="B68" t="s">
        <v>150</v>
      </c>
      <c r="C68" s="12">
        <v>11</v>
      </c>
      <c r="D68" s="8">
        <v>1.1599999999999999</v>
      </c>
      <c r="E68" s="12">
        <v>6</v>
      </c>
      <c r="F68" s="8">
        <v>0.91</v>
      </c>
      <c r="G68" s="12">
        <v>5</v>
      </c>
      <c r="H68" s="8">
        <v>1.77</v>
      </c>
      <c r="I68" s="12">
        <v>0</v>
      </c>
    </row>
    <row r="69" spans="2:9" ht="15" customHeight="1" x14ac:dyDescent="0.2">
      <c r="B69" t="s">
        <v>130</v>
      </c>
      <c r="C69" s="12">
        <v>11</v>
      </c>
      <c r="D69" s="8">
        <v>1.1599999999999999</v>
      </c>
      <c r="E69" s="12">
        <v>6</v>
      </c>
      <c r="F69" s="8">
        <v>0.91</v>
      </c>
      <c r="G69" s="12">
        <v>4</v>
      </c>
      <c r="H69" s="8">
        <v>1.42</v>
      </c>
      <c r="I69" s="12">
        <v>0</v>
      </c>
    </row>
    <row r="70" spans="2:9" ht="15" customHeight="1" x14ac:dyDescent="0.2">
      <c r="B70" t="s">
        <v>152</v>
      </c>
      <c r="C70" s="12">
        <v>11</v>
      </c>
      <c r="D70" s="8">
        <v>1.1599999999999999</v>
      </c>
      <c r="E70" s="12">
        <v>11</v>
      </c>
      <c r="F70" s="8">
        <v>1.67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132</v>
      </c>
      <c r="C71" s="12">
        <v>11</v>
      </c>
      <c r="D71" s="8">
        <v>1.1599999999999999</v>
      </c>
      <c r="E71" s="12">
        <v>11</v>
      </c>
      <c r="F71" s="8">
        <v>1.67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1E4A-CDD0-46FA-B4CE-D80F19CB33B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2</v>
      </c>
      <c r="D5" s="8">
        <v>0.19</v>
      </c>
      <c r="E5" s="12">
        <v>1</v>
      </c>
      <c r="F5" s="8">
        <v>0.15</v>
      </c>
      <c r="G5" s="12">
        <v>1</v>
      </c>
      <c r="H5" s="8">
        <v>0.3</v>
      </c>
      <c r="I5" s="12">
        <v>0</v>
      </c>
    </row>
    <row r="6" spans="2:9" ht="15" customHeight="1" x14ac:dyDescent="0.2">
      <c r="B6" t="s">
        <v>46</v>
      </c>
      <c r="C6" s="12">
        <v>241</v>
      </c>
      <c r="D6" s="8">
        <v>23.4</v>
      </c>
      <c r="E6" s="12">
        <v>148</v>
      </c>
      <c r="F6" s="8">
        <v>21.57</v>
      </c>
      <c r="G6" s="12">
        <v>93</v>
      </c>
      <c r="H6" s="8">
        <v>27.84</v>
      </c>
      <c r="I6" s="12">
        <v>0</v>
      </c>
    </row>
    <row r="7" spans="2:9" ht="15" customHeight="1" x14ac:dyDescent="0.2">
      <c r="B7" t="s">
        <v>47</v>
      </c>
      <c r="C7" s="12">
        <v>74</v>
      </c>
      <c r="D7" s="8">
        <v>7.18</v>
      </c>
      <c r="E7" s="12">
        <v>38</v>
      </c>
      <c r="F7" s="8">
        <v>5.54</v>
      </c>
      <c r="G7" s="12">
        <v>36</v>
      </c>
      <c r="H7" s="8">
        <v>10.78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0.28999999999999998</v>
      </c>
      <c r="E8" s="12">
        <v>0</v>
      </c>
      <c r="F8" s="8">
        <v>0</v>
      </c>
      <c r="G8" s="12">
        <v>3</v>
      </c>
      <c r="H8" s="8">
        <v>0.9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0.28999999999999998</v>
      </c>
      <c r="E9" s="12">
        <v>0</v>
      </c>
      <c r="F9" s="8">
        <v>0</v>
      </c>
      <c r="G9" s="12">
        <v>3</v>
      </c>
      <c r="H9" s="8">
        <v>0.9</v>
      </c>
      <c r="I9" s="12">
        <v>0</v>
      </c>
    </row>
    <row r="10" spans="2:9" ht="15" customHeight="1" x14ac:dyDescent="0.2">
      <c r="B10" t="s">
        <v>50</v>
      </c>
      <c r="C10" s="12">
        <v>10</v>
      </c>
      <c r="D10" s="8">
        <v>0.97</v>
      </c>
      <c r="E10" s="12">
        <v>1</v>
      </c>
      <c r="F10" s="8">
        <v>0.15</v>
      </c>
      <c r="G10" s="12">
        <v>9</v>
      </c>
      <c r="H10" s="8">
        <v>2.69</v>
      </c>
      <c r="I10" s="12">
        <v>0</v>
      </c>
    </row>
    <row r="11" spans="2:9" ht="15" customHeight="1" x14ac:dyDescent="0.2">
      <c r="B11" t="s">
        <v>51</v>
      </c>
      <c r="C11" s="12">
        <v>257</v>
      </c>
      <c r="D11" s="8">
        <v>24.95</v>
      </c>
      <c r="E11" s="12">
        <v>169</v>
      </c>
      <c r="F11" s="8">
        <v>24.64</v>
      </c>
      <c r="G11" s="12">
        <v>88</v>
      </c>
      <c r="H11" s="8">
        <v>26.35</v>
      </c>
      <c r="I11" s="12">
        <v>0</v>
      </c>
    </row>
    <row r="12" spans="2:9" ht="15" customHeight="1" x14ac:dyDescent="0.2">
      <c r="B12" t="s">
        <v>52</v>
      </c>
      <c r="C12" s="12">
        <v>4</v>
      </c>
      <c r="D12" s="8">
        <v>0.39</v>
      </c>
      <c r="E12" s="12">
        <v>1</v>
      </c>
      <c r="F12" s="8">
        <v>0.15</v>
      </c>
      <c r="G12" s="12">
        <v>3</v>
      </c>
      <c r="H12" s="8">
        <v>0.9</v>
      </c>
      <c r="I12" s="12">
        <v>0</v>
      </c>
    </row>
    <row r="13" spans="2:9" ht="15" customHeight="1" x14ac:dyDescent="0.2">
      <c r="B13" t="s">
        <v>53</v>
      </c>
      <c r="C13" s="12">
        <v>51</v>
      </c>
      <c r="D13" s="8">
        <v>4.95</v>
      </c>
      <c r="E13" s="12">
        <v>25</v>
      </c>
      <c r="F13" s="8">
        <v>3.64</v>
      </c>
      <c r="G13" s="12">
        <v>26</v>
      </c>
      <c r="H13" s="8">
        <v>7.78</v>
      </c>
      <c r="I13" s="12">
        <v>0</v>
      </c>
    </row>
    <row r="14" spans="2:9" ht="15" customHeight="1" x14ac:dyDescent="0.2">
      <c r="B14" t="s">
        <v>54</v>
      </c>
      <c r="C14" s="12">
        <v>37</v>
      </c>
      <c r="D14" s="8">
        <v>3.59</v>
      </c>
      <c r="E14" s="12">
        <v>23</v>
      </c>
      <c r="F14" s="8">
        <v>3.35</v>
      </c>
      <c r="G14" s="12">
        <v>12</v>
      </c>
      <c r="H14" s="8">
        <v>3.59</v>
      </c>
      <c r="I14" s="12">
        <v>0</v>
      </c>
    </row>
    <row r="15" spans="2:9" ht="15" customHeight="1" x14ac:dyDescent="0.2">
      <c r="B15" t="s">
        <v>55</v>
      </c>
      <c r="C15" s="12">
        <v>87</v>
      </c>
      <c r="D15" s="8">
        <v>8.4499999999999993</v>
      </c>
      <c r="E15" s="12">
        <v>80</v>
      </c>
      <c r="F15" s="8">
        <v>11.66</v>
      </c>
      <c r="G15" s="12">
        <v>6</v>
      </c>
      <c r="H15" s="8">
        <v>1.8</v>
      </c>
      <c r="I15" s="12">
        <v>0</v>
      </c>
    </row>
    <row r="16" spans="2:9" ht="15" customHeight="1" x14ac:dyDescent="0.2">
      <c r="B16" t="s">
        <v>56</v>
      </c>
      <c r="C16" s="12">
        <v>147</v>
      </c>
      <c r="D16" s="8">
        <v>14.27</v>
      </c>
      <c r="E16" s="12">
        <v>127</v>
      </c>
      <c r="F16" s="8">
        <v>18.510000000000002</v>
      </c>
      <c r="G16" s="12">
        <v>16</v>
      </c>
      <c r="H16" s="8">
        <v>4.79</v>
      </c>
      <c r="I16" s="12">
        <v>0</v>
      </c>
    </row>
    <row r="17" spans="2:9" ht="15" customHeight="1" x14ac:dyDescent="0.2">
      <c r="B17" t="s">
        <v>57</v>
      </c>
      <c r="C17" s="12">
        <v>21</v>
      </c>
      <c r="D17" s="8">
        <v>2.04</v>
      </c>
      <c r="E17" s="12">
        <v>15</v>
      </c>
      <c r="F17" s="8">
        <v>2.19</v>
      </c>
      <c r="G17" s="12">
        <v>5</v>
      </c>
      <c r="H17" s="8">
        <v>1.5</v>
      </c>
      <c r="I17" s="12">
        <v>0</v>
      </c>
    </row>
    <row r="18" spans="2:9" ht="15" customHeight="1" x14ac:dyDescent="0.2">
      <c r="B18" t="s">
        <v>58</v>
      </c>
      <c r="C18" s="12">
        <v>39</v>
      </c>
      <c r="D18" s="8">
        <v>3.79</v>
      </c>
      <c r="E18" s="12">
        <v>23</v>
      </c>
      <c r="F18" s="8">
        <v>3.35</v>
      </c>
      <c r="G18" s="12">
        <v>16</v>
      </c>
      <c r="H18" s="8">
        <v>4.79</v>
      </c>
      <c r="I18" s="12">
        <v>0</v>
      </c>
    </row>
    <row r="19" spans="2:9" ht="15" customHeight="1" x14ac:dyDescent="0.2">
      <c r="B19" t="s">
        <v>59</v>
      </c>
      <c r="C19" s="12">
        <v>54</v>
      </c>
      <c r="D19" s="8">
        <v>5.24</v>
      </c>
      <c r="E19" s="12">
        <v>35</v>
      </c>
      <c r="F19" s="8">
        <v>5.0999999999999996</v>
      </c>
      <c r="G19" s="12">
        <v>17</v>
      </c>
      <c r="H19" s="8">
        <v>5.09</v>
      </c>
      <c r="I19" s="12">
        <v>1</v>
      </c>
    </row>
    <row r="20" spans="2:9" ht="15" customHeight="1" x14ac:dyDescent="0.2">
      <c r="B20" s="9" t="s">
        <v>195</v>
      </c>
      <c r="C20" s="12">
        <f>SUM(LTBL_08234[総数／事業所数])</f>
        <v>1030</v>
      </c>
      <c r="E20" s="12">
        <f>SUBTOTAL(109,LTBL_08234[個人／事業所数])</f>
        <v>686</v>
      </c>
      <c r="G20" s="12">
        <f>SUBTOTAL(109,LTBL_08234[法人／事業所数])</f>
        <v>334</v>
      </c>
      <c r="I20" s="12">
        <f>SUBTOTAL(109,LTBL_08234[法人以外の団体／事業所数])</f>
        <v>1</v>
      </c>
    </row>
    <row r="21" spans="2:9" ht="15" customHeight="1" x14ac:dyDescent="0.2">
      <c r="E21" s="11">
        <f>LTBL_08234[[#Totals],[個人／事業所数]]/LTBL_08234[[#Totals],[総数／事業所数]]</f>
        <v>0.66601941747572813</v>
      </c>
      <c r="G21" s="11">
        <f>LTBL_08234[[#Totals],[法人／事業所数]]/LTBL_08234[[#Totals],[総数／事業所数]]</f>
        <v>0.32427184466019415</v>
      </c>
      <c r="I21" s="11">
        <f>LTBL_08234[[#Totals],[法人以外の団体／事業所数]]/LTBL_08234[[#Totals],[総数／事業所数]]</f>
        <v>9.7087378640776695E-4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133</v>
      </c>
      <c r="D24" s="8">
        <v>12.91</v>
      </c>
      <c r="E24" s="12">
        <v>121</v>
      </c>
      <c r="F24" s="8">
        <v>17.64</v>
      </c>
      <c r="G24" s="12">
        <v>12</v>
      </c>
      <c r="H24" s="8">
        <v>3.59</v>
      </c>
      <c r="I24" s="12">
        <v>0</v>
      </c>
    </row>
    <row r="25" spans="2:9" ht="15" customHeight="1" x14ac:dyDescent="0.2">
      <c r="B25" t="s">
        <v>68</v>
      </c>
      <c r="C25" s="12">
        <v>120</v>
      </c>
      <c r="D25" s="8">
        <v>11.65</v>
      </c>
      <c r="E25" s="12">
        <v>75</v>
      </c>
      <c r="F25" s="8">
        <v>10.93</v>
      </c>
      <c r="G25" s="12">
        <v>45</v>
      </c>
      <c r="H25" s="8">
        <v>13.47</v>
      </c>
      <c r="I25" s="12">
        <v>0</v>
      </c>
    </row>
    <row r="26" spans="2:9" ht="15" customHeight="1" x14ac:dyDescent="0.2">
      <c r="B26" t="s">
        <v>77</v>
      </c>
      <c r="C26" s="12">
        <v>107</v>
      </c>
      <c r="D26" s="8">
        <v>10.39</v>
      </c>
      <c r="E26" s="12">
        <v>78</v>
      </c>
      <c r="F26" s="8">
        <v>11.37</v>
      </c>
      <c r="G26" s="12">
        <v>29</v>
      </c>
      <c r="H26" s="8">
        <v>8.68</v>
      </c>
      <c r="I26" s="12">
        <v>0</v>
      </c>
    </row>
    <row r="27" spans="2:9" ht="15" customHeight="1" x14ac:dyDescent="0.2">
      <c r="B27" t="s">
        <v>82</v>
      </c>
      <c r="C27" s="12">
        <v>78</v>
      </c>
      <c r="D27" s="8">
        <v>7.57</v>
      </c>
      <c r="E27" s="12">
        <v>75</v>
      </c>
      <c r="F27" s="8">
        <v>10.93</v>
      </c>
      <c r="G27" s="12">
        <v>3</v>
      </c>
      <c r="H27" s="8">
        <v>0.9</v>
      </c>
      <c r="I27" s="12">
        <v>0</v>
      </c>
    </row>
    <row r="28" spans="2:9" ht="15" customHeight="1" x14ac:dyDescent="0.2">
      <c r="B28" t="s">
        <v>69</v>
      </c>
      <c r="C28" s="12">
        <v>71</v>
      </c>
      <c r="D28" s="8">
        <v>6.89</v>
      </c>
      <c r="E28" s="12">
        <v>49</v>
      </c>
      <c r="F28" s="8">
        <v>7.14</v>
      </c>
      <c r="G28" s="12">
        <v>22</v>
      </c>
      <c r="H28" s="8">
        <v>6.59</v>
      </c>
      <c r="I28" s="12">
        <v>0</v>
      </c>
    </row>
    <row r="29" spans="2:9" ht="15" customHeight="1" x14ac:dyDescent="0.2">
      <c r="B29" t="s">
        <v>70</v>
      </c>
      <c r="C29" s="12">
        <v>50</v>
      </c>
      <c r="D29" s="8">
        <v>4.8499999999999996</v>
      </c>
      <c r="E29" s="12">
        <v>24</v>
      </c>
      <c r="F29" s="8">
        <v>3.5</v>
      </c>
      <c r="G29" s="12">
        <v>26</v>
      </c>
      <c r="H29" s="8">
        <v>7.78</v>
      </c>
      <c r="I29" s="12">
        <v>0</v>
      </c>
    </row>
    <row r="30" spans="2:9" ht="15" customHeight="1" x14ac:dyDescent="0.2">
      <c r="B30" t="s">
        <v>75</v>
      </c>
      <c r="C30" s="12">
        <v>43</v>
      </c>
      <c r="D30" s="8">
        <v>4.17</v>
      </c>
      <c r="E30" s="12">
        <v>36</v>
      </c>
      <c r="F30" s="8">
        <v>5.25</v>
      </c>
      <c r="G30" s="12">
        <v>7</v>
      </c>
      <c r="H30" s="8">
        <v>2.1</v>
      </c>
      <c r="I30" s="12">
        <v>0</v>
      </c>
    </row>
    <row r="31" spans="2:9" ht="15" customHeight="1" x14ac:dyDescent="0.2">
      <c r="B31" t="s">
        <v>76</v>
      </c>
      <c r="C31" s="12">
        <v>37</v>
      </c>
      <c r="D31" s="8">
        <v>3.59</v>
      </c>
      <c r="E31" s="12">
        <v>30</v>
      </c>
      <c r="F31" s="8">
        <v>4.37</v>
      </c>
      <c r="G31" s="12">
        <v>7</v>
      </c>
      <c r="H31" s="8">
        <v>2.1</v>
      </c>
      <c r="I31" s="12">
        <v>0</v>
      </c>
    </row>
    <row r="32" spans="2:9" ht="15" customHeight="1" x14ac:dyDescent="0.2">
      <c r="B32" t="s">
        <v>79</v>
      </c>
      <c r="C32" s="12">
        <v>35</v>
      </c>
      <c r="D32" s="8">
        <v>3.4</v>
      </c>
      <c r="E32" s="12">
        <v>23</v>
      </c>
      <c r="F32" s="8">
        <v>3.35</v>
      </c>
      <c r="G32" s="12">
        <v>12</v>
      </c>
      <c r="H32" s="8">
        <v>3.59</v>
      </c>
      <c r="I32" s="12">
        <v>0</v>
      </c>
    </row>
    <row r="33" spans="2:9" ht="15" customHeight="1" x14ac:dyDescent="0.2">
      <c r="B33" t="s">
        <v>87</v>
      </c>
      <c r="C33" s="12">
        <v>34</v>
      </c>
      <c r="D33" s="8">
        <v>3.3</v>
      </c>
      <c r="E33" s="12">
        <v>33</v>
      </c>
      <c r="F33" s="8">
        <v>4.8099999999999996</v>
      </c>
      <c r="G33" s="12">
        <v>1</v>
      </c>
      <c r="H33" s="8">
        <v>0.3</v>
      </c>
      <c r="I33" s="12">
        <v>0</v>
      </c>
    </row>
    <row r="34" spans="2:9" ht="15" customHeight="1" x14ac:dyDescent="0.2">
      <c r="B34" t="s">
        <v>86</v>
      </c>
      <c r="C34" s="12">
        <v>22</v>
      </c>
      <c r="D34" s="8">
        <v>2.14</v>
      </c>
      <c r="E34" s="12">
        <v>22</v>
      </c>
      <c r="F34" s="8">
        <v>3.21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85</v>
      </c>
      <c r="C35" s="12">
        <v>21</v>
      </c>
      <c r="D35" s="8">
        <v>2.04</v>
      </c>
      <c r="E35" s="12">
        <v>15</v>
      </c>
      <c r="F35" s="8">
        <v>2.19</v>
      </c>
      <c r="G35" s="12">
        <v>5</v>
      </c>
      <c r="H35" s="8">
        <v>1.5</v>
      </c>
      <c r="I35" s="12">
        <v>0</v>
      </c>
    </row>
    <row r="36" spans="2:9" ht="15" customHeight="1" x14ac:dyDescent="0.2">
      <c r="B36" t="s">
        <v>80</v>
      </c>
      <c r="C36" s="12">
        <v>19</v>
      </c>
      <c r="D36" s="8">
        <v>1.84</v>
      </c>
      <c r="E36" s="12">
        <v>14</v>
      </c>
      <c r="F36" s="8">
        <v>2.04</v>
      </c>
      <c r="G36" s="12">
        <v>5</v>
      </c>
      <c r="H36" s="8">
        <v>1.5</v>
      </c>
      <c r="I36" s="12">
        <v>0</v>
      </c>
    </row>
    <row r="37" spans="2:9" ht="15" customHeight="1" x14ac:dyDescent="0.2">
      <c r="B37" t="s">
        <v>93</v>
      </c>
      <c r="C37" s="12">
        <v>18</v>
      </c>
      <c r="D37" s="8">
        <v>1.75</v>
      </c>
      <c r="E37" s="12">
        <v>3</v>
      </c>
      <c r="F37" s="8">
        <v>0.44</v>
      </c>
      <c r="G37" s="12">
        <v>15</v>
      </c>
      <c r="H37" s="8">
        <v>4.49</v>
      </c>
      <c r="I37" s="12">
        <v>0</v>
      </c>
    </row>
    <row r="38" spans="2:9" ht="15" customHeight="1" x14ac:dyDescent="0.2">
      <c r="B38" t="s">
        <v>81</v>
      </c>
      <c r="C38" s="12">
        <v>18</v>
      </c>
      <c r="D38" s="8">
        <v>1.75</v>
      </c>
      <c r="E38" s="12">
        <v>9</v>
      </c>
      <c r="F38" s="8">
        <v>1.31</v>
      </c>
      <c r="G38" s="12">
        <v>7</v>
      </c>
      <c r="H38" s="8">
        <v>2.1</v>
      </c>
      <c r="I38" s="12">
        <v>0</v>
      </c>
    </row>
    <row r="39" spans="2:9" ht="15" customHeight="1" x14ac:dyDescent="0.2">
      <c r="B39" t="s">
        <v>96</v>
      </c>
      <c r="C39" s="12">
        <v>17</v>
      </c>
      <c r="D39" s="8">
        <v>1.65</v>
      </c>
      <c r="E39" s="12">
        <v>1</v>
      </c>
      <c r="F39" s="8">
        <v>0.15</v>
      </c>
      <c r="G39" s="12">
        <v>16</v>
      </c>
      <c r="H39" s="8">
        <v>4.79</v>
      </c>
      <c r="I39" s="12">
        <v>0</v>
      </c>
    </row>
    <row r="40" spans="2:9" ht="15" customHeight="1" x14ac:dyDescent="0.2">
      <c r="B40" t="s">
        <v>88</v>
      </c>
      <c r="C40" s="12">
        <v>16</v>
      </c>
      <c r="D40" s="8">
        <v>1.55</v>
      </c>
      <c r="E40" s="12">
        <v>7</v>
      </c>
      <c r="F40" s="8">
        <v>1.02</v>
      </c>
      <c r="G40" s="12">
        <v>9</v>
      </c>
      <c r="H40" s="8">
        <v>2.69</v>
      </c>
      <c r="I40" s="12">
        <v>0</v>
      </c>
    </row>
    <row r="41" spans="2:9" ht="15" customHeight="1" x14ac:dyDescent="0.2">
      <c r="B41" t="s">
        <v>78</v>
      </c>
      <c r="C41" s="12">
        <v>13</v>
      </c>
      <c r="D41" s="8">
        <v>1.26</v>
      </c>
      <c r="E41" s="12">
        <v>1</v>
      </c>
      <c r="F41" s="8">
        <v>0.15</v>
      </c>
      <c r="G41" s="12">
        <v>12</v>
      </c>
      <c r="H41" s="8">
        <v>3.59</v>
      </c>
      <c r="I41" s="12">
        <v>0</v>
      </c>
    </row>
    <row r="42" spans="2:9" ht="15" customHeight="1" x14ac:dyDescent="0.2">
      <c r="B42" t="s">
        <v>74</v>
      </c>
      <c r="C42" s="12">
        <v>12</v>
      </c>
      <c r="D42" s="8">
        <v>1.17</v>
      </c>
      <c r="E42" s="12">
        <v>9</v>
      </c>
      <c r="F42" s="8">
        <v>1.31</v>
      </c>
      <c r="G42" s="12">
        <v>3</v>
      </c>
      <c r="H42" s="8">
        <v>0.9</v>
      </c>
      <c r="I42" s="12">
        <v>0</v>
      </c>
    </row>
    <row r="43" spans="2:9" ht="15" customHeight="1" x14ac:dyDescent="0.2">
      <c r="B43" t="s">
        <v>97</v>
      </c>
      <c r="C43" s="12">
        <v>11</v>
      </c>
      <c r="D43" s="8">
        <v>1.07</v>
      </c>
      <c r="E43" s="12">
        <v>8</v>
      </c>
      <c r="F43" s="8">
        <v>1.17</v>
      </c>
      <c r="G43" s="12">
        <v>3</v>
      </c>
      <c r="H43" s="8">
        <v>0.9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133</v>
      </c>
      <c r="C47" s="12">
        <v>63</v>
      </c>
      <c r="D47" s="8">
        <v>6.12</v>
      </c>
      <c r="E47" s="12">
        <v>60</v>
      </c>
      <c r="F47" s="8">
        <v>8.75</v>
      </c>
      <c r="G47" s="12">
        <v>3</v>
      </c>
      <c r="H47" s="8">
        <v>0.9</v>
      </c>
      <c r="I47" s="12">
        <v>0</v>
      </c>
    </row>
    <row r="48" spans="2:9" ht="15" customHeight="1" x14ac:dyDescent="0.2">
      <c r="B48" t="s">
        <v>120</v>
      </c>
      <c r="C48" s="12">
        <v>61</v>
      </c>
      <c r="D48" s="8">
        <v>5.92</v>
      </c>
      <c r="E48" s="12">
        <v>49</v>
      </c>
      <c r="F48" s="8">
        <v>7.14</v>
      </c>
      <c r="G48" s="12">
        <v>12</v>
      </c>
      <c r="H48" s="8">
        <v>3.59</v>
      </c>
      <c r="I48" s="12">
        <v>0</v>
      </c>
    </row>
    <row r="49" spans="2:9" ht="15" customHeight="1" x14ac:dyDescent="0.2">
      <c r="B49" t="s">
        <v>134</v>
      </c>
      <c r="C49" s="12">
        <v>57</v>
      </c>
      <c r="D49" s="8">
        <v>5.53</v>
      </c>
      <c r="E49" s="12">
        <v>55</v>
      </c>
      <c r="F49" s="8">
        <v>8.02</v>
      </c>
      <c r="G49" s="12">
        <v>2</v>
      </c>
      <c r="H49" s="8">
        <v>0.6</v>
      </c>
      <c r="I49" s="12">
        <v>0</v>
      </c>
    </row>
    <row r="50" spans="2:9" ht="15" customHeight="1" x14ac:dyDescent="0.2">
      <c r="B50" t="s">
        <v>137</v>
      </c>
      <c r="C50" s="12">
        <v>34</v>
      </c>
      <c r="D50" s="8">
        <v>3.3</v>
      </c>
      <c r="E50" s="12">
        <v>33</v>
      </c>
      <c r="F50" s="8">
        <v>4.8099999999999996</v>
      </c>
      <c r="G50" s="12">
        <v>1</v>
      </c>
      <c r="H50" s="8">
        <v>0.3</v>
      </c>
      <c r="I50" s="12">
        <v>0</v>
      </c>
    </row>
    <row r="51" spans="2:9" ht="15" customHeight="1" x14ac:dyDescent="0.2">
      <c r="B51" t="s">
        <v>118</v>
      </c>
      <c r="C51" s="12">
        <v>27</v>
      </c>
      <c r="D51" s="8">
        <v>2.62</v>
      </c>
      <c r="E51" s="12">
        <v>4</v>
      </c>
      <c r="F51" s="8">
        <v>0.57999999999999996</v>
      </c>
      <c r="G51" s="12">
        <v>23</v>
      </c>
      <c r="H51" s="8">
        <v>6.89</v>
      </c>
      <c r="I51" s="12">
        <v>0</v>
      </c>
    </row>
    <row r="52" spans="2:9" ht="15" customHeight="1" x14ac:dyDescent="0.2">
      <c r="B52" t="s">
        <v>124</v>
      </c>
      <c r="C52" s="12">
        <v>27</v>
      </c>
      <c r="D52" s="8">
        <v>2.62</v>
      </c>
      <c r="E52" s="12">
        <v>23</v>
      </c>
      <c r="F52" s="8">
        <v>3.35</v>
      </c>
      <c r="G52" s="12">
        <v>4</v>
      </c>
      <c r="H52" s="8">
        <v>1.2</v>
      </c>
      <c r="I52" s="12">
        <v>0</v>
      </c>
    </row>
    <row r="53" spans="2:9" ht="15" customHeight="1" x14ac:dyDescent="0.2">
      <c r="B53" t="s">
        <v>123</v>
      </c>
      <c r="C53" s="12">
        <v>26</v>
      </c>
      <c r="D53" s="8">
        <v>2.52</v>
      </c>
      <c r="E53" s="12">
        <v>21</v>
      </c>
      <c r="F53" s="8">
        <v>3.06</v>
      </c>
      <c r="G53" s="12">
        <v>5</v>
      </c>
      <c r="H53" s="8">
        <v>1.5</v>
      </c>
      <c r="I53" s="12">
        <v>0</v>
      </c>
    </row>
    <row r="54" spans="2:9" ht="15" customHeight="1" x14ac:dyDescent="0.2">
      <c r="B54" t="s">
        <v>126</v>
      </c>
      <c r="C54" s="12">
        <v>26</v>
      </c>
      <c r="D54" s="8">
        <v>2.52</v>
      </c>
      <c r="E54" s="12">
        <v>18</v>
      </c>
      <c r="F54" s="8">
        <v>2.62</v>
      </c>
      <c r="G54" s="12">
        <v>8</v>
      </c>
      <c r="H54" s="8">
        <v>2.4</v>
      </c>
      <c r="I54" s="12">
        <v>0</v>
      </c>
    </row>
    <row r="55" spans="2:9" ht="15" customHeight="1" x14ac:dyDescent="0.2">
      <c r="B55" t="s">
        <v>122</v>
      </c>
      <c r="C55" s="12">
        <v>24</v>
      </c>
      <c r="D55" s="8">
        <v>2.33</v>
      </c>
      <c r="E55" s="12">
        <v>14</v>
      </c>
      <c r="F55" s="8">
        <v>2.04</v>
      </c>
      <c r="G55" s="12">
        <v>10</v>
      </c>
      <c r="H55" s="8">
        <v>2.99</v>
      </c>
      <c r="I55" s="12">
        <v>0</v>
      </c>
    </row>
    <row r="56" spans="2:9" ht="15" customHeight="1" x14ac:dyDescent="0.2">
      <c r="B56" t="s">
        <v>127</v>
      </c>
      <c r="C56" s="12">
        <v>24</v>
      </c>
      <c r="D56" s="8">
        <v>2.33</v>
      </c>
      <c r="E56" s="12">
        <v>18</v>
      </c>
      <c r="F56" s="8">
        <v>2.62</v>
      </c>
      <c r="G56" s="12">
        <v>6</v>
      </c>
      <c r="H56" s="8">
        <v>1.8</v>
      </c>
      <c r="I56" s="12">
        <v>0</v>
      </c>
    </row>
    <row r="57" spans="2:9" ht="15" customHeight="1" x14ac:dyDescent="0.2">
      <c r="B57" t="s">
        <v>121</v>
      </c>
      <c r="C57" s="12">
        <v>23</v>
      </c>
      <c r="D57" s="8">
        <v>2.23</v>
      </c>
      <c r="E57" s="12">
        <v>10</v>
      </c>
      <c r="F57" s="8">
        <v>1.46</v>
      </c>
      <c r="G57" s="12">
        <v>13</v>
      </c>
      <c r="H57" s="8">
        <v>3.89</v>
      </c>
      <c r="I57" s="12">
        <v>0</v>
      </c>
    </row>
    <row r="58" spans="2:9" ht="15" customHeight="1" x14ac:dyDescent="0.2">
      <c r="B58" t="s">
        <v>129</v>
      </c>
      <c r="C58" s="12">
        <v>23</v>
      </c>
      <c r="D58" s="8">
        <v>2.23</v>
      </c>
      <c r="E58" s="12">
        <v>19</v>
      </c>
      <c r="F58" s="8">
        <v>2.77</v>
      </c>
      <c r="G58" s="12">
        <v>4</v>
      </c>
      <c r="H58" s="8">
        <v>1.2</v>
      </c>
      <c r="I58" s="12">
        <v>0</v>
      </c>
    </row>
    <row r="59" spans="2:9" ht="15" customHeight="1" x14ac:dyDescent="0.2">
      <c r="B59" t="s">
        <v>131</v>
      </c>
      <c r="C59" s="12">
        <v>23</v>
      </c>
      <c r="D59" s="8">
        <v>2.23</v>
      </c>
      <c r="E59" s="12">
        <v>21</v>
      </c>
      <c r="F59" s="8">
        <v>3.06</v>
      </c>
      <c r="G59" s="12">
        <v>2</v>
      </c>
      <c r="H59" s="8">
        <v>0.6</v>
      </c>
      <c r="I59" s="12">
        <v>0</v>
      </c>
    </row>
    <row r="60" spans="2:9" ht="15" customHeight="1" x14ac:dyDescent="0.2">
      <c r="B60" t="s">
        <v>152</v>
      </c>
      <c r="C60" s="12">
        <v>22</v>
      </c>
      <c r="D60" s="8">
        <v>2.14</v>
      </c>
      <c r="E60" s="12">
        <v>22</v>
      </c>
      <c r="F60" s="8">
        <v>3.21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119</v>
      </c>
      <c r="C61" s="12">
        <v>20</v>
      </c>
      <c r="D61" s="8">
        <v>1.94</v>
      </c>
      <c r="E61" s="12">
        <v>14</v>
      </c>
      <c r="F61" s="8">
        <v>2.04</v>
      </c>
      <c r="G61" s="12">
        <v>6</v>
      </c>
      <c r="H61" s="8">
        <v>1.8</v>
      </c>
      <c r="I61" s="12">
        <v>0</v>
      </c>
    </row>
    <row r="62" spans="2:9" ht="15" customHeight="1" x14ac:dyDescent="0.2">
      <c r="B62" t="s">
        <v>170</v>
      </c>
      <c r="C62" s="12">
        <v>15</v>
      </c>
      <c r="D62" s="8">
        <v>1.46</v>
      </c>
      <c r="E62" s="12">
        <v>14</v>
      </c>
      <c r="F62" s="8">
        <v>2.04</v>
      </c>
      <c r="G62" s="12">
        <v>1</v>
      </c>
      <c r="H62" s="8">
        <v>0.3</v>
      </c>
      <c r="I62" s="12">
        <v>0</v>
      </c>
    </row>
    <row r="63" spans="2:9" ht="15" customHeight="1" x14ac:dyDescent="0.2">
      <c r="B63" t="s">
        <v>168</v>
      </c>
      <c r="C63" s="12">
        <v>14</v>
      </c>
      <c r="D63" s="8">
        <v>1.36</v>
      </c>
      <c r="E63" s="12">
        <v>6</v>
      </c>
      <c r="F63" s="8">
        <v>0.87</v>
      </c>
      <c r="G63" s="12">
        <v>8</v>
      </c>
      <c r="H63" s="8">
        <v>2.4</v>
      </c>
      <c r="I63" s="12">
        <v>0</v>
      </c>
    </row>
    <row r="64" spans="2:9" ht="15" customHeight="1" x14ac:dyDescent="0.2">
      <c r="B64" t="s">
        <v>178</v>
      </c>
      <c r="C64" s="12">
        <v>13</v>
      </c>
      <c r="D64" s="8">
        <v>1.26</v>
      </c>
      <c r="E64" s="12">
        <v>1</v>
      </c>
      <c r="F64" s="8">
        <v>0.15</v>
      </c>
      <c r="G64" s="12">
        <v>12</v>
      </c>
      <c r="H64" s="8">
        <v>3.59</v>
      </c>
      <c r="I64" s="12">
        <v>0</v>
      </c>
    </row>
    <row r="65" spans="2:9" ht="15" customHeight="1" x14ac:dyDescent="0.2">
      <c r="B65" t="s">
        <v>145</v>
      </c>
      <c r="C65" s="12">
        <v>12</v>
      </c>
      <c r="D65" s="8">
        <v>1.17</v>
      </c>
      <c r="E65" s="12">
        <v>10</v>
      </c>
      <c r="F65" s="8">
        <v>1.46</v>
      </c>
      <c r="G65" s="12">
        <v>2</v>
      </c>
      <c r="H65" s="8">
        <v>0.6</v>
      </c>
      <c r="I65" s="12">
        <v>0</v>
      </c>
    </row>
    <row r="66" spans="2:9" ht="15" customHeight="1" x14ac:dyDescent="0.2">
      <c r="B66" t="s">
        <v>153</v>
      </c>
      <c r="C66" s="12">
        <v>12</v>
      </c>
      <c r="D66" s="8">
        <v>1.17</v>
      </c>
      <c r="E66" s="12">
        <v>9</v>
      </c>
      <c r="F66" s="8">
        <v>1.31</v>
      </c>
      <c r="G66" s="12">
        <v>3</v>
      </c>
      <c r="H66" s="8">
        <v>0.9</v>
      </c>
      <c r="I66" s="12">
        <v>0</v>
      </c>
    </row>
    <row r="67" spans="2:9" ht="15" customHeight="1" x14ac:dyDescent="0.2">
      <c r="B67" t="s">
        <v>132</v>
      </c>
      <c r="C67" s="12">
        <v>12</v>
      </c>
      <c r="D67" s="8">
        <v>1.17</v>
      </c>
      <c r="E67" s="12">
        <v>11</v>
      </c>
      <c r="F67" s="8">
        <v>1.6</v>
      </c>
      <c r="G67" s="12">
        <v>1</v>
      </c>
      <c r="H67" s="8">
        <v>0.3</v>
      </c>
      <c r="I67" s="12">
        <v>0</v>
      </c>
    </row>
    <row r="68" spans="2:9" ht="15" customHeight="1" x14ac:dyDescent="0.2">
      <c r="B68" t="s">
        <v>135</v>
      </c>
      <c r="C68" s="12">
        <v>12</v>
      </c>
      <c r="D68" s="8">
        <v>1.17</v>
      </c>
      <c r="E68" s="12">
        <v>10</v>
      </c>
      <c r="F68" s="8">
        <v>1.46</v>
      </c>
      <c r="G68" s="12">
        <v>2</v>
      </c>
      <c r="H68" s="8">
        <v>0.6</v>
      </c>
      <c r="I68" s="12">
        <v>0</v>
      </c>
    </row>
    <row r="69" spans="2:9" ht="15" customHeight="1" x14ac:dyDescent="0.2">
      <c r="B69" t="s">
        <v>136</v>
      </c>
      <c r="C69" s="12">
        <v>12</v>
      </c>
      <c r="D69" s="8">
        <v>1.17</v>
      </c>
      <c r="E69" s="12">
        <v>12</v>
      </c>
      <c r="F69" s="8">
        <v>1.75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C090-DA73-4119-90AD-FBCB1C44A83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188</v>
      </c>
      <c r="D6" s="8">
        <v>24.16</v>
      </c>
      <c r="E6" s="12">
        <v>73</v>
      </c>
      <c r="F6" s="8">
        <v>19.95</v>
      </c>
      <c r="G6" s="12">
        <v>115</v>
      </c>
      <c r="H6" s="8">
        <v>28.12</v>
      </c>
      <c r="I6" s="12">
        <v>0</v>
      </c>
    </row>
    <row r="7" spans="2:9" ht="15" customHeight="1" x14ac:dyDescent="0.2">
      <c r="B7" t="s">
        <v>47</v>
      </c>
      <c r="C7" s="12">
        <v>69</v>
      </c>
      <c r="D7" s="8">
        <v>8.8699999999999992</v>
      </c>
      <c r="E7" s="12">
        <v>12</v>
      </c>
      <c r="F7" s="8">
        <v>3.28</v>
      </c>
      <c r="G7" s="12">
        <v>57</v>
      </c>
      <c r="H7" s="8">
        <v>13.94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2">
      <c r="B9" t="s">
        <v>49</v>
      </c>
      <c r="C9" s="12">
        <v>6</v>
      </c>
      <c r="D9" s="8">
        <v>0.77</v>
      </c>
      <c r="E9" s="12">
        <v>0</v>
      </c>
      <c r="F9" s="8">
        <v>0</v>
      </c>
      <c r="G9" s="12">
        <v>6</v>
      </c>
      <c r="H9" s="8">
        <v>1.47</v>
      </c>
      <c r="I9" s="12">
        <v>0</v>
      </c>
    </row>
    <row r="10" spans="2:9" ht="15" customHeight="1" x14ac:dyDescent="0.2">
      <c r="B10" t="s">
        <v>50</v>
      </c>
      <c r="C10" s="12">
        <v>18</v>
      </c>
      <c r="D10" s="8">
        <v>2.31</v>
      </c>
      <c r="E10" s="12">
        <v>4</v>
      </c>
      <c r="F10" s="8">
        <v>1.0900000000000001</v>
      </c>
      <c r="G10" s="12">
        <v>14</v>
      </c>
      <c r="H10" s="8">
        <v>3.42</v>
      </c>
      <c r="I10" s="12">
        <v>0</v>
      </c>
    </row>
    <row r="11" spans="2:9" ht="15" customHeight="1" x14ac:dyDescent="0.2">
      <c r="B11" t="s">
        <v>51</v>
      </c>
      <c r="C11" s="12">
        <v>169</v>
      </c>
      <c r="D11" s="8">
        <v>21.72</v>
      </c>
      <c r="E11" s="12">
        <v>78</v>
      </c>
      <c r="F11" s="8">
        <v>21.31</v>
      </c>
      <c r="G11" s="12">
        <v>91</v>
      </c>
      <c r="H11" s="8">
        <v>22.25</v>
      </c>
      <c r="I11" s="12">
        <v>0</v>
      </c>
    </row>
    <row r="12" spans="2:9" ht="15" customHeight="1" x14ac:dyDescent="0.2">
      <c r="B12" t="s">
        <v>52</v>
      </c>
      <c r="C12" s="12">
        <v>5</v>
      </c>
      <c r="D12" s="8">
        <v>0.64</v>
      </c>
      <c r="E12" s="12">
        <v>0</v>
      </c>
      <c r="F12" s="8">
        <v>0</v>
      </c>
      <c r="G12" s="12">
        <v>5</v>
      </c>
      <c r="H12" s="8">
        <v>1.22</v>
      </c>
      <c r="I12" s="12">
        <v>0</v>
      </c>
    </row>
    <row r="13" spans="2:9" ht="15" customHeight="1" x14ac:dyDescent="0.2">
      <c r="B13" t="s">
        <v>53</v>
      </c>
      <c r="C13" s="12">
        <v>39</v>
      </c>
      <c r="D13" s="8">
        <v>5.01</v>
      </c>
      <c r="E13" s="12">
        <v>6</v>
      </c>
      <c r="F13" s="8">
        <v>1.64</v>
      </c>
      <c r="G13" s="12">
        <v>33</v>
      </c>
      <c r="H13" s="8">
        <v>8.07</v>
      </c>
      <c r="I13" s="12">
        <v>0</v>
      </c>
    </row>
    <row r="14" spans="2:9" ht="15" customHeight="1" x14ac:dyDescent="0.2">
      <c r="B14" t="s">
        <v>54</v>
      </c>
      <c r="C14" s="12">
        <v>42</v>
      </c>
      <c r="D14" s="8">
        <v>5.4</v>
      </c>
      <c r="E14" s="12">
        <v>14</v>
      </c>
      <c r="F14" s="8">
        <v>3.83</v>
      </c>
      <c r="G14" s="12">
        <v>28</v>
      </c>
      <c r="H14" s="8">
        <v>6.85</v>
      </c>
      <c r="I14" s="12">
        <v>0</v>
      </c>
    </row>
    <row r="15" spans="2:9" ht="15" customHeight="1" x14ac:dyDescent="0.2">
      <c r="B15" t="s">
        <v>55</v>
      </c>
      <c r="C15" s="12">
        <v>58</v>
      </c>
      <c r="D15" s="8">
        <v>7.46</v>
      </c>
      <c r="E15" s="12">
        <v>47</v>
      </c>
      <c r="F15" s="8">
        <v>12.84</v>
      </c>
      <c r="G15" s="12">
        <v>11</v>
      </c>
      <c r="H15" s="8">
        <v>2.69</v>
      </c>
      <c r="I15" s="12">
        <v>0</v>
      </c>
    </row>
    <row r="16" spans="2:9" ht="15" customHeight="1" x14ac:dyDescent="0.2">
      <c r="B16" t="s">
        <v>56</v>
      </c>
      <c r="C16" s="12">
        <v>100</v>
      </c>
      <c r="D16" s="8">
        <v>12.85</v>
      </c>
      <c r="E16" s="12">
        <v>81</v>
      </c>
      <c r="F16" s="8">
        <v>22.13</v>
      </c>
      <c r="G16" s="12">
        <v>19</v>
      </c>
      <c r="H16" s="8">
        <v>4.6500000000000004</v>
      </c>
      <c r="I16" s="12">
        <v>0</v>
      </c>
    </row>
    <row r="17" spans="2:9" ht="15" customHeight="1" x14ac:dyDescent="0.2">
      <c r="B17" t="s">
        <v>57</v>
      </c>
      <c r="C17" s="12">
        <v>22</v>
      </c>
      <c r="D17" s="8">
        <v>2.83</v>
      </c>
      <c r="E17" s="12">
        <v>15</v>
      </c>
      <c r="F17" s="8">
        <v>4.0999999999999996</v>
      </c>
      <c r="G17" s="12">
        <v>5</v>
      </c>
      <c r="H17" s="8">
        <v>1.22</v>
      </c>
      <c r="I17" s="12">
        <v>0</v>
      </c>
    </row>
    <row r="18" spans="2:9" ht="15" customHeight="1" x14ac:dyDescent="0.2">
      <c r="B18" t="s">
        <v>58</v>
      </c>
      <c r="C18" s="12">
        <v>28</v>
      </c>
      <c r="D18" s="8">
        <v>3.6</v>
      </c>
      <c r="E18" s="12">
        <v>19</v>
      </c>
      <c r="F18" s="8">
        <v>5.19</v>
      </c>
      <c r="G18" s="12">
        <v>9</v>
      </c>
      <c r="H18" s="8">
        <v>2.2000000000000002</v>
      </c>
      <c r="I18" s="12">
        <v>0</v>
      </c>
    </row>
    <row r="19" spans="2:9" ht="15" customHeight="1" x14ac:dyDescent="0.2">
      <c r="B19" t="s">
        <v>59</v>
      </c>
      <c r="C19" s="12">
        <v>33</v>
      </c>
      <c r="D19" s="8">
        <v>4.24</v>
      </c>
      <c r="E19" s="12">
        <v>17</v>
      </c>
      <c r="F19" s="8">
        <v>4.6399999999999997</v>
      </c>
      <c r="G19" s="12">
        <v>15</v>
      </c>
      <c r="H19" s="8">
        <v>3.67</v>
      </c>
      <c r="I19" s="12">
        <v>0</v>
      </c>
    </row>
    <row r="20" spans="2:9" ht="15" customHeight="1" x14ac:dyDescent="0.2">
      <c r="B20" s="9" t="s">
        <v>195</v>
      </c>
      <c r="C20" s="12">
        <f>SUM(LTBL_08235[総数／事業所数])</f>
        <v>778</v>
      </c>
      <c r="E20" s="12">
        <f>SUBTOTAL(109,LTBL_08235[個人／事業所数])</f>
        <v>366</v>
      </c>
      <c r="G20" s="12">
        <f>SUBTOTAL(109,LTBL_08235[法人／事業所数])</f>
        <v>409</v>
      </c>
      <c r="I20" s="12">
        <f>SUBTOTAL(109,LTBL_08235[法人以外の団体／事業所数])</f>
        <v>0</v>
      </c>
    </row>
    <row r="21" spans="2:9" ht="15" customHeight="1" x14ac:dyDescent="0.2">
      <c r="E21" s="11">
        <f>LTBL_08235[[#Totals],[個人／事業所数]]/LTBL_08235[[#Totals],[総数／事業所数]]</f>
        <v>0.4704370179948586</v>
      </c>
      <c r="G21" s="11">
        <f>LTBL_08235[[#Totals],[法人／事業所数]]/LTBL_08235[[#Totals],[総数／事業所数]]</f>
        <v>0.52570694087403602</v>
      </c>
      <c r="I21" s="11">
        <f>LTBL_08235[[#Totals],[法人以外の団体／事業所数]]/LTBL_08235[[#Totals],[総数／事業所数]]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86</v>
      </c>
      <c r="D24" s="8">
        <v>11.05</v>
      </c>
      <c r="E24" s="12">
        <v>77</v>
      </c>
      <c r="F24" s="8">
        <v>21.04</v>
      </c>
      <c r="G24" s="12">
        <v>9</v>
      </c>
      <c r="H24" s="8">
        <v>2.2000000000000002</v>
      </c>
      <c r="I24" s="12">
        <v>0</v>
      </c>
    </row>
    <row r="25" spans="2:9" ht="15" customHeight="1" x14ac:dyDescent="0.2">
      <c r="B25" t="s">
        <v>68</v>
      </c>
      <c r="C25" s="12">
        <v>85</v>
      </c>
      <c r="D25" s="8">
        <v>10.93</v>
      </c>
      <c r="E25" s="12">
        <v>30</v>
      </c>
      <c r="F25" s="8">
        <v>8.1999999999999993</v>
      </c>
      <c r="G25" s="12">
        <v>55</v>
      </c>
      <c r="H25" s="8">
        <v>13.45</v>
      </c>
      <c r="I25" s="12">
        <v>0</v>
      </c>
    </row>
    <row r="26" spans="2:9" ht="15" customHeight="1" x14ac:dyDescent="0.2">
      <c r="B26" t="s">
        <v>69</v>
      </c>
      <c r="C26" s="12">
        <v>61</v>
      </c>
      <c r="D26" s="8">
        <v>7.84</v>
      </c>
      <c r="E26" s="12">
        <v>33</v>
      </c>
      <c r="F26" s="8">
        <v>9.02</v>
      </c>
      <c r="G26" s="12">
        <v>28</v>
      </c>
      <c r="H26" s="8">
        <v>6.85</v>
      </c>
      <c r="I26" s="12">
        <v>0</v>
      </c>
    </row>
    <row r="27" spans="2:9" ht="15" customHeight="1" x14ac:dyDescent="0.2">
      <c r="B27" t="s">
        <v>82</v>
      </c>
      <c r="C27" s="12">
        <v>54</v>
      </c>
      <c r="D27" s="8">
        <v>6.94</v>
      </c>
      <c r="E27" s="12">
        <v>46</v>
      </c>
      <c r="F27" s="8">
        <v>12.57</v>
      </c>
      <c r="G27" s="12">
        <v>8</v>
      </c>
      <c r="H27" s="8">
        <v>1.96</v>
      </c>
      <c r="I27" s="12">
        <v>0</v>
      </c>
    </row>
    <row r="28" spans="2:9" ht="15" customHeight="1" x14ac:dyDescent="0.2">
      <c r="B28" t="s">
        <v>77</v>
      </c>
      <c r="C28" s="12">
        <v>45</v>
      </c>
      <c r="D28" s="8">
        <v>5.78</v>
      </c>
      <c r="E28" s="12">
        <v>18</v>
      </c>
      <c r="F28" s="8">
        <v>4.92</v>
      </c>
      <c r="G28" s="12">
        <v>27</v>
      </c>
      <c r="H28" s="8">
        <v>6.6</v>
      </c>
      <c r="I28" s="12">
        <v>0</v>
      </c>
    </row>
    <row r="29" spans="2:9" ht="15" customHeight="1" x14ac:dyDescent="0.2">
      <c r="B29" t="s">
        <v>70</v>
      </c>
      <c r="C29" s="12">
        <v>42</v>
      </c>
      <c r="D29" s="8">
        <v>5.4</v>
      </c>
      <c r="E29" s="12">
        <v>10</v>
      </c>
      <c r="F29" s="8">
        <v>2.73</v>
      </c>
      <c r="G29" s="12">
        <v>32</v>
      </c>
      <c r="H29" s="8">
        <v>7.82</v>
      </c>
      <c r="I29" s="12">
        <v>0</v>
      </c>
    </row>
    <row r="30" spans="2:9" ht="15" customHeight="1" x14ac:dyDescent="0.2">
      <c r="B30" t="s">
        <v>76</v>
      </c>
      <c r="C30" s="12">
        <v>39</v>
      </c>
      <c r="D30" s="8">
        <v>5.01</v>
      </c>
      <c r="E30" s="12">
        <v>26</v>
      </c>
      <c r="F30" s="8">
        <v>7.1</v>
      </c>
      <c r="G30" s="12">
        <v>13</v>
      </c>
      <c r="H30" s="8">
        <v>3.18</v>
      </c>
      <c r="I30" s="12">
        <v>0</v>
      </c>
    </row>
    <row r="31" spans="2:9" ht="15" customHeight="1" x14ac:dyDescent="0.2">
      <c r="B31" t="s">
        <v>75</v>
      </c>
      <c r="C31" s="12">
        <v>32</v>
      </c>
      <c r="D31" s="8">
        <v>4.1100000000000003</v>
      </c>
      <c r="E31" s="12">
        <v>24</v>
      </c>
      <c r="F31" s="8">
        <v>6.56</v>
      </c>
      <c r="G31" s="12">
        <v>8</v>
      </c>
      <c r="H31" s="8">
        <v>1.96</v>
      </c>
      <c r="I31" s="12">
        <v>0</v>
      </c>
    </row>
    <row r="32" spans="2:9" ht="15" customHeight="1" x14ac:dyDescent="0.2">
      <c r="B32" t="s">
        <v>79</v>
      </c>
      <c r="C32" s="12">
        <v>25</v>
      </c>
      <c r="D32" s="8">
        <v>3.21</v>
      </c>
      <c r="E32" s="12">
        <v>2</v>
      </c>
      <c r="F32" s="8">
        <v>0.55000000000000004</v>
      </c>
      <c r="G32" s="12">
        <v>23</v>
      </c>
      <c r="H32" s="8">
        <v>5.62</v>
      </c>
      <c r="I32" s="12">
        <v>0</v>
      </c>
    </row>
    <row r="33" spans="2:9" ht="15" customHeight="1" x14ac:dyDescent="0.2">
      <c r="B33" t="s">
        <v>81</v>
      </c>
      <c r="C33" s="12">
        <v>23</v>
      </c>
      <c r="D33" s="8">
        <v>2.96</v>
      </c>
      <c r="E33" s="12">
        <v>7</v>
      </c>
      <c r="F33" s="8">
        <v>1.91</v>
      </c>
      <c r="G33" s="12">
        <v>16</v>
      </c>
      <c r="H33" s="8">
        <v>3.91</v>
      </c>
      <c r="I33" s="12">
        <v>0</v>
      </c>
    </row>
    <row r="34" spans="2:9" ht="15" customHeight="1" x14ac:dyDescent="0.2">
      <c r="B34" t="s">
        <v>86</v>
      </c>
      <c r="C34" s="12">
        <v>23</v>
      </c>
      <c r="D34" s="8">
        <v>2.96</v>
      </c>
      <c r="E34" s="12">
        <v>19</v>
      </c>
      <c r="F34" s="8">
        <v>5.19</v>
      </c>
      <c r="G34" s="12">
        <v>4</v>
      </c>
      <c r="H34" s="8">
        <v>0.98</v>
      </c>
      <c r="I34" s="12">
        <v>0</v>
      </c>
    </row>
    <row r="35" spans="2:9" ht="15" customHeight="1" x14ac:dyDescent="0.2">
      <c r="B35" t="s">
        <v>85</v>
      </c>
      <c r="C35" s="12">
        <v>22</v>
      </c>
      <c r="D35" s="8">
        <v>2.83</v>
      </c>
      <c r="E35" s="12">
        <v>15</v>
      </c>
      <c r="F35" s="8">
        <v>4.0999999999999996</v>
      </c>
      <c r="G35" s="12">
        <v>5</v>
      </c>
      <c r="H35" s="8">
        <v>1.22</v>
      </c>
      <c r="I35" s="12">
        <v>0</v>
      </c>
    </row>
    <row r="36" spans="2:9" ht="15" customHeight="1" x14ac:dyDescent="0.2">
      <c r="B36" t="s">
        <v>80</v>
      </c>
      <c r="C36" s="12">
        <v>18</v>
      </c>
      <c r="D36" s="8">
        <v>2.31</v>
      </c>
      <c r="E36" s="12">
        <v>7</v>
      </c>
      <c r="F36" s="8">
        <v>1.91</v>
      </c>
      <c r="G36" s="12">
        <v>11</v>
      </c>
      <c r="H36" s="8">
        <v>2.69</v>
      </c>
      <c r="I36" s="12">
        <v>0</v>
      </c>
    </row>
    <row r="37" spans="2:9" ht="15" customHeight="1" x14ac:dyDescent="0.2">
      <c r="B37" t="s">
        <v>87</v>
      </c>
      <c r="C37" s="12">
        <v>18</v>
      </c>
      <c r="D37" s="8">
        <v>2.31</v>
      </c>
      <c r="E37" s="12">
        <v>14</v>
      </c>
      <c r="F37" s="8">
        <v>3.83</v>
      </c>
      <c r="G37" s="12">
        <v>4</v>
      </c>
      <c r="H37" s="8">
        <v>0.98</v>
      </c>
      <c r="I37" s="12">
        <v>0</v>
      </c>
    </row>
    <row r="38" spans="2:9" ht="15" customHeight="1" x14ac:dyDescent="0.2">
      <c r="B38" t="s">
        <v>72</v>
      </c>
      <c r="C38" s="12">
        <v>13</v>
      </c>
      <c r="D38" s="8">
        <v>1.67</v>
      </c>
      <c r="E38" s="12">
        <v>2</v>
      </c>
      <c r="F38" s="8">
        <v>0.55000000000000004</v>
      </c>
      <c r="G38" s="12">
        <v>11</v>
      </c>
      <c r="H38" s="8">
        <v>2.69</v>
      </c>
      <c r="I38" s="12">
        <v>0</v>
      </c>
    </row>
    <row r="39" spans="2:9" ht="15" customHeight="1" x14ac:dyDescent="0.2">
      <c r="B39" t="s">
        <v>71</v>
      </c>
      <c r="C39" s="12">
        <v>12</v>
      </c>
      <c r="D39" s="8">
        <v>1.54</v>
      </c>
      <c r="E39" s="12">
        <v>3</v>
      </c>
      <c r="F39" s="8">
        <v>0.82</v>
      </c>
      <c r="G39" s="12">
        <v>9</v>
      </c>
      <c r="H39" s="8">
        <v>2.2000000000000002</v>
      </c>
      <c r="I39" s="12">
        <v>0</v>
      </c>
    </row>
    <row r="40" spans="2:9" ht="15" customHeight="1" x14ac:dyDescent="0.2">
      <c r="B40" t="s">
        <v>92</v>
      </c>
      <c r="C40" s="12">
        <v>11</v>
      </c>
      <c r="D40" s="8">
        <v>1.41</v>
      </c>
      <c r="E40" s="12">
        <v>3</v>
      </c>
      <c r="F40" s="8">
        <v>0.82</v>
      </c>
      <c r="G40" s="12">
        <v>8</v>
      </c>
      <c r="H40" s="8">
        <v>1.96</v>
      </c>
      <c r="I40" s="12">
        <v>0</v>
      </c>
    </row>
    <row r="41" spans="2:9" ht="15" customHeight="1" x14ac:dyDescent="0.2">
      <c r="B41" t="s">
        <v>108</v>
      </c>
      <c r="C41" s="12">
        <v>11</v>
      </c>
      <c r="D41" s="8">
        <v>1.41</v>
      </c>
      <c r="E41" s="12">
        <v>2</v>
      </c>
      <c r="F41" s="8">
        <v>0.55000000000000004</v>
      </c>
      <c r="G41" s="12">
        <v>9</v>
      </c>
      <c r="H41" s="8">
        <v>2.2000000000000002</v>
      </c>
      <c r="I41" s="12">
        <v>0</v>
      </c>
    </row>
    <row r="42" spans="2:9" ht="15" customHeight="1" x14ac:dyDescent="0.2">
      <c r="B42" t="s">
        <v>74</v>
      </c>
      <c r="C42" s="12">
        <v>11</v>
      </c>
      <c r="D42" s="8">
        <v>1.41</v>
      </c>
      <c r="E42" s="12">
        <v>5</v>
      </c>
      <c r="F42" s="8">
        <v>1.37</v>
      </c>
      <c r="G42" s="12">
        <v>6</v>
      </c>
      <c r="H42" s="8">
        <v>1.47</v>
      </c>
      <c r="I42" s="12">
        <v>0</v>
      </c>
    </row>
    <row r="43" spans="2:9" ht="15" customHeight="1" x14ac:dyDescent="0.2">
      <c r="B43" t="s">
        <v>73</v>
      </c>
      <c r="C43" s="12">
        <v>10</v>
      </c>
      <c r="D43" s="8">
        <v>1.29</v>
      </c>
      <c r="E43" s="12">
        <v>1</v>
      </c>
      <c r="F43" s="8">
        <v>0.27</v>
      </c>
      <c r="G43" s="12">
        <v>9</v>
      </c>
      <c r="H43" s="8">
        <v>2.2000000000000002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38</v>
      </c>
      <c r="D47" s="8">
        <v>4.88</v>
      </c>
      <c r="E47" s="12">
        <v>36</v>
      </c>
      <c r="F47" s="8">
        <v>9.84</v>
      </c>
      <c r="G47" s="12">
        <v>2</v>
      </c>
      <c r="H47" s="8">
        <v>0.49</v>
      </c>
      <c r="I47" s="12">
        <v>0</v>
      </c>
    </row>
    <row r="48" spans="2:9" ht="15" customHeight="1" x14ac:dyDescent="0.2">
      <c r="B48" t="s">
        <v>133</v>
      </c>
      <c r="C48" s="12">
        <v>35</v>
      </c>
      <c r="D48" s="8">
        <v>4.5</v>
      </c>
      <c r="E48" s="12">
        <v>34</v>
      </c>
      <c r="F48" s="8">
        <v>9.2899999999999991</v>
      </c>
      <c r="G48" s="12">
        <v>1</v>
      </c>
      <c r="H48" s="8">
        <v>0.24</v>
      </c>
      <c r="I48" s="12">
        <v>0</v>
      </c>
    </row>
    <row r="49" spans="2:9" ht="15" customHeight="1" x14ac:dyDescent="0.2">
      <c r="B49" t="s">
        <v>120</v>
      </c>
      <c r="C49" s="12">
        <v>30</v>
      </c>
      <c r="D49" s="8">
        <v>3.86</v>
      </c>
      <c r="E49" s="12">
        <v>16</v>
      </c>
      <c r="F49" s="8">
        <v>4.37</v>
      </c>
      <c r="G49" s="12">
        <v>14</v>
      </c>
      <c r="H49" s="8">
        <v>3.42</v>
      </c>
      <c r="I49" s="12">
        <v>0</v>
      </c>
    </row>
    <row r="50" spans="2:9" ht="15" customHeight="1" x14ac:dyDescent="0.2">
      <c r="B50" t="s">
        <v>124</v>
      </c>
      <c r="C50" s="12">
        <v>29</v>
      </c>
      <c r="D50" s="8">
        <v>3.73</v>
      </c>
      <c r="E50" s="12">
        <v>19</v>
      </c>
      <c r="F50" s="8">
        <v>5.19</v>
      </c>
      <c r="G50" s="12">
        <v>10</v>
      </c>
      <c r="H50" s="8">
        <v>2.44</v>
      </c>
      <c r="I50" s="12">
        <v>0</v>
      </c>
    </row>
    <row r="51" spans="2:9" ht="15" customHeight="1" x14ac:dyDescent="0.2">
      <c r="B51" t="s">
        <v>118</v>
      </c>
      <c r="C51" s="12">
        <v>24</v>
      </c>
      <c r="D51" s="8">
        <v>3.08</v>
      </c>
      <c r="E51" s="12">
        <v>9</v>
      </c>
      <c r="F51" s="8">
        <v>2.46</v>
      </c>
      <c r="G51" s="12">
        <v>15</v>
      </c>
      <c r="H51" s="8">
        <v>3.67</v>
      </c>
      <c r="I51" s="12">
        <v>0</v>
      </c>
    </row>
    <row r="52" spans="2:9" ht="15" customHeight="1" x14ac:dyDescent="0.2">
      <c r="B52" t="s">
        <v>119</v>
      </c>
      <c r="C52" s="12">
        <v>20</v>
      </c>
      <c r="D52" s="8">
        <v>2.57</v>
      </c>
      <c r="E52" s="12">
        <v>3</v>
      </c>
      <c r="F52" s="8">
        <v>0.82</v>
      </c>
      <c r="G52" s="12">
        <v>17</v>
      </c>
      <c r="H52" s="8">
        <v>4.16</v>
      </c>
      <c r="I52" s="12">
        <v>0</v>
      </c>
    </row>
    <row r="53" spans="2:9" ht="15" customHeight="1" x14ac:dyDescent="0.2">
      <c r="B53" t="s">
        <v>122</v>
      </c>
      <c r="C53" s="12">
        <v>20</v>
      </c>
      <c r="D53" s="8">
        <v>2.57</v>
      </c>
      <c r="E53" s="12">
        <v>3</v>
      </c>
      <c r="F53" s="8">
        <v>0.82</v>
      </c>
      <c r="G53" s="12">
        <v>17</v>
      </c>
      <c r="H53" s="8">
        <v>4.16</v>
      </c>
      <c r="I53" s="12">
        <v>0</v>
      </c>
    </row>
    <row r="54" spans="2:9" ht="15" customHeight="1" x14ac:dyDescent="0.2">
      <c r="B54" t="s">
        <v>146</v>
      </c>
      <c r="C54" s="12">
        <v>18</v>
      </c>
      <c r="D54" s="8">
        <v>2.31</v>
      </c>
      <c r="E54" s="12">
        <v>9</v>
      </c>
      <c r="F54" s="8">
        <v>2.46</v>
      </c>
      <c r="G54" s="12">
        <v>9</v>
      </c>
      <c r="H54" s="8">
        <v>2.2000000000000002</v>
      </c>
      <c r="I54" s="12">
        <v>0</v>
      </c>
    </row>
    <row r="55" spans="2:9" ht="15" customHeight="1" x14ac:dyDescent="0.2">
      <c r="B55" t="s">
        <v>132</v>
      </c>
      <c r="C55" s="12">
        <v>18</v>
      </c>
      <c r="D55" s="8">
        <v>2.31</v>
      </c>
      <c r="E55" s="12">
        <v>18</v>
      </c>
      <c r="F55" s="8">
        <v>4.92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137</v>
      </c>
      <c r="C56" s="12">
        <v>18</v>
      </c>
      <c r="D56" s="8">
        <v>2.31</v>
      </c>
      <c r="E56" s="12">
        <v>14</v>
      </c>
      <c r="F56" s="8">
        <v>3.83</v>
      </c>
      <c r="G56" s="12">
        <v>4</v>
      </c>
      <c r="H56" s="8">
        <v>0.98</v>
      </c>
      <c r="I56" s="12">
        <v>0</v>
      </c>
    </row>
    <row r="57" spans="2:9" ht="15" customHeight="1" x14ac:dyDescent="0.2">
      <c r="B57" t="s">
        <v>121</v>
      </c>
      <c r="C57" s="12">
        <v>16</v>
      </c>
      <c r="D57" s="8">
        <v>2.06</v>
      </c>
      <c r="E57" s="12">
        <v>7</v>
      </c>
      <c r="F57" s="8">
        <v>1.91</v>
      </c>
      <c r="G57" s="12">
        <v>9</v>
      </c>
      <c r="H57" s="8">
        <v>2.2000000000000002</v>
      </c>
      <c r="I57" s="12">
        <v>0</v>
      </c>
    </row>
    <row r="58" spans="2:9" ht="15" customHeight="1" x14ac:dyDescent="0.2">
      <c r="B58" t="s">
        <v>123</v>
      </c>
      <c r="C58" s="12">
        <v>14</v>
      </c>
      <c r="D58" s="8">
        <v>1.8</v>
      </c>
      <c r="E58" s="12">
        <v>10</v>
      </c>
      <c r="F58" s="8">
        <v>2.73</v>
      </c>
      <c r="G58" s="12">
        <v>4</v>
      </c>
      <c r="H58" s="8">
        <v>0.98</v>
      </c>
      <c r="I58" s="12">
        <v>0</v>
      </c>
    </row>
    <row r="59" spans="2:9" ht="15" customHeight="1" x14ac:dyDescent="0.2">
      <c r="B59" t="s">
        <v>131</v>
      </c>
      <c r="C59" s="12">
        <v>14</v>
      </c>
      <c r="D59" s="8">
        <v>1.8</v>
      </c>
      <c r="E59" s="12">
        <v>12</v>
      </c>
      <c r="F59" s="8">
        <v>3.28</v>
      </c>
      <c r="G59" s="12">
        <v>2</v>
      </c>
      <c r="H59" s="8">
        <v>0.49</v>
      </c>
      <c r="I59" s="12">
        <v>0</v>
      </c>
    </row>
    <row r="60" spans="2:9" ht="15" customHeight="1" x14ac:dyDescent="0.2">
      <c r="B60" t="s">
        <v>125</v>
      </c>
      <c r="C60" s="12">
        <v>13</v>
      </c>
      <c r="D60" s="8">
        <v>1.67</v>
      </c>
      <c r="E60" s="12">
        <v>2</v>
      </c>
      <c r="F60" s="8">
        <v>0.55000000000000004</v>
      </c>
      <c r="G60" s="12">
        <v>11</v>
      </c>
      <c r="H60" s="8">
        <v>2.69</v>
      </c>
      <c r="I60" s="12">
        <v>0</v>
      </c>
    </row>
    <row r="61" spans="2:9" ht="15" customHeight="1" x14ac:dyDescent="0.2">
      <c r="B61" t="s">
        <v>136</v>
      </c>
      <c r="C61" s="12">
        <v>13</v>
      </c>
      <c r="D61" s="8">
        <v>1.67</v>
      </c>
      <c r="E61" s="12">
        <v>11</v>
      </c>
      <c r="F61" s="8">
        <v>3.01</v>
      </c>
      <c r="G61" s="12">
        <v>2</v>
      </c>
      <c r="H61" s="8">
        <v>0.49</v>
      </c>
      <c r="I61" s="12">
        <v>0</v>
      </c>
    </row>
    <row r="62" spans="2:9" ht="15" customHeight="1" x14ac:dyDescent="0.2">
      <c r="B62" t="s">
        <v>130</v>
      </c>
      <c r="C62" s="12">
        <v>12</v>
      </c>
      <c r="D62" s="8">
        <v>1.54</v>
      </c>
      <c r="E62" s="12">
        <v>1</v>
      </c>
      <c r="F62" s="8">
        <v>0.27</v>
      </c>
      <c r="G62" s="12">
        <v>11</v>
      </c>
      <c r="H62" s="8">
        <v>2.69</v>
      </c>
      <c r="I62" s="12">
        <v>0</v>
      </c>
    </row>
    <row r="63" spans="2:9" ht="15" customHeight="1" x14ac:dyDescent="0.2">
      <c r="B63" t="s">
        <v>135</v>
      </c>
      <c r="C63" s="12">
        <v>12</v>
      </c>
      <c r="D63" s="8">
        <v>1.54</v>
      </c>
      <c r="E63" s="12">
        <v>10</v>
      </c>
      <c r="F63" s="8">
        <v>2.73</v>
      </c>
      <c r="G63" s="12">
        <v>2</v>
      </c>
      <c r="H63" s="8">
        <v>0.49</v>
      </c>
      <c r="I63" s="12">
        <v>0</v>
      </c>
    </row>
    <row r="64" spans="2:9" ht="15" customHeight="1" x14ac:dyDescent="0.2">
      <c r="B64" t="s">
        <v>128</v>
      </c>
      <c r="C64" s="12">
        <v>11</v>
      </c>
      <c r="D64" s="8">
        <v>1.41</v>
      </c>
      <c r="E64" s="12">
        <v>0</v>
      </c>
      <c r="F64" s="8">
        <v>0</v>
      </c>
      <c r="G64" s="12">
        <v>11</v>
      </c>
      <c r="H64" s="8">
        <v>2.69</v>
      </c>
      <c r="I64" s="12">
        <v>0</v>
      </c>
    </row>
    <row r="65" spans="2:9" ht="15" customHeight="1" x14ac:dyDescent="0.2">
      <c r="B65" t="s">
        <v>179</v>
      </c>
      <c r="C65" s="12">
        <v>10</v>
      </c>
      <c r="D65" s="8">
        <v>1.29</v>
      </c>
      <c r="E65" s="12">
        <v>1</v>
      </c>
      <c r="F65" s="8">
        <v>0.27</v>
      </c>
      <c r="G65" s="12">
        <v>9</v>
      </c>
      <c r="H65" s="8">
        <v>2.2000000000000002</v>
      </c>
      <c r="I65" s="12">
        <v>0</v>
      </c>
    </row>
    <row r="66" spans="2:9" ht="15" customHeight="1" x14ac:dyDescent="0.2">
      <c r="B66" t="s">
        <v>151</v>
      </c>
      <c r="C66" s="12">
        <v>9</v>
      </c>
      <c r="D66" s="8">
        <v>1.1599999999999999</v>
      </c>
      <c r="E66" s="12">
        <v>2</v>
      </c>
      <c r="F66" s="8">
        <v>0.55000000000000004</v>
      </c>
      <c r="G66" s="12">
        <v>7</v>
      </c>
      <c r="H66" s="8">
        <v>1.71</v>
      </c>
      <c r="I66" s="12">
        <v>0</v>
      </c>
    </row>
    <row r="67" spans="2:9" ht="15" customHeight="1" x14ac:dyDescent="0.2">
      <c r="B67" t="s">
        <v>153</v>
      </c>
      <c r="C67" s="12">
        <v>9</v>
      </c>
      <c r="D67" s="8">
        <v>1.1599999999999999</v>
      </c>
      <c r="E67" s="12">
        <v>4</v>
      </c>
      <c r="F67" s="8">
        <v>1.0900000000000001</v>
      </c>
      <c r="G67" s="12">
        <v>5</v>
      </c>
      <c r="H67" s="8">
        <v>1.22</v>
      </c>
      <c r="I67" s="12">
        <v>0</v>
      </c>
    </row>
    <row r="68" spans="2:9" ht="15" customHeight="1" x14ac:dyDescent="0.2">
      <c r="B68" t="s">
        <v>126</v>
      </c>
      <c r="C68" s="12">
        <v>9</v>
      </c>
      <c r="D68" s="8">
        <v>1.1599999999999999</v>
      </c>
      <c r="E68" s="12">
        <v>2</v>
      </c>
      <c r="F68" s="8">
        <v>0.55000000000000004</v>
      </c>
      <c r="G68" s="12">
        <v>7</v>
      </c>
      <c r="H68" s="8">
        <v>1.71</v>
      </c>
      <c r="I68" s="12">
        <v>0</v>
      </c>
    </row>
    <row r="69" spans="2:9" ht="15" customHeight="1" x14ac:dyDescent="0.2">
      <c r="B69" t="s">
        <v>129</v>
      </c>
      <c r="C69" s="12">
        <v>9</v>
      </c>
      <c r="D69" s="8">
        <v>1.1599999999999999</v>
      </c>
      <c r="E69" s="12">
        <v>2</v>
      </c>
      <c r="F69" s="8">
        <v>0.55000000000000004</v>
      </c>
      <c r="G69" s="12">
        <v>7</v>
      </c>
      <c r="H69" s="8">
        <v>1.71</v>
      </c>
      <c r="I69" s="12">
        <v>0</v>
      </c>
    </row>
    <row r="71" spans="2:9" ht="15" customHeight="1" x14ac:dyDescent="0.2">
      <c r="B71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F0B1-E692-4419-9DF0-1917DF2CCEA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2">
      <c r="B6" t="s">
        <v>46</v>
      </c>
      <c r="C6" s="12">
        <v>228</v>
      </c>
      <c r="D6" s="8">
        <v>23.08</v>
      </c>
      <c r="E6" s="12">
        <v>106</v>
      </c>
      <c r="F6" s="8">
        <v>19.920000000000002</v>
      </c>
      <c r="G6" s="12">
        <v>122</v>
      </c>
      <c r="H6" s="8">
        <v>27.17</v>
      </c>
      <c r="I6" s="12">
        <v>0</v>
      </c>
    </row>
    <row r="7" spans="2:9" ht="15" customHeight="1" x14ac:dyDescent="0.2">
      <c r="B7" t="s">
        <v>47</v>
      </c>
      <c r="C7" s="12">
        <v>91</v>
      </c>
      <c r="D7" s="8">
        <v>9.2100000000000009</v>
      </c>
      <c r="E7" s="12">
        <v>25</v>
      </c>
      <c r="F7" s="8">
        <v>4.7</v>
      </c>
      <c r="G7" s="12">
        <v>66</v>
      </c>
      <c r="H7" s="8">
        <v>14.7</v>
      </c>
      <c r="I7" s="12">
        <v>0</v>
      </c>
    </row>
    <row r="8" spans="2:9" ht="15" customHeight="1" x14ac:dyDescent="0.2">
      <c r="B8" t="s">
        <v>48</v>
      </c>
      <c r="C8" s="12">
        <v>7</v>
      </c>
      <c r="D8" s="8">
        <v>0.71</v>
      </c>
      <c r="E8" s="12">
        <v>0</v>
      </c>
      <c r="F8" s="8">
        <v>0</v>
      </c>
      <c r="G8" s="12">
        <v>7</v>
      </c>
      <c r="H8" s="8">
        <v>1.56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0.3</v>
      </c>
      <c r="E9" s="12">
        <v>1</v>
      </c>
      <c r="F9" s="8">
        <v>0.19</v>
      </c>
      <c r="G9" s="12">
        <v>2</v>
      </c>
      <c r="H9" s="8">
        <v>0.45</v>
      </c>
      <c r="I9" s="12">
        <v>0</v>
      </c>
    </row>
    <row r="10" spans="2:9" ht="15" customHeight="1" x14ac:dyDescent="0.2">
      <c r="B10" t="s">
        <v>50</v>
      </c>
      <c r="C10" s="12">
        <v>18</v>
      </c>
      <c r="D10" s="8">
        <v>1.82</v>
      </c>
      <c r="E10" s="12">
        <v>2</v>
      </c>
      <c r="F10" s="8">
        <v>0.38</v>
      </c>
      <c r="G10" s="12">
        <v>16</v>
      </c>
      <c r="H10" s="8">
        <v>3.56</v>
      </c>
      <c r="I10" s="12">
        <v>0</v>
      </c>
    </row>
    <row r="11" spans="2:9" ht="15" customHeight="1" x14ac:dyDescent="0.2">
      <c r="B11" t="s">
        <v>51</v>
      </c>
      <c r="C11" s="12">
        <v>209</v>
      </c>
      <c r="D11" s="8">
        <v>21.15</v>
      </c>
      <c r="E11" s="12">
        <v>111</v>
      </c>
      <c r="F11" s="8">
        <v>20.86</v>
      </c>
      <c r="G11" s="12">
        <v>98</v>
      </c>
      <c r="H11" s="8">
        <v>21.83</v>
      </c>
      <c r="I11" s="12">
        <v>0</v>
      </c>
    </row>
    <row r="12" spans="2:9" ht="15" customHeight="1" x14ac:dyDescent="0.2">
      <c r="B12" t="s">
        <v>52</v>
      </c>
      <c r="C12" s="12">
        <v>6</v>
      </c>
      <c r="D12" s="8">
        <v>0.61</v>
      </c>
      <c r="E12" s="12">
        <v>3</v>
      </c>
      <c r="F12" s="8">
        <v>0.56000000000000005</v>
      </c>
      <c r="G12" s="12">
        <v>3</v>
      </c>
      <c r="H12" s="8">
        <v>0.67</v>
      </c>
      <c r="I12" s="12">
        <v>0</v>
      </c>
    </row>
    <row r="13" spans="2:9" ht="15" customHeight="1" x14ac:dyDescent="0.2">
      <c r="B13" t="s">
        <v>53</v>
      </c>
      <c r="C13" s="12">
        <v>73</v>
      </c>
      <c r="D13" s="8">
        <v>7.39</v>
      </c>
      <c r="E13" s="12">
        <v>34</v>
      </c>
      <c r="F13" s="8">
        <v>6.39</v>
      </c>
      <c r="G13" s="12">
        <v>39</v>
      </c>
      <c r="H13" s="8">
        <v>8.69</v>
      </c>
      <c r="I13" s="12">
        <v>0</v>
      </c>
    </row>
    <row r="14" spans="2:9" ht="15" customHeight="1" x14ac:dyDescent="0.2">
      <c r="B14" t="s">
        <v>54</v>
      </c>
      <c r="C14" s="12">
        <v>36</v>
      </c>
      <c r="D14" s="8">
        <v>3.64</v>
      </c>
      <c r="E14" s="12">
        <v>18</v>
      </c>
      <c r="F14" s="8">
        <v>3.38</v>
      </c>
      <c r="G14" s="12">
        <v>18</v>
      </c>
      <c r="H14" s="8">
        <v>4.01</v>
      </c>
      <c r="I14" s="12">
        <v>0</v>
      </c>
    </row>
    <row r="15" spans="2:9" ht="15" customHeight="1" x14ac:dyDescent="0.2">
      <c r="B15" t="s">
        <v>55</v>
      </c>
      <c r="C15" s="12">
        <v>72</v>
      </c>
      <c r="D15" s="8">
        <v>7.29</v>
      </c>
      <c r="E15" s="12">
        <v>54</v>
      </c>
      <c r="F15" s="8">
        <v>10.15</v>
      </c>
      <c r="G15" s="12">
        <v>18</v>
      </c>
      <c r="H15" s="8">
        <v>4.01</v>
      </c>
      <c r="I15" s="12">
        <v>0</v>
      </c>
    </row>
    <row r="16" spans="2:9" ht="15" customHeight="1" x14ac:dyDescent="0.2">
      <c r="B16" t="s">
        <v>56</v>
      </c>
      <c r="C16" s="12">
        <v>138</v>
      </c>
      <c r="D16" s="8">
        <v>13.97</v>
      </c>
      <c r="E16" s="12">
        <v>118</v>
      </c>
      <c r="F16" s="8">
        <v>22.18</v>
      </c>
      <c r="G16" s="12">
        <v>20</v>
      </c>
      <c r="H16" s="8">
        <v>4.45</v>
      </c>
      <c r="I16" s="12">
        <v>0</v>
      </c>
    </row>
    <row r="17" spans="2:9" ht="15" customHeight="1" x14ac:dyDescent="0.2">
      <c r="B17" t="s">
        <v>57</v>
      </c>
      <c r="C17" s="12">
        <v>25</v>
      </c>
      <c r="D17" s="8">
        <v>2.5299999999999998</v>
      </c>
      <c r="E17" s="12">
        <v>15</v>
      </c>
      <c r="F17" s="8">
        <v>2.82</v>
      </c>
      <c r="G17" s="12">
        <v>5</v>
      </c>
      <c r="H17" s="8">
        <v>1.1100000000000001</v>
      </c>
      <c r="I17" s="12">
        <v>0</v>
      </c>
    </row>
    <row r="18" spans="2:9" ht="15" customHeight="1" x14ac:dyDescent="0.2">
      <c r="B18" t="s">
        <v>58</v>
      </c>
      <c r="C18" s="12">
        <v>30</v>
      </c>
      <c r="D18" s="8">
        <v>3.04</v>
      </c>
      <c r="E18" s="12">
        <v>14</v>
      </c>
      <c r="F18" s="8">
        <v>2.63</v>
      </c>
      <c r="G18" s="12">
        <v>16</v>
      </c>
      <c r="H18" s="8">
        <v>3.56</v>
      </c>
      <c r="I18" s="12">
        <v>0</v>
      </c>
    </row>
    <row r="19" spans="2:9" ht="15" customHeight="1" x14ac:dyDescent="0.2">
      <c r="B19" t="s">
        <v>59</v>
      </c>
      <c r="C19" s="12">
        <v>51</v>
      </c>
      <c r="D19" s="8">
        <v>5.16</v>
      </c>
      <c r="E19" s="12">
        <v>31</v>
      </c>
      <c r="F19" s="8">
        <v>5.83</v>
      </c>
      <c r="G19" s="12">
        <v>18</v>
      </c>
      <c r="H19" s="8">
        <v>4.01</v>
      </c>
      <c r="I19" s="12">
        <v>0</v>
      </c>
    </row>
    <row r="20" spans="2:9" ht="15" customHeight="1" x14ac:dyDescent="0.2">
      <c r="B20" s="9" t="s">
        <v>195</v>
      </c>
      <c r="C20" s="12">
        <f>SUM(LTBL_08236[総数／事業所数])</f>
        <v>988</v>
      </c>
      <c r="E20" s="12">
        <f>SUBTOTAL(109,LTBL_08236[個人／事業所数])</f>
        <v>532</v>
      </c>
      <c r="G20" s="12">
        <f>SUBTOTAL(109,LTBL_08236[法人／事業所数])</f>
        <v>449</v>
      </c>
      <c r="I20" s="12">
        <f>SUBTOTAL(109,LTBL_08236[法人以外の団体／事業所数])</f>
        <v>0</v>
      </c>
    </row>
    <row r="21" spans="2:9" ht="15" customHeight="1" x14ac:dyDescent="0.2">
      <c r="E21" s="11">
        <f>LTBL_08236[[#Totals],[個人／事業所数]]/LTBL_08236[[#Totals],[総数／事業所数]]</f>
        <v>0.53846153846153844</v>
      </c>
      <c r="G21" s="11">
        <f>LTBL_08236[[#Totals],[法人／事業所数]]/LTBL_08236[[#Totals],[総数／事業所数]]</f>
        <v>0.45445344129554655</v>
      </c>
      <c r="I21" s="11">
        <f>LTBL_08236[[#Totals],[法人以外の団体／事業所数]]/LTBL_08236[[#Totals],[総数／事業所数]]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122</v>
      </c>
      <c r="D24" s="8">
        <v>12.35</v>
      </c>
      <c r="E24" s="12">
        <v>112</v>
      </c>
      <c r="F24" s="8">
        <v>21.05</v>
      </c>
      <c r="G24" s="12">
        <v>10</v>
      </c>
      <c r="H24" s="8">
        <v>2.23</v>
      </c>
      <c r="I24" s="12">
        <v>0</v>
      </c>
    </row>
    <row r="25" spans="2:9" ht="15" customHeight="1" x14ac:dyDescent="0.2">
      <c r="B25" t="s">
        <v>68</v>
      </c>
      <c r="C25" s="12">
        <v>110</v>
      </c>
      <c r="D25" s="8">
        <v>11.13</v>
      </c>
      <c r="E25" s="12">
        <v>42</v>
      </c>
      <c r="F25" s="8">
        <v>7.89</v>
      </c>
      <c r="G25" s="12">
        <v>68</v>
      </c>
      <c r="H25" s="8">
        <v>15.14</v>
      </c>
      <c r="I25" s="12">
        <v>0</v>
      </c>
    </row>
    <row r="26" spans="2:9" ht="15" customHeight="1" x14ac:dyDescent="0.2">
      <c r="B26" t="s">
        <v>69</v>
      </c>
      <c r="C26" s="12">
        <v>71</v>
      </c>
      <c r="D26" s="8">
        <v>7.19</v>
      </c>
      <c r="E26" s="12">
        <v>47</v>
      </c>
      <c r="F26" s="8">
        <v>8.83</v>
      </c>
      <c r="G26" s="12">
        <v>24</v>
      </c>
      <c r="H26" s="8">
        <v>5.35</v>
      </c>
      <c r="I26" s="12">
        <v>0</v>
      </c>
    </row>
    <row r="27" spans="2:9" ht="15" customHeight="1" x14ac:dyDescent="0.2">
      <c r="B27" t="s">
        <v>77</v>
      </c>
      <c r="C27" s="12">
        <v>62</v>
      </c>
      <c r="D27" s="8">
        <v>6.28</v>
      </c>
      <c r="E27" s="12">
        <v>30</v>
      </c>
      <c r="F27" s="8">
        <v>5.64</v>
      </c>
      <c r="G27" s="12">
        <v>32</v>
      </c>
      <c r="H27" s="8">
        <v>7.13</v>
      </c>
      <c r="I27" s="12">
        <v>0</v>
      </c>
    </row>
    <row r="28" spans="2:9" ht="15" customHeight="1" x14ac:dyDescent="0.2">
      <c r="B28" t="s">
        <v>82</v>
      </c>
      <c r="C28" s="12">
        <v>56</v>
      </c>
      <c r="D28" s="8">
        <v>5.67</v>
      </c>
      <c r="E28" s="12">
        <v>51</v>
      </c>
      <c r="F28" s="8">
        <v>9.59</v>
      </c>
      <c r="G28" s="12">
        <v>5</v>
      </c>
      <c r="H28" s="8">
        <v>1.1100000000000001</v>
      </c>
      <c r="I28" s="12">
        <v>0</v>
      </c>
    </row>
    <row r="29" spans="2:9" ht="15" customHeight="1" x14ac:dyDescent="0.2">
      <c r="B29" t="s">
        <v>79</v>
      </c>
      <c r="C29" s="12">
        <v>52</v>
      </c>
      <c r="D29" s="8">
        <v>5.26</v>
      </c>
      <c r="E29" s="12">
        <v>32</v>
      </c>
      <c r="F29" s="8">
        <v>6.02</v>
      </c>
      <c r="G29" s="12">
        <v>20</v>
      </c>
      <c r="H29" s="8">
        <v>4.45</v>
      </c>
      <c r="I29" s="12">
        <v>0</v>
      </c>
    </row>
    <row r="30" spans="2:9" ht="15" customHeight="1" x14ac:dyDescent="0.2">
      <c r="B30" t="s">
        <v>70</v>
      </c>
      <c r="C30" s="12">
        <v>47</v>
      </c>
      <c r="D30" s="8">
        <v>4.76</v>
      </c>
      <c r="E30" s="12">
        <v>17</v>
      </c>
      <c r="F30" s="8">
        <v>3.2</v>
      </c>
      <c r="G30" s="12">
        <v>30</v>
      </c>
      <c r="H30" s="8">
        <v>6.68</v>
      </c>
      <c r="I30" s="12">
        <v>0</v>
      </c>
    </row>
    <row r="31" spans="2:9" ht="15" customHeight="1" x14ac:dyDescent="0.2">
      <c r="B31" t="s">
        <v>75</v>
      </c>
      <c r="C31" s="12">
        <v>40</v>
      </c>
      <c r="D31" s="8">
        <v>4.05</v>
      </c>
      <c r="E31" s="12">
        <v>32</v>
      </c>
      <c r="F31" s="8">
        <v>6.02</v>
      </c>
      <c r="G31" s="12">
        <v>8</v>
      </c>
      <c r="H31" s="8">
        <v>1.78</v>
      </c>
      <c r="I31" s="12">
        <v>0</v>
      </c>
    </row>
    <row r="32" spans="2:9" ht="15" customHeight="1" x14ac:dyDescent="0.2">
      <c r="B32" t="s">
        <v>87</v>
      </c>
      <c r="C32" s="12">
        <v>39</v>
      </c>
      <c r="D32" s="8">
        <v>3.95</v>
      </c>
      <c r="E32" s="12">
        <v>29</v>
      </c>
      <c r="F32" s="8">
        <v>5.45</v>
      </c>
      <c r="G32" s="12">
        <v>10</v>
      </c>
      <c r="H32" s="8">
        <v>2.23</v>
      </c>
      <c r="I32" s="12">
        <v>0</v>
      </c>
    </row>
    <row r="33" spans="2:9" ht="15" customHeight="1" x14ac:dyDescent="0.2">
      <c r="B33" t="s">
        <v>76</v>
      </c>
      <c r="C33" s="12">
        <v>35</v>
      </c>
      <c r="D33" s="8">
        <v>3.54</v>
      </c>
      <c r="E33" s="12">
        <v>27</v>
      </c>
      <c r="F33" s="8">
        <v>5.08</v>
      </c>
      <c r="G33" s="12">
        <v>8</v>
      </c>
      <c r="H33" s="8">
        <v>1.78</v>
      </c>
      <c r="I33" s="12">
        <v>0</v>
      </c>
    </row>
    <row r="34" spans="2:9" ht="15" customHeight="1" x14ac:dyDescent="0.2">
      <c r="B34" t="s">
        <v>85</v>
      </c>
      <c r="C34" s="12">
        <v>25</v>
      </c>
      <c r="D34" s="8">
        <v>2.5299999999999998</v>
      </c>
      <c r="E34" s="12">
        <v>15</v>
      </c>
      <c r="F34" s="8">
        <v>2.82</v>
      </c>
      <c r="G34" s="12">
        <v>5</v>
      </c>
      <c r="H34" s="8">
        <v>1.1100000000000001</v>
      </c>
      <c r="I34" s="12">
        <v>0</v>
      </c>
    </row>
    <row r="35" spans="2:9" ht="15" customHeight="1" x14ac:dyDescent="0.2">
      <c r="B35" t="s">
        <v>81</v>
      </c>
      <c r="C35" s="12">
        <v>21</v>
      </c>
      <c r="D35" s="8">
        <v>2.13</v>
      </c>
      <c r="E35" s="12">
        <v>11</v>
      </c>
      <c r="F35" s="8">
        <v>2.0699999999999998</v>
      </c>
      <c r="G35" s="12">
        <v>10</v>
      </c>
      <c r="H35" s="8">
        <v>2.23</v>
      </c>
      <c r="I35" s="12">
        <v>0</v>
      </c>
    </row>
    <row r="36" spans="2:9" ht="15" customHeight="1" x14ac:dyDescent="0.2">
      <c r="B36" t="s">
        <v>74</v>
      </c>
      <c r="C36" s="12">
        <v>18</v>
      </c>
      <c r="D36" s="8">
        <v>1.82</v>
      </c>
      <c r="E36" s="12">
        <v>12</v>
      </c>
      <c r="F36" s="8">
        <v>2.2599999999999998</v>
      </c>
      <c r="G36" s="12">
        <v>6</v>
      </c>
      <c r="H36" s="8">
        <v>1.34</v>
      </c>
      <c r="I36" s="12">
        <v>0</v>
      </c>
    </row>
    <row r="37" spans="2:9" ht="15" customHeight="1" x14ac:dyDescent="0.2">
      <c r="B37" t="s">
        <v>72</v>
      </c>
      <c r="C37" s="12">
        <v>16</v>
      </c>
      <c r="D37" s="8">
        <v>1.62</v>
      </c>
      <c r="E37" s="12">
        <v>3</v>
      </c>
      <c r="F37" s="8">
        <v>0.56000000000000005</v>
      </c>
      <c r="G37" s="12">
        <v>13</v>
      </c>
      <c r="H37" s="8">
        <v>2.9</v>
      </c>
      <c r="I37" s="12">
        <v>0</v>
      </c>
    </row>
    <row r="38" spans="2:9" ht="15" customHeight="1" x14ac:dyDescent="0.2">
      <c r="B38" t="s">
        <v>86</v>
      </c>
      <c r="C38" s="12">
        <v>16</v>
      </c>
      <c r="D38" s="8">
        <v>1.62</v>
      </c>
      <c r="E38" s="12">
        <v>14</v>
      </c>
      <c r="F38" s="8">
        <v>2.63</v>
      </c>
      <c r="G38" s="12">
        <v>2</v>
      </c>
      <c r="H38" s="8">
        <v>0.45</v>
      </c>
      <c r="I38" s="12">
        <v>0</v>
      </c>
    </row>
    <row r="39" spans="2:9" ht="15" customHeight="1" x14ac:dyDescent="0.2">
      <c r="B39" t="s">
        <v>78</v>
      </c>
      <c r="C39" s="12">
        <v>15</v>
      </c>
      <c r="D39" s="8">
        <v>1.52</v>
      </c>
      <c r="E39" s="12">
        <v>2</v>
      </c>
      <c r="F39" s="8">
        <v>0.38</v>
      </c>
      <c r="G39" s="12">
        <v>13</v>
      </c>
      <c r="H39" s="8">
        <v>2.9</v>
      </c>
      <c r="I39" s="12">
        <v>0</v>
      </c>
    </row>
    <row r="40" spans="2:9" ht="15" customHeight="1" x14ac:dyDescent="0.2">
      <c r="B40" t="s">
        <v>84</v>
      </c>
      <c r="C40" s="12">
        <v>15</v>
      </c>
      <c r="D40" s="8">
        <v>1.52</v>
      </c>
      <c r="E40" s="12">
        <v>5</v>
      </c>
      <c r="F40" s="8">
        <v>0.94</v>
      </c>
      <c r="G40" s="12">
        <v>10</v>
      </c>
      <c r="H40" s="8">
        <v>2.23</v>
      </c>
      <c r="I40" s="12">
        <v>0</v>
      </c>
    </row>
    <row r="41" spans="2:9" ht="15" customHeight="1" x14ac:dyDescent="0.2">
      <c r="B41" t="s">
        <v>93</v>
      </c>
      <c r="C41" s="12">
        <v>14</v>
      </c>
      <c r="D41" s="8">
        <v>1.42</v>
      </c>
      <c r="E41" s="12">
        <v>3</v>
      </c>
      <c r="F41" s="8">
        <v>0.56000000000000005</v>
      </c>
      <c r="G41" s="12">
        <v>11</v>
      </c>
      <c r="H41" s="8">
        <v>2.4500000000000002</v>
      </c>
      <c r="I41" s="12">
        <v>0</v>
      </c>
    </row>
    <row r="42" spans="2:9" ht="15" customHeight="1" x14ac:dyDescent="0.2">
      <c r="B42" t="s">
        <v>96</v>
      </c>
      <c r="C42" s="12">
        <v>14</v>
      </c>
      <c r="D42" s="8">
        <v>1.42</v>
      </c>
      <c r="E42" s="12">
        <v>0</v>
      </c>
      <c r="F42" s="8">
        <v>0</v>
      </c>
      <c r="G42" s="12">
        <v>14</v>
      </c>
      <c r="H42" s="8">
        <v>3.12</v>
      </c>
      <c r="I42" s="12">
        <v>0</v>
      </c>
    </row>
    <row r="43" spans="2:9" ht="15" customHeight="1" x14ac:dyDescent="0.2">
      <c r="B43" t="s">
        <v>80</v>
      </c>
      <c r="C43" s="12">
        <v>13</v>
      </c>
      <c r="D43" s="8">
        <v>1.32</v>
      </c>
      <c r="E43" s="12">
        <v>7</v>
      </c>
      <c r="F43" s="8">
        <v>1.32</v>
      </c>
      <c r="G43" s="12">
        <v>6</v>
      </c>
      <c r="H43" s="8">
        <v>1.34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133</v>
      </c>
      <c r="C47" s="12">
        <v>59</v>
      </c>
      <c r="D47" s="8">
        <v>5.97</v>
      </c>
      <c r="E47" s="12">
        <v>58</v>
      </c>
      <c r="F47" s="8">
        <v>10.9</v>
      </c>
      <c r="G47" s="12">
        <v>1</v>
      </c>
      <c r="H47" s="8">
        <v>0.22</v>
      </c>
      <c r="I47" s="12">
        <v>0</v>
      </c>
    </row>
    <row r="48" spans="2:9" ht="15" customHeight="1" x14ac:dyDescent="0.2">
      <c r="B48" t="s">
        <v>134</v>
      </c>
      <c r="C48" s="12">
        <v>55</v>
      </c>
      <c r="D48" s="8">
        <v>5.57</v>
      </c>
      <c r="E48" s="12">
        <v>50</v>
      </c>
      <c r="F48" s="8">
        <v>9.4</v>
      </c>
      <c r="G48" s="12">
        <v>5</v>
      </c>
      <c r="H48" s="8">
        <v>1.1100000000000001</v>
      </c>
      <c r="I48" s="12">
        <v>0</v>
      </c>
    </row>
    <row r="49" spans="2:9" ht="15" customHeight="1" x14ac:dyDescent="0.2">
      <c r="B49" t="s">
        <v>118</v>
      </c>
      <c r="C49" s="12">
        <v>40</v>
      </c>
      <c r="D49" s="8">
        <v>4.05</v>
      </c>
      <c r="E49" s="12">
        <v>5</v>
      </c>
      <c r="F49" s="8">
        <v>0.94</v>
      </c>
      <c r="G49" s="12">
        <v>35</v>
      </c>
      <c r="H49" s="8">
        <v>7.8</v>
      </c>
      <c r="I49" s="12">
        <v>0</v>
      </c>
    </row>
    <row r="50" spans="2:9" ht="15" customHeight="1" x14ac:dyDescent="0.2">
      <c r="B50" t="s">
        <v>137</v>
      </c>
      <c r="C50" s="12">
        <v>39</v>
      </c>
      <c r="D50" s="8">
        <v>3.95</v>
      </c>
      <c r="E50" s="12">
        <v>29</v>
      </c>
      <c r="F50" s="8">
        <v>5.45</v>
      </c>
      <c r="G50" s="12">
        <v>10</v>
      </c>
      <c r="H50" s="8">
        <v>2.23</v>
      </c>
      <c r="I50" s="12">
        <v>0</v>
      </c>
    </row>
    <row r="51" spans="2:9" ht="15" customHeight="1" x14ac:dyDescent="0.2">
      <c r="B51" t="s">
        <v>120</v>
      </c>
      <c r="C51" s="12">
        <v>38</v>
      </c>
      <c r="D51" s="8">
        <v>3.85</v>
      </c>
      <c r="E51" s="12">
        <v>25</v>
      </c>
      <c r="F51" s="8">
        <v>4.7</v>
      </c>
      <c r="G51" s="12">
        <v>13</v>
      </c>
      <c r="H51" s="8">
        <v>2.9</v>
      </c>
      <c r="I51" s="12">
        <v>0</v>
      </c>
    </row>
    <row r="52" spans="2:9" ht="15" customHeight="1" x14ac:dyDescent="0.2">
      <c r="B52" t="s">
        <v>129</v>
      </c>
      <c r="C52" s="12">
        <v>34</v>
      </c>
      <c r="D52" s="8">
        <v>3.44</v>
      </c>
      <c r="E52" s="12">
        <v>28</v>
      </c>
      <c r="F52" s="8">
        <v>5.26</v>
      </c>
      <c r="G52" s="12">
        <v>6</v>
      </c>
      <c r="H52" s="8">
        <v>1.34</v>
      </c>
      <c r="I52" s="12">
        <v>0</v>
      </c>
    </row>
    <row r="53" spans="2:9" ht="15" customHeight="1" x14ac:dyDescent="0.2">
      <c r="B53" t="s">
        <v>124</v>
      </c>
      <c r="C53" s="12">
        <v>27</v>
      </c>
      <c r="D53" s="8">
        <v>2.73</v>
      </c>
      <c r="E53" s="12">
        <v>20</v>
      </c>
      <c r="F53" s="8">
        <v>3.76</v>
      </c>
      <c r="G53" s="12">
        <v>7</v>
      </c>
      <c r="H53" s="8">
        <v>1.56</v>
      </c>
      <c r="I53" s="12">
        <v>0</v>
      </c>
    </row>
    <row r="54" spans="2:9" ht="15" customHeight="1" x14ac:dyDescent="0.2">
      <c r="B54" t="s">
        <v>121</v>
      </c>
      <c r="C54" s="12">
        <v>26</v>
      </c>
      <c r="D54" s="8">
        <v>2.63</v>
      </c>
      <c r="E54" s="12">
        <v>10</v>
      </c>
      <c r="F54" s="8">
        <v>1.88</v>
      </c>
      <c r="G54" s="12">
        <v>16</v>
      </c>
      <c r="H54" s="8">
        <v>3.56</v>
      </c>
      <c r="I54" s="12">
        <v>0</v>
      </c>
    </row>
    <row r="55" spans="2:9" ht="15" customHeight="1" x14ac:dyDescent="0.2">
      <c r="B55" t="s">
        <v>126</v>
      </c>
      <c r="C55" s="12">
        <v>20</v>
      </c>
      <c r="D55" s="8">
        <v>2.02</v>
      </c>
      <c r="E55" s="12">
        <v>6</v>
      </c>
      <c r="F55" s="8">
        <v>1.1299999999999999</v>
      </c>
      <c r="G55" s="12">
        <v>14</v>
      </c>
      <c r="H55" s="8">
        <v>3.12</v>
      </c>
      <c r="I55" s="12">
        <v>0</v>
      </c>
    </row>
    <row r="56" spans="2:9" ht="15" customHeight="1" x14ac:dyDescent="0.2">
      <c r="B56" t="s">
        <v>132</v>
      </c>
      <c r="C56" s="12">
        <v>19</v>
      </c>
      <c r="D56" s="8">
        <v>1.92</v>
      </c>
      <c r="E56" s="12">
        <v>19</v>
      </c>
      <c r="F56" s="8">
        <v>3.57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119</v>
      </c>
      <c r="C57" s="12">
        <v>17</v>
      </c>
      <c r="D57" s="8">
        <v>1.72</v>
      </c>
      <c r="E57" s="12">
        <v>7</v>
      </c>
      <c r="F57" s="8">
        <v>1.32</v>
      </c>
      <c r="G57" s="12">
        <v>10</v>
      </c>
      <c r="H57" s="8">
        <v>2.23</v>
      </c>
      <c r="I57" s="12">
        <v>0</v>
      </c>
    </row>
    <row r="58" spans="2:9" ht="15" customHeight="1" x14ac:dyDescent="0.2">
      <c r="B58" t="s">
        <v>146</v>
      </c>
      <c r="C58" s="12">
        <v>17</v>
      </c>
      <c r="D58" s="8">
        <v>1.72</v>
      </c>
      <c r="E58" s="12">
        <v>11</v>
      </c>
      <c r="F58" s="8">
        <v>2.0699999999999998</v>
      </c>
      <c r="G58" s="12">
        <v>6</v>
      </c>
      <c r="H58" s="8">
        <v>1.34</v>
      </c>
      <c r="I58" s="12">
        <v>0</v>
      </c>
    </row>
    <row r="59" spans="2:9" ht="15" customHeight="1" x14ac:dyDescent="0.2">
      <c r="B59" t="s">
        <v>123</v>
      </c>
      <c r="C59" s="12">
        <v>15</v>
      </c>
      <c r="D59" s="8">
        <v>1.52</v>
      </c>
      <c r="E59" s="12">
        <v>12</v>
      </c>
      <c r="F59" s="8">
        <v>2.2599999999999998</v>
      </c>
      <c r="G59" s="12">
        <v>3</v>
      </c>
      <c r="H59" s="8">
        <v>0.67</v>
      </c>
      <c r="I59" s="12">
        <v>0</v>
      </c>
    </row>
    <row r="60" spans="2:9" ht="15" customHeight="1" x14ac:dyDescent="0.2">
      <c r="B60" t="s">
        <v>145</v>
      </c>
      <c r="C60" s="12">
        <v>14</v>
      </c>
      <c r="D60" s="8">
        <v>1.42</v>
      </c>
      <c r="E60" s="12">
        <v>11</v>
      </c>
      <c r="F60" s="8">
        <v>2.0699999999999998</v>
      </c>
      <c r="G60" s="12">
        <v>3</v>
      </c>
      <c r="H60" s="8">
        <v>0.67</v>
      </c>
      <c r="I60" s="12">
        <v>0</v>
      </c>
    </row>
    <row r="61" spans="2:9" ht="15" customHeight="1" x14ac:dyDescent="0.2">
      <c r="B61" t="s">
        <v>122</v>
      </c>
      <c r="C61" s="12">
        <v>14</v>
      </c>
      <c r="D61" s="8">
        <v>1.42</v>
      </c>
      <c r="E61" s="12">
        <v>5</v>
      </c>
      <c r="F61" s="8">
        <v>0.94</v>
      </c>
      <c r="G61" s="12">
        <v>9</v>
      </c>
      <c r="H61" s="8">
        <v>2</v>
      </c>
      <c r="I61" s="12">
        <v>0</v>
      </c>
    </row>
    <row r="62" spans="2:9" ht="15" customHeight="1" x14ac:dyDescent="0.2">
      <c r="B62" t="s">
        <v>131</v>
      </c>
      <c r="C62" s="12">
        <v>14</v>
      </c>
      <c r="D62" s="8">
        <v>1.42</v>
      </c>
      <c r="E62" s="12">
        <v>11</v>
      </c>
      <c r="F62" s="8">
        <v>2.0699999999999998</v>
      </c>
      <c r="G62" s="12">
        <v>3</v>
      </c>
      <c r="H62" s="8">
        <v>0.67</v>
      </c>
      <c r="I62" s="12">
        <v>0</v>
      </c>
    </row>
    <row r="63" spans="2:9" ht="15" customHeight="1" x14ac:dyDescent="0.2">
      <c r="B63" t="s">
        <v>128</v>
      </c>
      <c r="C63" s="12">
        <v>13</v>
      </c>
      <c r="D63" s="8">
        <v>1.32</v>
      </c>
      <c r="E63" s="12">
        <v>2</v>
      </c>
      <c r="F63" s="8">
        <v>0.38</v>
      </c>
      <c r="G63" s="12">
        <v>11</v>
      </c>
      <c r="H63" s="8">
        <v>2.4500000000000002</v>
      </c>
      <c r="I63" s="12">
        <v>0</v>
      </c>
    </row>
    <row r="64" spans="2:9" ht="15" customHeight="1" x14ac:dyDescent="0.2">
      <c r="B64" t="s">
        <v>130</v>
      </c>
      <c r="C64" s="12">
        <v>12</v>
      </c>
      <c r="D64" s="8">
        <v>1.21</v>
      </c>
      <c r="E64" s="12">
        <v>5</v>
      </c>
      <c r="F64" s="8">
        <v>0.94</v>
      </c>
      <c r="G64" s="12">
        <v>7</v>
      </c>
      <c r="H64" s="8">
        <v>1.56</v>
      </c>
      <c r="I64" s="12">
        <v>0</v>
      </c>
    </row>
    <row r="65" spans="2:9" ht="15" customHeight="1" x14ac:dyDescent="0.2">
      <c r="B65" t="s">
        <v>179</v>
      </c>
      <c r="C65" s="12">
        <v>11</v>
      </c>
      <c r="D65" s="8">
        <v>1.1100000000000001</v>
      </c>
      <c r="E65" s="12">
        <v>2</v>
      </c>
      <c r="F65" s="8">
        <v>0.38</v>
      </c>
      <c r="G65" s="12">
        <v>9</v>
      </c>
      <c r="H65" s="8">
        <v>2</v>
      </c>
      <c r="I65" s="12">
        <v>0</v>
      </c>
    </row>
    <row r="66" spans="2:9" ht="15" customHeight="1" x14ac:dyDescent="0.2">
      <c r="B66" t="s">
        <v>174</v>
      </c>
      <c r="C66" s="12">
        <v>11</v>
      </c>
      <c r="D66" s="8">
        <v>1.1100000000000001</v>
      </c>
      <c r="E66" s="12">
        <v>2</v>
      </c>
      <c r="F66" s="8">
        <v>0.38</v>
      </c>
      <c r="G66" s="12">
        <v>9</v>
      </c>
      <c r="H66" s="8">
        <v>2</v>
      </c>
      <c r="I66" s="12">
        <v>0</v>
      </c>
    </row>
    <row r="67" spans="2:9" ht="15" customHeight="1" x14ac:dyDescent="0.2">
      <c r="B67" t="s">
        <v>135</v>
      </c>
      <c r="C67" s="12">
        <v>11</v>
      </c>
      <c r="D67" s="8">
        <v>1.1100000000000001</v>
      </c>
      <c r="E67" s="12">
        <v>9</v>
      </c>
      <c r="F67" s="8">
        <v>1.69</v>
      </c>
      <c r="G67" s="12">
        <v>2</v>
      </c>
      <c r="H67" s="8">
        <v>0.45</v>
      </c>
      <c r="I67" s="12">
        <v>0</v>
      </c>
    </row>
    <row r="68" spans="2:9" ht="15" customHeight="1" x14ac:dyDescent="0.2">
      <c r="B68" t="s">
        <v>136</v>
      </c>
      <c r="C68" s="12">
        <v>11</v>
      </c>
      <c r="D68" s="8">
        <v>1.1100000000000001</v>
      </c>
      <c r="E68" s="12">
        <v>9</v>
      </c>
      <c r="F68" s="8">
        <v>1.69</v>
      </c>
      <c r="G68" s="12">
        <v>2</v>
      </c>
      <c r="H68" s="8">
        <v>0.45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B1E46-FB7A-4D06-85A9-32CA76935D2A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0.32</v>
      </c>
      <c r="I5" s="12">
        <v>0</v>
      </c>
    </row>
    <row r="6" spans="2:9" ht="15" customHeight="1" x14ac:dyDescent="0.2">
      <c r="B6" t="s">
        <v>46</v>
      </c>
      <c r="C6" s="12">
        <v>197</v>
      </c>
      <c r="D6" s="8">
        <v>28.06</v>
      </c>
      <c r="E6" s="12">
        <v>96</v>
      </c>
      <c r="F6" s="8">
        <v>24.62</v>
      </c>
      <c r="G6" s="12">
        <v>101</v>
      </c>
      <c r="H6" s="8">
        <v>32.79</v>
      </c>
      <c r="I6" s="12">
        <v>0</v>
      </c>
    </row>
    <row r="7" spans="2:9" ht="15" customHeight="1" x14ac:dyDescent="0.2">
      <c r="B7" t="s">
        <v>47</v>
      </c>
      <c r="C7" s="12">
        <v>61</v>
      </c>
      <c r="D7" s="8">
        <v>8.69</v>
      </c>
      <c r="E7" s="12">
        <v>31</v>
      </c>
      <c r="F7" s="8">
        <v>7.95</v>
      </c>
      <c r="G7" s="12">
        <v>30</v>
      </c>
      <c r="H7" s="8">
        <v>9.74</v>
      </c>
      <c r="I7" s="12">
        <v>0</v>
      </c>
    </row>
    <row r="8" spans="2:9" ht="15" customHeight="1" x14ac:dyDescent="0.2">
      <c r="B8" t="s">
        <v>48</v>
      </c>
      <c r="C8" s="12">
        <v>5</v>
      </c>
      <c r="D8" s="8">
        <v>0.71</v>
      </c>
      <c r="E8" s="12">
        <v>0</v>
      </c>
      <c r="F8" s="8">
        <v>0</v>
      </c>
      <c r="G8" s="12">
        <v>5</v>
      </c>
      <c r="H8" s="8">
        <v>1.62</v>
      </c>
      <c r="I8" s="12">
        <v>0</v>
      </c>
    </row>
    <row r="9" spans="2:9" ht="15" customHeight="1" x14ac:dyDescent="0.2">
      <c r="B9" t="s">
        <v>49</v>
      </c>
      <c r="C9" s="12">
        <v>2</v>
      </c>
      <c r="D9" s="8">
        <v>0.28000000000000003</v>
      </c>
      <c r="E9" s="12">
        <v>0</v>
      </c>
      <c r="F9" s="8">
        <v>0</v>
      </c>
      <c r="G9" s="12">
        <v>2</v>
      </c>
      <c r="H9" s="8">
        <v>0.65</v>
      </c>
      <c r="I9" s="12">
        <v>0</v>
      </c>
    </row>
    <row r="10" spans="2:9" ht="15" customHeight="1" x14ac:dyDescent="0.2">
      <c r="B10" t="s">
        <v>50</v>
      </c>
      <c r="C10" s="12">
        <v>16</v>
      </c>
      <c r="D10" s="8">
        <v>2.2799999999999998</v>
      </c>
      <c r="E10" s="12">
        <v>6</v>
      </c>
      <c r="F10" s="8">
        <v>1.54</v>
      </c>
      <c r="G10" s="12">
        <v>10</v>
      </c>
      <c r="H10" s="8">
        <v>3.25</v>
      </c>
      <c r="I10" s="12">
        <v>0</v>
      </c>
    </row>
    <row r="11" spans="2:9" ht="15" customHeight="1" x14ac:dyDescent="0.2">
      <c r="B11" t="s">
        <v>51</v>
      </c>
      <c r="C11" s="12">
        <v>150</v>
      </c>
      <c r="D11" s="8">
        <v>21.37</v>
      </c>
      <c r="E11" s="12">
        <v>66</v>
      </c>
      <c r="F11" s="8">
        <v>16.920000000000002</v>
      </c>
      <c r="G11" s="12">
        <v>82</v>
      </c>
      <c r="H11" s="8">
        <v>26.62</v>
      </c>
      <c r="I11" s="12">
        <v>2</v>
      </c>
    </row>
    <row r="12" spans="2:9" ht="15" customHeight="1" x14ac:dyDescent="0.2">
      <c r="B12" t="s">
        <v>52</v>
      </c>
      <c r="C12" s="12">
        <v>7</v>
      </c>
      <c r="D12" s="8">
        <v>1</v>
      </c>
      <c r="E12" s="12">
        <v>1</v>
      </c>
      <c r="F12" s="8">
        <v>0.26</v>
      </c>
      <c r="G12" s="12">
        <v>5</v>
      </c>
      <c r="H12" s="8">
        <v>1.62</v>
      </c>
      <c r="I12" s="12">
        <v>0</v>
      </c>
    </row>
    <row r="13" spans="2:9" ht="15" customHeight="1" x14ac:dyDescent="0.2">
      <c r="B13" t="s">
        <v>53</v>
      </c>
      <c r="C13" s="12">
        <v>32</v>
      </c>
      <c r="D13" s="8">
        <v>4.5599999999999996</v>
      </c>
      <c r="E13" s="12">
        <v>18</v>
      </c>
      <c r="F13" s="8">
        <v>4.62</v>
      </c>
      <c r="G13" s="12">
        <v>14</v>
      </c>
      <c r="H13" s="8">
        <v>4.55</v>
      </c>
      <c r="I13" s="12">
        <v>0</v>
      </c>
    </row>
    <row r="14" spans="2:9" ht="15" customHeight="1" x14ac:dyDescent="0.2">
      <c r="B14" t="s">
        <v>54</v>
      </c>
      <c r="C14" s="12">
        <v>16</v>
      </c>
      <c r="D14" s="8">
        <v>2.2799999999999998</v>
      </c>
      <c r="E14" s="12">
        <v>8</v>
      </c>
      <c r="F14" s="8">
        <v>2.0499999999999998</v>
      </c>
      <c r="G14" s="12">
        <v>8</v>
      </c>
      <c r="H14" s="8">
        <v>2.6</v>
      </c>
      <c r="I14" s="12">
        <v>0</v>
      </c>
    </row>
    <row r="15" spans="2:9" ht="15" customHeight="1" x14ac:dyDescent="0.2">
      <c r="B15" t="s">
        <v>55</v>
      </c>
      <c r="C15" s="12">
        <v>37</v>
      </c>
      <c r="D15" s="8">
        <v>5.27</v>
      </c>
      <c r="E15" s="12">
        <v>30</v>
      </c>
      <c r="F15" s="8">
        <v>7.69</v>
      </c>
      <c r="G15" s="12">
        <v>7</v>
      </c>
      <c r="H15" s="8">
        <v>2.27</v>
      </c>
      <c r="I15" s="12">
        <v>0</v>
      </c>
    </row>
    <row r="16" spans="2:9" ht="15" customHeight="1" x14ac:dyDescent="0.2">
      <c r="B16" t="s">
        <v>56</v>
      </c>
      <c r="C16" s="12">
        <v>87</v>
      </c>
      <c r="D16" s="8">
        <v>12.39</v>
      </c>
      <c r="E16" s="12">
        <v>77</v>
      </c>
      <c r="F16" s="8">
        <v>19.739999999999998</v>
      </c>
      <c r="G16" s="12">
        <v>10</v>
      </c>
      <c r="H16" s="8">
        <v>3.25</v>
      </c>
      <c r="I16" s="12">
        <v>0</v>
      </c>
    </row>
    <row r="17" spans="2:9" ht="15" customHeight="1" x14ac:dyDescent="0.2">
      <c r="B17" t="s">
        <v>57</v>
      </c>
      <c r="C17" s="12">
        <v>16</v>
      </c>
      <c r="D17" s="8">
        <v>2.2799999999999998</v>
      </c>
      <c r="E17" s="12">
        <v>9</v>
      </c>
      <c r="F17" s="8">
        <v>2.31</v>
      </c>
      <c r="G17" s="12">
        <v>7</v>
      </c>
      <c r="H17" s="8">
        <v>2.27</v>
      </c>
      <c r="I17" s="12">
        <v>0</v>
      </c>
    </row>
    <row r="18" spans="2:9" ht="15" customHeight="1" x14ac:dyDescent="0.2">
      <c r="B18" t="s">
        <v>58</v>
      </c>
      <c r="C18" s="12">
        <v>20</v>
      </c>
      <c r="D18" s="8">
        <v>2.85</v>
      </c>
      <c r="E18" s="12">
        <v>11</v>
      </c>
      <c r="F18" s="8">
        <v>2.82</v>
      </c>
      <c r="G18" s="12">
        <v>9</v>
      </c>
      <c r="H18" s="8">
        <v>2.92</v>
      </c>
      <c r="I18" s="12">
        <v>0</v>
      </c>
    </row>
    <row r="19" spans="2:9" ht="15" customHeight="1" x14ac:dyDescent="0.2">
      <c r="B19" t="s">
        <v>59</v>
      </c>
      <c r="C19" s="12">
        <v>55</v>
      </c>
      <c r="D19" s="8">
        <v>7.83</v>
      </c>
      <c r="E19" s="12">
        <v>37</v>
      </c>
      <c r="F19" s="8">
        <v>9.49</v>
      </c>
      <c r="G19" s="12">
        <v>17</v>
      </c>
      <c r="H19" s="8">
        <v>5.52</v>
      </c>
      <c r="I19" s="12">
        <v>0</v>
      </c>
    </row>
    <row r="20" spans="2:9" ht="15" customHeight="1" x14ac:dyDescent="0.2">
      <c r="B20" s="9" t="s">
        <v>195</v>
      </c>
      <c r="C20" s="12">
        <f>SUM(LTBL_08302[総数／事業所数])</f>
        <v>702</v>
      </c>
      <c r="E20" s="12">
        <f>SUBTOTAL(109,LTBL_08302[個人／事業所数])</f>
        <v>390</v>
      </c>
      <c r="G20" s="12">
        <f>SUBTOTAL(109,LTBL_08302[法人／事業所数])</f>
        <v>308</v>
      </c>
      <c r="I20" s="12">
        <f>SUBTOTAL(109,LTBL_08302[法人以外の団体／事業所数])</f>
        <v>2</v>
      </c>
    </row>
    <row r="21" spans="2:9" ht="15" customHeight="1" x14ac:dyDescent="0.2">
      <c r="E21" s="11">
        <f>LTBL_08302[[#Totals],[個人／事業所数]]/LTBL_08302[[#Totals],[総数／事業所数]]</f>
        <v>0.55555555555555558</v>
      </c>
      <c r="G21" s="11">
        <f>LTBL_08302[[#Totals],[法人／事業所数]]/LTBL_08302[[#Totals],[総数／事業所数]]</f>
        <v>0.43874643874643876</v>
      </c>
      <c r="I21" s="11">
        <f>LTBL_08302[[#Totals],[法人以外の団体／事業所数]]/LTBL_08302[[#Totals],[総数／事業所数]]</f>
        <v>2.8490028490028491E-3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68</v>
      </c>
      <c r="C24" s="12">
        <v>83</v>
      </c>
      <c r="D24" s="8">
        <v>11.82</v>
      </c>
      <c r="E24" s="12">
        <v>39</v>
      </c>
      <c r="F24" s="8">
        <v>10</v>
      </c>
      <c r="G24" s="12">
        <v>44</v>
      </c>
      <c r="H24" s="8">
        <v>14.29</v>
      </c>
      <c r="I24" s="12">
        <v>0</v>
      </c>
    </row>
    <row r="25" spans="2:9" ht="15" customHeight="1" x14ac:dyDescent="0.2">
      <c r="B25" t="s">
        <v>83</v>
      </c>
      <c r="C25" s="12">
        <v>79</v>
      </c>
      <c r="D25" s="8">
        <v>11.25</v>
      </c>
      <c r="E25" s="12">
        <v>72</v>
      </c>
      <c r="F25" s="8">
        <v>18.46</v>
      </c>
      <c r="G25" s="12">
        <v>7</v>
      </c>
      <c r="H25" s="8">
        <v>2.27</v>
      </c>
      <c r="I25" s="12">
        <v>0</v>
      </c>
    </row>
    <row r="26" spans="2:9" ht="15" customHeight="1" x14ac:dyDescent="0.2">
      <c r="B26" t="s">
        <v>69</v>
      </c>
      <c r="C26" s="12">
        <v>65</v>
      </c>
      <c r="D26" s="8">
        <v>9.26</v>
      </c>
      <c r="E26" s="12">
        <v>35</v>
      </c>
      <c r="F26" s="8">
        <v>8.9700000000000006</v>
      </c>
      <c r="G26" s="12">
        <v>30</v>
      </c>
      <c r="H26" s="8">
        <v>9.74</v>
      </c>
      <c r="I26" s="12">
        <v>0</v>
      </c>
    </row>
    <row r="27" spans="2:9" ht="15" customHeight="1" x14ac:dyDescent="0.2">
      <c r="B27" t="s">
        <v>70</v>
      </c>
      <c r="C27" s="12">
        <v>49</v>
      </c>
      <c r="D27" s="8">
        <v>6.98</v>
      </c>
      <c r="E27" s="12">
        <v>22</v>
      </c>
      <c r="F27" s="8">
        <v>5.64</v>
      </c>
      <c r="G27" s="12">
        <v>27</v>
      </c>
      <c r="H27" s="8">
        <v>8.77</v>
      </c>
      <c r="I27" s="12">
        <v>0</v>
      </c>
    </row>
    <row r="28" spans="2:9" ht="15" customHeight="1" x14ac:dyDescent="0.2">
      <c r="B28" t="s">
        <v>75</v>
      </c>
      <c r="C28" s="12">
        <v>40</v>
      </c>
      <c r="D28" s="8">
        <v>5.7</v>
      </c>
      <c r="E28" s="12">
        <v>29</v>
      </c>
      <c r="F28" s="8">
        <v>7.44</v>
      </c>
      <c r="G28" s="12">
        <v>9</v>
      </c>
      <c r="H28" s="8">
        <v>2.92</v>
      </c>
      <c r="I28" s="12">
        <v>2</v>
      </c>
    </row>
    <row r="29" spans="2:9" ht="15" customHeight="1" x14ac:dyDescent="0.2">
      <c r="B29" t="s">
        <v>87</v>
      </c>
      <c r="C29" s="12">
        <v>36</v>
      </c>
      <c r="D29" s="8">
        <v>5.13</v>
      </c>
      <c r="E29" s="12">
        <v>34</v>
      </c>
      <c r="F29" s="8">
        <v>8.7200000000000006</v>
      </c>
      <c r="G29" s="12">
        <v>2</v>
      </c>
      <c r="H29" s="8">
        <v>0.65</v>
      </c>
      <c r="I29" s="12">
        <v>0</v>
      </c>
    </row>
    <row r="30" spans="2:9" ht="15" customHeight="1" x14ac:dyDescent="0.2">
      <c r="B30" t="s">
        <v>77</v>
      </c>
      <c r="C30" s="12">
        <v>35</v>
      </c>
      <c r="D30" s="8">
        <v>4.99</v>
      </c>
      <c r="E30" s="12">
        <v>14</v>
      </c>
      <c r="F30" s="8">
        <v>3.59</v>
      </c>
      <c r="G30" s="12">
        <v>21</v>
      </c>
      <c r="H30" s="8">
        <v>6.82</v>
      </c>
      <c r="I30" s="12">
        <v>0</v>
      </c>
    </row>
    <row r="31" spans="2:9" ht="15" customHeight="1" x14ac:dyDescent="0.2">
      <c r="B31" t="s">
        <v>82</v>
      </c>
      <c r="C31" s="12">
        <v>32</v>
      </c>
      <c r="D31" s="8">
        <v>4.5599999999999996</v>
      </c>
      <c r="E31" s="12">
        <v>29</v>
      </c>
      <c r="F31" s="8">
        <v>7.44</v>
      </c>
      <c r="G31" s="12">
        <v>3</v>
      </c>
      <c r="H31" s="8">
        <v>0.97</v>
      </c>
      <c r="I31" s="12">
        <v>0</v>
      </c>
    </row>
    <row r="32" spans="2:9" ht="15" customHeight="1" x14ac:dyDescent="0.2">
      <c r="B32" t="s">
        <v>76</v>
      </c>
      <c r="C32" s="12">
        <v>24</v>
      </c>
      <c r="D32" s="8">
        <v>3.42</v>
      </c>
      <c r="E32" s="12">
        <v>12</v>
      </c>
      <c r="F32" s="8">
        <v>3.08</v>
      </c>
      <c r="G32" s="12">
        <v>12</v>
      </c>
      <c r="H32" s="8">
        <v>3.9</v>
      </c>
      <c r="I32" s="12">
        <v>0</v>
      </c>
    </row>
    <row r="33" spans="2:9" ht="15" customHeight="1" x14ac:dyDescent="0.2">
      <c r="B33" t="s">
        <v>79</v>
      </c>
      <c r="C33" s="12">
        <v>22</v>
      </c>
      <c r="D33" s="8">
        <v>3.13</v>
      </c>
      <c r="E33" s="12">
        <v>16</v>
      </c>
      <c r="F33" s="8">
        <v>4.0999999999999996</v>
      </c>
      <c r="G33" s="12">
        <v>6</v>
      </c>
      <c r="H33" s="8">
        <v>1.95</v>
      </c>
      <c r="I33" s="12">
        <v>0</v>
      </c>
    </row>
    <row r="34" spans="2:9" ht="15" customHeight="1" x14ac:dyDescent="0.2">
      <c r="B34" t="s">
        <v>85</v>
      </c>
      <c r="C34" s="12">
        <v>16</v>
      </c>
      <c r="D34" s="8">
        <v>2.2799999999999998</v>
      </c>
      <c r="E34" s="12">
        <v>9</v>
      </c>
      <c r="F34" s="8">
        <v>2.31</v>
      </c>
      <c r="G34" s="12">
        <v>7</v>
      </c>
      <c r="H34" s="8">
        <v>2.27</v>
      </c>
      <c r="I34" s="12">
        <v>0</v>
      </c>
    </row>
    <row r="35" spans="2:9" ht="15" customHeight="1" x14ac:dyDescent="0.2">
      <c r="B35" t="s">
        <v>86</v>
      </c>
      <c r="C35" s="12">
        <v>13</v>
      </c>
      <c r="D35" s="8">
        <v>1.85</v>
      </c>
      <c r="E35" s="12">
        <v>11</v>
      </c>
      <c r="F35" s="8">
        <v>2.82</v>
      </c>
      <c r="G35" s="12">
        <v>2</v>
      </c>
      <c r="H35" s="8">
        <v>0.65</v>
      </c>
      <c r="I35" s="12">
        <v>0</v>
      </c>
    </row>
    <row r="36" spans="2:9" ht="15" customHeight="1" x14ac:dyDescent="0.2">
      <c r="B36" t="s">
        <v>108</v>
      </c>
      <c r="C36" s="12">
        <v>10</v>
      </c>
      <c r="D36" s="8">
        <v>1.42</v>
      </c>
      <c r="E36" s="12">
        <v>5</v>
      </c>
      <c r="F36" s="8">
        <v>1.28</v>
      </c>
      <c r="G36" s="12">
        <v>5</v>
      </c>
      <c r="H36" s="8">
        <v>1.62</v>
      </c>
      <c r="I36" s="12">
        <v>0</v>
      </c>
    </row>
    <row r="37" spans="2:9" ht="15" customHeight="1" x14ac:dyDescent="0.2">
      <c r="B37" t="s">
        <v>73</v>
      </c>
      <c r="C37" s="12">
        <v>10</v>
      </c>
      <c r="D37" s="8">
        <v>1.42</v>
      </c>
      <c r="E37" s="12">
        <v>2</v>
      </c>
      <c r="F37" s="8">
        <v>0.51</v>
      </c>
      <c r="G37" s="12">
        <v>8</v>
      </c>
      <c r="H37" s="8">
        <v>2.6</v>
      </c>
      <c r="I37" s="12">
        <v>0</v>
      </c>
    </row>
    <row r="38" spans="2:9" ht="15" customHeight="1" x14ac:dyDescent="0.2">
      <c r="B38" t="s">
        <v>74</v>
      </c>
      <c r="C38" s="12">
        <v>10</v>
      </c>
      <c r="D38" s="8">
        <v>1.42</v>
      </c>
      <c r="E38" s="12">
        <v>1</v>
      </c>
      <c r="F38" s="8">
        <v>0.26</v>
      </c>
      <c r="G38" s="12">
        <v>9</v>
      </c>
      <c r="H38" s="8">
        <v>2.92</v>
      </c>
      <c r="I38" s="12">
        <v>0</v>
      </c>
    </row>
    <row r="39" spans="2:9" ht="15" customHeight="1" x14ac:dyDescent="0.2">
      <c r="B39" t="s">
        <v>97</v>
      </c>
      <c r="C39" s="12">
        <v>9</v>
      </c>
      <c r="D39" s="8">
        <v>1.28</v>
      </c>
      <c r="E39" s="12">
        <v>7</v>
      </c>
      <c r="F39" s="8">
        <v>1.79</v>
      </c>
      <c r="G39" s="12">
        <v>2</v>
      </c>
      <c r="H39" s="8">
        <v>0.65</v>
      </c>
      <c r="I39" s="12">
        <v>0</v>
      </c>
    </row>
    <row r="40" spans="2:9" ht="15" customHeight="1" x14ac:dyDescent="0.2">
      <c r="B40" t="s">
        <v>104</v>
      </c>
      <c r="C40" s="12">
        <v>9</v>
      </c>
      <c r="D40" s="8">
        <v>1.28</v>
      </c>
      <c r="E40" s="12">
        <v>7</v>
      </c>
      <c r="F40" s="8">
        <v>1.79</v>
      </c>
      <c r="G40" s="12">
        <v>2</v>
      </c>
      <c r="H40" s="8">
        <v>0.65</v>
      </c>
      <c r="I40" s="12">
        <v>0</v>
      </c>
    </row>
    <row r="41" spans="2:9" ht="15" customHeight="1" x14ac:dyDescent="0.2">
      <c r="B41" t="s">
        <v>72</v>
      </c>
      <c r="C41" s="12">
        <v>9</v>
      </c>
      <c r="D41" s="8">
        <v>1.28</v>
      </c>
      <c r="E41" s="12">
        <v>2</v>
      </c>
      <c r="F41" s="8">
        <v>0.51</v>
      </c>
      <c r="G41" s="12">
        <v>7</v>
      </c>
      <c r="H41" s="8">
        <v>2.27</v>
      </c>
      <c r="I41" s="12">
        <v>0</v>
      </c>
    </row>
    <row r="42" spans="2:9" ht="15" customHeight="1" x14ac:dyDescent="0.2">
      <c r="B42" t="s">
        <v>109</v>
      </c>
      <c r="C42" s="12">
        <v>8</v>
      </c>
      <c r="D42" s="8">
        <v>1.1399999999999999</v>
      </c>
      <c r="E42" s="12">
        <v>7</v>
      </c>
      <c r="F42" s="8">
        <v>1.79</v>
      </c>
      <c r="G42" s="12">
        <v>1</v>
      </c>
      <c r="H42" s="8">
        <v>0.32</v>
      </c>
      <c r="I42" s="12">
        <v>0</v>
      </c>
    </row>
    <row r="43" spans="2:9" ht="15" customHeight="1" x14ac:dyDescent="0.2">
      <c r="B43" t="s">
        <v>93</v>
      </c>
      <c r="C43" s="12">
        <v>8</v>
      </c>
      <c r="D43" s="8">
        <v>1.1399999999999999</v>
      </c>
      <c r="E43" s="12">
        <v>3</v>
      </c>
      <c r="F43" s="8">
        <v>0.77</v>
      </c>
      <c r="G43" s="12">
        <v>5</v>
      </c>
      <c r="H43" s="8">
        <v>1.62</v>
      </c>
      <c r="I43" s="12">
        <v>0</v>
      </c>
    </row>
    <row r="44" spans="2:9" ht="15" customHeight="1" x14ac:dyDescent="0.2">
      <c r="B44" t="s">
        <v>81</v>
      </c>
      <c r="C44" s="12">
        <v>8</v>
      </c>
      <c r="D44" s="8">
        <v>1.1399999999999999</v>
      </c>
      <c r="E44" s="12">
        <v>3</v>
      </c>
      <c r="F44" s="8">
        <v>0.77</v>
      </c>
      <c r="G44" s="12">
        <v>5</v>
      </c>
      <c r="H44" s="8">
        <v>1.62</v>
      </c>
      <c r="I44" s="12">
        <v>0</v>
      </c>
    </row>
    <row r="45" spans="2:9" ht="15" customHeight="1" x14ac:dyDescent="0.2">
      <c r="B45" t="s">
        <v>89</v>
      </c>
      <c r="C45" s="12">
        <v>8</v>
      </c>
      <c r="D45" s="8">
        <v>1.1399999999999999</v>
      </c>
      <c r="E45" s="12">
        <v>1</v>
      </c>
      <c r="F45" s="8">
        <v>0.26</v>
      </c>
      <c r="G45" s="12">
        <v>7</v>
      </c>
      <c r="H45" s="8">
        <v>2.27</v>
      </c>
      <c r="I45" s="12">
        <v>0</v>
      </c>
    </row>
    <row r="48" spans="2:9" ht="33" customHeight="1" x14ac:dyDescent="0.2">
      <c r="B48" t="s">
        <v>197</v>
      </c>
      <c r="C48" s="10" t="s">
        <v>61</v>
      </c>
      <c r="D48" s="10" t="s">
        <v>62</v>
      </c>
      <c r="E48" s="10" t="s">
        <v>63</v>
      </c>
      <c r="F48" s="10" t="s">
        <v>64</v>
      </c>
      <c r="G48" s="10" t="s">
        <v>65</v>
      </c>
      <c r="H48" s="10" t="s">
        <v>66</v>
      </c>
      <c r="I48" s="10" t="s">
        <v>67</v>
      </c>
    </row>
    <row r="49" spans="2:9" ht="15" customHeight="1" x14ac:dyDescent="0.2">
      <c r="B49" t="s">
        <v>137</v>
      </c>
      <c r="C49" s="12">
        <v>36</v>
      </c>
      <c r="D49" s="8">
        <v>5.13</v>
      </c>
      <c r="E49" s="12">
        <v>34</v>
      </c>
      <c r="F49" s="8">
        <v>8.7200000000000006</v>
      </c>
      <c r="G49" s="12">
        <v>2</v>
      </c>
      <c r="H49" s="8">
        <v>0.65</v>
      </c>
      <c r="I49" s="12">
        <v>0</v>
      </c>
    </row>
    <row r="50" spans="2:9" ht="15" customHeight="1" x14ac:dyDescent="0.2">
      <c r="B50" t="s">
        <v>120</v>
      </c>
      <c r="C50" s="12">
        <v>35</v>
      </c>
      <c r="D50" s="8">
        <v>4.99</v>
      </c>
      <c r="E50" s="12">
        <v>27</v>
      </c>
      <c r="F50" s="8">
        <v>6.92</v>
      </c>
      <c r="G50" s="12">
        <v>8</v>
      </c>
      <c r="H50" s="8">
        <v>2.6</v>
      </c>
      <c r="I50" s="12">
        <v>0</v>
      </c>
    </row>
    <row r="51" spans="2:9" ht="15" customHeight="1" x14ac:dyDescent="0.2">
      <c r="B51" t="s">
        <v>133</v>
      </c>
      <c r="C51" s="12">
        <v>34</v>
      </c>
      <c r="D51" s="8">
        <v>4.84</v>
      </c>
      <c r="E51" s="12">
        <v>34</v>
      </c>
      <c r="F51" s="8">
        <v>8.7200000000000006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31</v>
      </c>
      <c r="D52" s="8">
        <v>4.42</v>
      </c>
      <c r="E52" s="12">
        <v>31</v>
      </c>
      <c r="F52" s="8">
        <v>7.95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121</v>
      </c>
      <c r="C53" s="12">
        <v>23</v>
      </c>
      <c r="D53" s="8">
        <v>3.28</v>
      </c>
      <c r="E53" s="12">
        <v>12</v>
      </c>
      <c r="F53" s="8">
        <v>3.08</v>
      </c>
      <c r="G53" s="12">
        <v>11</v>
      </c>
      <c r="H53" s="8">
        <v>3.57</v>
      </c>
      <c r="I53" s="12">
        <v>0</v>
      </c>
    </row>
    <row r="54" spans="2:9" ht="15" customHeight="1" x14ac:dyDescent="0.2">
      <c r="B54" t="s">
        <v>118</v>
      </c>
      <c r="C54" s="12">
        <v>20</v>
      </c>
      <c r="D54" s="8">
        <v>2.85</v>
      </c>
      <c r="E54" s="12">
        <v>2</v>
      </c>
      <c r="F54" s="8">
        <v>0.51</v>
      </c>
      <c r="G54" s="12">
        <v>18</v>
      </c>
      <c r="H54" s="8">
        <v>5.84</v>
      </c>
      <c r="I54" s="12">
        <v>0</v>
      </c>
    </row>
    <row r="55" spans="2:9" ht="15" customHeight="1" x14ac:dyDescent="0.2">
      <c r="B55" t="s">
        <v>124</v>
      </c>
      <c r="C55" s="12">
        <v>20</v>
      </c>
      <c r="D55" s="8">
        <v>2.85</v>
      </c>
      <c r="E55" s="12">
        <v>8</v>
      </c>
      <c r="F55" s="8">
        <v>2.0499999999999998</v>
      </c>
      <c r="G55" s="12">
        <v>12</v>
      </c>
      <c r="H55" s="8">
        <v>3.9</v>
      </c>
      <c r="I55" s="12">
        <v>0</v>
      </c>
    </row>
    <row r="56" spans="2:9" ht="15" customHeight="1" x14ac:dyDescent="0.2">
      <c r="B56" t="s">
        <v>122</v>
      </c>
      <c r="C56" s="12">
        <v>19</v>
      </c>
      <c r="D56" s="8">
        <v>2.71</v>
      </c>
      <c r="E56" s="12">
        <v>8</v>
      </c>
      <c r="F56" s="8">
        <v>2.0499999999999998</v>
      </c>
      <c r="G56" s="12">
        <v>11</v>
      </c>
      <c r="H56" s="8">
        <v>3.57</v>
      </c>
      <c r="I56" s="12">
        <v>0</v>
      </c>
    </row>
    <row r="57" spans="2:9" ht="15" customHeight="1" x14ac:dyDescent="0.2">
      <c r="B57" t="s">
        <v>123</v>
      </c>
      <c r="C57" s="12">
        <v>19</v>
      </c>
      <c r="D57" s="8">
        <v>2.71</v>
      </c>
      <c r="E57" s="12">
        <v>14</v>
      </c>
      <c r="F57" s="8">
        <v>3.59</v>
      </c>
      <c r="G57" s="12">
        <v>5</v>
      </c>
      <c r="H57" s="8">
        <v>1.62</v>
      </c>
      <c r="I57" s="12">
        <v>0</v>
      </c>
    </row>
    <row r="58" spans="2:9" ht="15" customHeight="1" x14ac:dyDescent="0.2">
      <c r="B58" t="s">
        <v>129</v>
      </c>
      <c r="C58" s="12">
        <v>18</v>
      </c>
      <c r="D58" s="8">
        <v>2.56</v>
      </c>
      <c r="E58" s="12">
        <v>15</v>
      </c>
      <c r="F58" s="8">
        <v>3.85</v>
      </c>
      <c r="G58" s="12">
        <v>3</v>
      </c>
      <c r="H58" s="8">
        <v>0.97</v>
      </c>
      <c r="I58" s="12">
        <v>0</v>
      </c>
    </row>
    <row r="59" spans="2:9" ht="15" customHeight="1" x14ac:dyDescent="0.2">
      <c r="B59" t="s">
        <v>119</v>
      </c>
      <c r="C59" s="12">
        <v>17</v>
      </c>
      <c r="D59" s="8">
        <v>2.42</v>
      </c>
      <c r="E59" s="12">
        <v>6</v>
      </c>
      <c r="F59" s="8">
        <v>1.54</v>
      </c>
      <c r="G59" s="12">
        <v>11</v>
      </c>
      <c r="H59" s="8">
        <v>3.57</v>
      </c>
      <c r="I59" s="12">
        <v>0</v>
      </c>
    </row>
    <row r="60" spans="2:9" ht="15" customHeight="1" x14ac:dyDescent="0.2">
      <c r="B60" t="s">
        <v>146</v>
      </c>
      <c r="C60" s="12">
        <v>13</v>
      </c>
      <c r="D60" s="8">
        <v>1.85</v>
      </c>
      <c r="E60" s="12">
        <v>8</v>
      </c>
      <c r="F60" s="8">
        <v>2.0499999999999998</v>
      </c>
      <c r="G60" s="12">
        <v>5</v>
      </c>
      <c r="H60" s="8">
        <v>1.62</v>
      </c>
      <c r="I60" s="12">
        <v>0</v>
      </c>
    </row>
    <row r="61" spans="2:9" ht="15" customHeight="1" x14ac:dyDescent="0.2">
      <c r="B61" t="s">
        <v>126</v>
      </c>
      <c r="C61" s="12">
        <v>12</v>
      </c>
      <c r="D61" s="8">
        <v>1.71</v>
      </c>
      <c r="E61" s="12">
        <v>4</v>
      </c>
      <c r="F61" s="8">
        <v>1.03</v>
      </c>
      <c r="G61" s="12">
        <v>8</v>
      </c>
      <c r="H61" s="8">
        <v>2.6</v>
      </c>
      <c r="I61" s="12">
        <v>0</v>
      </c>
    </row>
    <row r="62" spans="2:9" ht="15" customHeight="1" x14ac:dyDescent="0.2">
      <c r="B62" t="s">
        <v>144</v>
      </c>
      <c r="C62" s="12">
        <v>11</v>
      </c>
      <c r="D62" s="8">
        <v>1.57</v>
      </c>
      <c r="E62" s="12">
        <v>5</v>
      </c>
      <c r="F62" s="8">
        <v>1.28</v>
      </c>
      <c r="G62" s="12">
        <v>6</v>
      </c>
      <c r="H62" s="8">
        <v>1.95</v>
      </c>
      <c r="I62" s="12">
        <v>0</v>
      </c>
    </row>
    <row r="63" spans="2:9" ht="15" customHeight="1" x14ac:dyDescent="0.2">
      <c r="B63" t="s">
        <v>139</v>
      </c>
      <c r="C63" s="12">
        <v>10</v>
      </c>
      <c r="D63" s="8">
        <v>1.42</v>
      </c>
      <c r="E63" s="12">
        <v>4</v>
      </c>
      <c r="F63" s="8">
        <v>1.03</v>
      </c>
      <c r="G63" s="12">
        <v>6</v>
      </c>
      <c r="H63" s="8">
        <v>1.95</v>
      </c>
      <c r="I63" s="12">
        <v>0</v>
      </c>
    </row>
    <row r="64" spans="2:9" ht="15" customHeight="1" x14ac:dyDescent="0.2">
      <c r="B64" t="s">
        <v>151</v>
      </c>
      <c r="C64" s="12">
        <v>9</v>
      </c>
      <c r="D64" s="8">
        <v>1.28</v>
      </c>
      <c r="E64" s="12">
        <v>4</v>
      </c>
      <c r="F64" s="8">
        <v>1.03</v>
      </c>
      <c r="G64" s="12">
        <v>5</v>
      </c>
      <c r="H64" s="8">
        <v>1.62</v>
      </c>
      <c r="I64" s="12">
        <v>0</v>
      </c>
    </row>
    <row r="65" spans="2:9" ht="15" customHeight="1" x14ac:dyDescent="0.2">
      <c r="B65" t="s">
        <v>145</v>
      </c>
      <c r="C65" s="12">
        <v>8</v>
      </c>
      <c r="D65" s="8">
        <v>1.1399999999999999</v>
      </c>
      <c r="E65" s="12">
        <v>5</v>
      </c>
      <c r="F65" s="8">
        <v>1.28</v>
      </c>
      <c r="G65" s="12">
        <v>3</v>
      </c>
      <c r="H65" s="8">
        <v>0.97</v>
      </c>
      <c r="I65" s="12">
        <v>0</v>
      </c>
    </row>
    <row r="66" spans="2:9" ht="15" customHeight="1" x14ac:dyDescent="0.2">
      <c r="B66" t="s">
        <v>153</v>
      </c>
      <c r="C66" s="12">
        <v>8</v>
      </c>
      <c r="D66" s="8">
        <v>1.1399999999999999</v>
      </c>
      <c r="E66" s="12">
        <v>2</v>
      </c>
      <c r="F66" s="8">
        <v>0.51</v>
      </c>
      <c r="G66" s="12">
        <v>6</v>
      </c>
      <c r="H66" s="8">
        <v>1.95</v>
      </c>
      <c r="I66" s="12">
        <v>0</v>
      </c>
    </row>
    <row r="67" spans="2:9" ht="15" customHeight="1" x14ac:dyDescent="0.2">
      <c r="B67" t="s">
        <v>179</v>
      </c>
      <c r="C67" s="12">
        <v>8</v>
      </c>
      <c r="D67" s="8">
        <v>1.1399999999999999</v>
      </c>
      <c r="E67" s="12">
        <v>3</v>
      </c>
      <c r="F67" s="8">
        <v>0.77</v>
      </c>
      <c r="G67" s="12">
        <v>5</v>
      </c>
      <c r="H67" s="8">
        <v>1.62</v>
      </c>
      <c r="I67" s="12">
        <v>0</v>
      </c>
    </row>
    <row r="68" spans="2:9" ht="15" customHeight="1" x14ac:dyDescent="0.2">
      <c r="B68" t="s">
        <v>178</v>
      </c>
      <c r="C68" s="12">
        <v>8</v>
      </c>
      <c r="D68" s="8">
        <v>1.1399999999999999</v>
      </c>
      <c r="E68" s="12">
        <v>3</v>
      </c>
      <c r="F68" s="8">
        <v>0.77</v>
      </c>
      <c r="G68" s="12">
        <v>5</v>
      </c>
      <c r="H68" s="8">
        <v>1.62</v>
      </c>
      <c r="I68" s="12">
        <v>0</v>
      </c>
    </row>
    <row r="69" spans="2:9" ht="15" customHeight="1" x14ac:dyDescent="0.2">
      <c r="B69" t="s">
        <v>180</v>
      </c>
      <c r="C69" s="12">
        <v>8</v>
      </c>
      <c r="D69" s="8">
        <v>1.1399999999999999</v>
      </c>
      <c r="E69" s="12">
        <v>4</v>
      </c>
      <c r="F69" s="8">
        <v>1.03</v>
      </c>
      <c r="G69" s="12">
        <v>2</v>
      </c>
      <c r="H69" s="8">
        <v>0.65</v>
      </c>
      <c r="I69" s="12">
        <v>2</v>
      </c>
    </row>
    <row r="70" spans="2:9" ht="15" customHeight="1" x14ac:dyDescent="0.2">
      <c r="B70" t="s">
        <v>136</v>
      </c>
      <c r="C70" s="12">
        <v>8</v>
      </c>
      <c r="D70" s="8">
        <v>1.1399999999999999</v>
      </c>
      <c r="E70" s="12">
        <v>7</v>
      </c>
      <c r="F70" s="8">
        <v>1.79</v>
      </c>
      <c r="G70" s="12">
        <v>1</v>
      </c>
      <c r="H70" s="8">
        <v>0.32</v>
      </c>
      <c r="I70" s="12">
        <v>0</v>
      </c>
    </row>
    <row r="72" spans="2:9" ht="15" customHeight="1" x14ac:dyDescent="0.2">
      <c r="B72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F66E-09E7-480C-BEE6-0BEBCE9FB8B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78</v>
      </c>
      <c r="D6" s="8">
        <v>14.74</v>
      </c>
      <c r="E6" s="12">
        <v>28</v>
      </c>
      <c r="F6" s="8">
        <v>9.06</v>
      </c>
      <c r="G6" s="12">
        <v>50</v>
      </c>
      <c r="H6" s="8">
        <v>22.83</v>
      </c>
      <c r="I6" s="12">
        <v>0</v>
      </c>
    </row>
    <row r="7" spans="2:9" ht="15" customHeight="1" x14ac:dyDescent="0.2">
      <c r="B7" t="s">
        <v>47</v>
      </c>
      <c r="C7" s="12">
        <v>39</v>
      </c>
      <c r="D7" s="8">
        <v>7.37</v>
      </c>
      <c r="E7" s="12">
        <v>19</v>
      </c>
      <c r="F7" s="8">
        <v>6.15</v>
      </c>
      <c r="G7" s="12">
        <v>20</v>
      </c>
      <c r="H7" s="8">
        <v>9.1300000000000008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0.38</v>
      </c>
      <c r="E8" s="12">
        <v>0</v>
      </c>
      <c r="F8" s="8">
        <v>0</v>
      </c>
      <c r="G8" s="12">
        <v>1</v>
      </c>
      <c r="H8" s="8">
        <v>0.46</v>
      </c>
      <c r="I8" s="12">
        <v>0</v>
      </c>
    </row>
    <row r="9" spans="2:9" ht="15" customHeight="1" x14ac:dyDescent="0.2">
      <c r="B9" t="s">
        <v>49</v>
      </c>
      <c r="C9" s="12">
        <v>4</v>
      </c>
      <c r="D9" s="8">
        <v>0.76</v>
      </c>
      <c r="E9" s="12">
        <v>1</v>
      </c>
      <c r="F9" s="8">
        <v>0.32</v>
      </c>
      <c r="G9" s="12">
        <v>3</v>
      </c>
      <c r="H9" s="8">
        <v>1.37</v>
      </c>
      <c r="I9" s="12">
        <v>0</v>
      </c>
    </row>
    <row r="10" spans="2:9" ht="15" customHeight="1" x14ac:dyDescent="0.2">
      <c r="B10" t="s">
        <v>50</v>
      </c>
      <c r="C10" s="12">
        <v>12</v>
      </c>
      <c r="D10" s="8">
        <v>2.27</v>
      </c>
      <c r="E10" s="12">
        <v>0</v>
      </c>
      <c r="F10" s="8">
        <v>0</v>
      </c>
      <c r="G10" s="12">
        <v>12</v>
      </c>
      <c r="H10" s="8">
        <v>5.48</v>
      </c>
      <c r="I10" s="12">
        <v>0</v>
      </c>
    </row>
    <row r="11" spans="2:9" ht="15" customHeight="1" x14ac:dyDescent="0.2">
      <c r="B11" t="s">
        <v>51</v>
      </c>
      <c r="C11" s="12">
        <v>172</v>
      </c>
      <c r="D11" s="8">
        <v>32.51</v>
      </c>
      <c r="E11" s="12">
        <v>108</v>
      </c>
      <c r="F11" s="8">
        <v>34.950000000000003</v>
      </c>
      <c r="G11" s="12">
        <v>64</v>
      </c>
      <c r="H11" s="8">
        <v>29.22</v>
      </c>
      <c r="I11" s="12">
        <v>0</v>
      </c>
    </row>
    <row r="12" spans="2:9" ht="15" customHeight="1" x14ac:dyDescent="0.2">
      <c r="B12" t="s">
        <v>52</v>
      </c>
      <c r="C12" s="12">
        <v>3</v>
      </c>
      <c r="D12" s="8">
        <v>0.56999999999999995</v>
      </c>
      <c r="E12" s="12">
        <v>1</v>
      </c>
      <c r="F12" s="8">
        <v>0.32</v>
      </c>
      <c r="G12" s="12">
        <v>2</v>
      </c>
      <c r="H12" s="8">
        <v>0.91</v>
      </c>
      <c r="I12" s="12">
        <v>0</v>
      </c>
    </row>
    <row r="13" spans="2:9" ht="15" customHeight="1" x14ac:dyDescent="0.2">
      <c r="B13" t="s">
        <v>53</v>
      </c>
      <c r="C13" s="12">
        <v>13</v>
      </c>
      <c r="D13" s="8">
        <v>2.46</v>
      </c>
      <c r="E13" s="12">
        <v>2</v>
      </c>
      <c r="F13" s="8">
        <v>0.65</v>
      </c>
      <c r="G13" s="12">
        <v>11</v>
      </c>
      <c r="H13" s="8">
        <v>5.0199999999999996</v>
      </c>
      <c r="I13" s="12">
        <v>0</v>
      </c>
    </row>
    <row r="14" spans="2:9" ht="15" customHeight="1" x14ac:dyDescent="0.2">
      <c r="B14" t="s">
        <v>54</v>
      </c>
      <c r="C14" s="12">
        <v>5</v>
      </c>
      <c r="D14" s="8">
        <v>0.95</v>
      </c>
      <c r="E14" s="12">
        <v>5</v>
      </c>
      <c r="F14" s="8">
        <v>1.62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55</v>
      </c>
      <c r="C15" s="12">
        <v>96</v>
      </c>
      <c r="D15" s="8">
        <v>18.149999999999999</v>
      </c>
      <c r="E15" s="12">
        <v>67</v>
      </c>
      <c r="F15" s="8">
        <v>21.68</v>
      </c>
      <c r="G15" s="12">
        <v>29</v>
      </c>
      <c r="H15" s="8">
        <v>13.24</v>
      </c>
      <c r="I15" s="12">
        <v>0</v>
      </c>
    </row>
    <row r="16" spans="2:9" ht="15" customHeight="1" x14ac:dyDescent="0.2">
      <c r="B16" t="s">
        <v>56</v>
      </c>
      <c r="C16" s="12">
        <v>64</v>
      </c>
      <c r="D16" s="8">
        <v>12.1</v>
      </c>
      <c r="E16" s="12">
        <v>54</v>
      </c>
      <c r="F16" s="8">
        <v>17.48</v>
      </c>
      <c r="G16" s="12">
        <v>10</v>
      </c>
      <c r="H16" s="8">
        <v>4.57</v>
      </c>
      <c r="I16" s="12">
        <v>0</v>
      </c>
    </row>
    <row r="17" spans="2:9" ht="15" customHeight="1" x14ac:dyDescent="0.2">
      <c r="B17" t="s">
        <v>57</v>
      </c>
      <c r="C17" s="12">
        <v>10</v>
      </c>
      <c r="D17" s="8">
        <v>1.89</v>
      </c>
      <c r="E17" s="12">
        <v>8</v>
      </c>
      <c r="F17" s="8">
        <v>2.59</v>
      </c>
      <c r="G17" s="12">
        <v>2</v>
      </c>
      <c r="H17" s="8">
        <v>0.91</v>
      </c>
      <c r="I17" s="12">
        <v>0</v>
      </c>
    </row>
    <row r="18" spans="2:9" ht="15" customHeight="1" x14ac:dyDescent="0.2">
      <c r="B18" t="s">
        <v>58</v>
      </c>
      <c r="C18" s="12">
        <v>13</v>
      </c>
      <c r="D18" s="8">
        <v>2.46</v>
      </c>
      <c r="E18" s="12">
        <v>10</v>
      </c>
      <c r="F18" s="8">
        <v>3.24</v>
      </c>
      <c r="G18" s="12">
        <v>3</v>
      </c>
      <c r="H18" s="8">
        <v>1.37</v>
      </c>
      <c r="I18" s="12">
        <v>0</v>
      </c>
    </row>
    <row r="19" spans="2:9" ht="15" customHeight="1" x14ac:dyDescent="0.2">
      <c r="B19" t="s">
        <v>59</v>
      </c>
      <c r="C19" s="12">
        <v>18</v>
      </c>
      <c r="D19" s="8">
        <v>3.4</v>
      </c>
      <c r="E19" s="12">
        <v>6</v>
      </c>
      <c r="F19" s="8">
        <v>1.94</v>
      </c>
      <c r="G19" s="12">
        <v>12</v>
      </c>
      <c r="H19" s="8">
        <v>5.48</v>
      </c>
      <c r="I19" s="12">
        <v>0</v>
      </c>
    </row>
    <row r="20" spans="2:9" ht="15" customHeight="1" x14ac:dyDescent="0.2">
      <c r="B20" s="9" t="s">
        <v>195</v>
      </c>
      <c r="C20" s="12">
        <f>SUM(LTBL_08309[総数／事業所数])</f>
        <v>529</v>
      </c>
      <c r="E20" s="12">
        <f>SUBTOTAL(109,LTBL_08309[個人／事業所数])</f>
        <v>309</v>
      </c>
      <c r="G20" s="12">
        <f>SUBTOTAL(109,LTBL_08309[法人／事業所数])</f>
        <v>219</v>
      </c>
      <c r="I20" s="12">
        <f>SUBTOTAL(109,LTBL_08309[法人以外の団体／事業所数])</f>
        <v>0</v>
      </c>
    </row>
    <row r="21" spans="2:9" ht="15" customHeight="1" x14ac:dyDescent="0.2">
      <c r="E21" s="11">
        <f>LTBL_08309[[#Totals],[個人／事業所数]]/LTBL_08309[[#Totals],[総数／事業所数]]</f>
        <v>0.58412098298676751</v>
      </c>
      <c r="G21" s="11">
        <f>LTBL_08309[[#Totals],[法人／事業所数]]/LTBL_08309[[#Totals],[総数／事業所数]]</f>
        <v>0.41398865784499056</v>
      </c>
      <c r="I21" s="11">
        <f>LTBL_08309[[#Totals],[法人以外の団体／事業所数]]/LTBL_08309[[#Totals],[総数／事業所数]]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82</v>
      </c>
      <c r="C24" s="12">
        <v>70</v>
      </c>
      <c r="D24" s="8">
        <v>13.23</v>
      </c>
      <c r="E24" s="12">
        <v>52</v>
      </c>
      <c r="F24" s="8">
        <v>16.829999999999998</v>
      </c>
      <c r="G24" s="12">
        <v>18</v>
      </c>
      <c r="H24" s="8">
        <v>8.2200000000000006</v>
      </c>
      <c r="I24" s="12">
        <v>0</v>
      </c>
    </row>
    <row r="25" spans="2:9" ht="15" customHeight="1" x14ac:dyDescent="0.2">
      <c r="B25" t="s">
        <v>77</v>
      </c>
      <c r="C25" s="12">
        <v>55</v>
      </c>
      <c r="D25" s="8">
        <v>10.4</v>
      </c>
      <c r="E25" s="12">
        <v>34</v>
      </c>
      <c r="F25" s="8">
        <v>11</v>
      </c>
      <c r="G25" s="12">
        <v>21</v>
      </c>
      <c r="H25" s="8">
        <v>9.59</v>
      </c>
      <c r="I25" s="12">
        <v>0</v>
      </c>
    </row>
    <row r="26" spans="2:9" ht="15" customHeight="1" x14ac:dyDescent="0.2">
      <c r="B26" t="s">
        <v>75</v>
      </c>
      <c r="C26" s="12">
        <v>54</v>
      </c>
      <c r="D26" s="8">
        <v>10.210000000000001</v>
      </c>
      <c r="E26" s="12">
        <v>43</v>
      </c>
      <c r="F26" s="8">
        <v>13.92</v>
      </c>
      <c r="G26" s="12">
        <v>11</v>
      </c>
      <c r="H26" s="8">
        <v>5.0199999999999996</v>
      </c>
      <c r="I26" s="12">
        <v>0</v>
      </c>
    </row>
    <row r="27" spans="2:9" ht="15" customHeight="1" x14ac:dyDescent="0.2">
      <c r="B27" t="s">
        <v>83</v>
      </c>
      <c r="C27" s="12">
        <v>52</v>
      </c>
      <c r="D27" s="8">
        <v>9.83</v>
      </c>
      <c r="E27" s="12">
        <v>49</v>
      </c>
      <c r="F27" s="8">
        <v>15.86</v>
      </c>
      <c r="G27" s="12">
        <v>3</v>
      </c>
      <c r="H27" s="8">
        <v>1.37</v>
      </c>
      <c r="I27" s="12">
        <v>0</v>
      </c>
    </row>
    <row r="28" spans="2:9" ht="15" customHeight="1" x14ac:dyDescent="0.2">
      <c r="B28" t="s">
        <v>68</v>
      </c>
      <c r="C28" s="12">
        <v>36</v>
      </c>
      <c r="D28" s="8">
        <v>6.81</v>
      </c>
      <c r="E28" s="12">
        <v>13</v>
      </c>
      <c r="F28" s="8">
        <v>4.21</v>
      </c>
      <c r="G28" s="12">
        <v>23</v>
      </c>
      <c r="H28" s="8">
        <v>10.5</v>
      </c>
      <c r="I28" s="12">
        <v>0</v>
      </c>
    </row>
    <row r="29" spans="2:9" ht="15" customHeight="1" x14ac:dyDescent="0.2">
      <c r="B29" t="s">
        <v>69</v>
      </c>
      <c r="C29" s="12">
        <v>29</v>
      </c>
      <c r="D29" s="8">
        <v>5.48</v>
      </c>
      <c r="E29" s="12">
        <v>12</v>
      </c>
      <c r="F29" s="8">
        <v>3.88</v>
      </c>
      <c r="G29" s="12">
        <v>17</v>
      </c>
      <c r="H29" s="8">
        <v>7.76</v>
      </c>
      <c r="I29" s="12">
        <v>0</v>
      </c>
    </row>
    <row r="30" spans="2:9" ht="15" customHeight="1" x14ac:dyDescent="0.2">
      <c r="B30" t="s">
        <v>99</v>
      </c>
      <c r="C30" s="12">
        <v>23</v>
      </c>
      <c r="D30" s="8">
        <v>4.3499999999999996</v>
      </c>
      <c r="E30" s="12">
        <v>15</v>
      </c>
      <c r="F30" s="8">
        <v>4.8499999999999996</v>
      </c>
      <c r="G30" s="12">
        <v>8</v>
      </c>
      <c r="H30" s="8">
        <v>3.65</v>
      </c>
      <c r="I30" s="12">
        <v>0</v>
      </c>
    </row>
    <row r="31" spans="2:9" ht="15" customHeight="1" x14ac:dyDescent="0.2">
      <c r="B31" t="s">
        <v>76</v>
      </c>
      <c r="C31" s="12">
        <v>15</v>
      </c>
      <c r="D31" s="8">
        <v>2.84</v>
      </c>
      <c r="E31" s="12">
        <v>13</v>
      </c>
      <c r="F31" s="8">
        <v>4.21</v>
      </c>
      <c r="G31" s="12">
        <v>2</v>
      </c>
      <c r="H31" s="8">
        <v>0.91</v>
      </c>
      <c r="I31" s="12">
        <v>0</v>
      </c>
    </row>
    <row r="32" spans="2:9" ht="15" customHeight="1" x14ac:dyDescent="0.2">
      <c r="B32" t="s">
        <v>70</v>
      </c>
      <c r="C32" s="12">
        <v>13</v>
      </c>
      <c r="D32" s="8">
        <v>2.46</v>
      </c>
      <c r="E32" s="12">
        <v>3</v>
      </c>
      <c r="F32" s="8">
        <v>0.97</v>
      </c>
      <c r="G32" s="12">
        <v>10</v>
      </c>
      <c r="H32" s="8">
        <v>4.57</v>
      </c>
      <c r="I32" s="12">
        <v>0</v>
      </c>
    </row>
    <row r="33" spans="2:9" ht="15" customHeight="1" x14ac:dyDescent="0.2">
      <c r="B33" t="s">
        <v>97</v>
      </c>
      <c r="C33" s="12">
        <v>13</v>
      </c>
      <c r="D33" s="8">
        <v>2.46</v>
      </c>
      <c r="E33" s="12">
        <v>4</v>
      </c>
      <c r="F33" s="8">
        <v>1.29</v>
      </c>
      <c r="G33" s="12">
        <v>9</v>
      </c>
      <c r="H33" s="8">
        <v>4.1100000000000003</v>
      </c>
      <c r="I33" s="12">
        <v>0</v>
      </c>
    </row>
    <row r="34" spans="2:9" ht="15" customHeight="1" x14ac:dyDescent="0.2">
      <c r="B34" t="s">
        <v>93</v>
      </c>
      <c r="C34" s="12">
        <v>12</v>
      </c>
      <c r="D34" s="8">
        <v>2.27</v>
      </c>
      <c r="E34" s="12">
        <v>5</v>
      </c>
      <c r="F34" s="8">
        <v>1.62</v>
      </c>
      <c r="G34" s="12">
        <v>7</v>
      </c>
      <c r="H34" s="8">
        <v>3.2</v>
      </c>
      <c r="I34" s="12">
        <v>0</v>
      </c>
    </row>
    <row r="35" spans="2:9" ht="15" customHeight="1" x14ac:dyDescent="0.2">
      <c r="B35" t="s">
        <v>79</v>
      </c>
      <c r="C35" s="12">
        <v>11</v>
      </c>
      <c r="D35" s="8">
        <v>2.08</v>
      </c>
      <c r="E35" s="12">
        <v>2</v>
      </c>
      <c r="F35" s="8">
        <v>0.65</v>
      </c>
      <c r="G35" s="12">
        <v>9</v>
      </c>
      <c r="H35" s="8">
        <v>4.1100000000000003</v>
      </c>
      <c r="I35" s="12">
        <v>0</v>
      </c>
    </row>
    <row r="36" spans="2:9" ht="15" customHeight="1" x14ac:dyDescent="0.2">
      <c r="B36" t="s">
        <v>88</v>
      </c>
      <c r="C36" s="12">
        <v>10</v>
      </c>
      <c r="D36" s="8">
        <v>1.89</v>
      </c>
      <c r="E36" s="12">
        <v>2</v>
      </c>
      <c r="F36" s="8">
        <v>0.65</v>
      </c>
      <c r="G36" s="12">
        <v>8</v>
      </c>
      <c r="H36" s="8">
        <v>3.65</v>
      </c>
      <c r="I36" s="12">
        <v>0</v>
      </c>
    </row>
    <row r="37" spans="2:9" ht="15" customHeight="1" x14ac:dyDescent="0.2">
      <c r="B37" t="s">
        <v>85</v>
      </c>
      <c r="C37" s="12">
        <v>10</v>
      </c>
      <c r="D37" s="8">
        <v>1.89</v>
      </c>
      <c r="E37" s="12">
        <v>8</v>
      </c>
      <c r="F37" s="8">
        <v>2.59</v>
      </c>
      <c r="G37" s="12">
        <v>2</v>
      </c>
      <c r="H37" s="8">
        <v>0.91</v>
      </c>
      <c r="I37" s="12">
        <v>0</v>
      </c>
    </row>
    <row r="38" spans="2:9" ht="15" customHeight="1" x14ac:dyDescent="0.2">
      <c r="B38" t="s">
        <v>86</v>
      </c>
      <c r="C38" s="12">
        <v>10</v>
      </c>
      <c r="D38" s="8">
        <v>1.89</v>
      </c>
      <c r="E38" s="12">
        <v>10</v>
      </c>
      <c r="F38" s="8">
        <v>3.24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74</v>
      </c>
      <c r="C39" s="12">
        <v>9</v>
      </c>
      <c r="D39" s="8">
        <v>1.7</v>
      </c>
      <c r="E39" s="12">
        <v>2</v>
      </c>
      <c r="F39" s="8">
        <v>0.65</v>
      </c>
      <c r="G39" s="12">
        <v>7</v>
      </c>
      <c r="H39" s="8">
        <v>3.2</v>
      </c>
      <c r="I39" s="12">
        <v>0</v>
      </c>
    </row>
    <row r="40" spans="2:9" ht="15" customHeight="1" x14ac:dyDescent="0.2">
      <c r="B40" t="s">
        <v>72</v>
      </c>
      <c r="C40" s="12">
        <v>8</v>
      </c>
      <c r="D40" s="8">
        <v>1.51</v>
      </c>
      <c r="E40" s="12">
        <v>2</v>
      </c>
      <c r="F40" s="8">
        <v>0.65</v>
      </c>
      <c r="G40" s="12">
        <v>6</v>
      </c>
      <c r="H40" s="8">
        <v>2.74</v>
      </c>
      <c r="I40" s="12">
        <v>0</v>
      </c>
    </row>
    <row r="41" spans="2:9" ht="15" customHeight="1" x14ac:dyDescent="0.2">
      <c r="B41" t="s">
        <v>109</v>
      </c>
      <c r="C41" s="12">
        <v>7</v>
      </c>
      <c r="D41" s="8">
        <v>1.32</v>
      </c>
      <c r="E41" s="12">
        <v>6</v>
      </c>
      <c r="F41" s="8">
        <v>1.94</v>
      </c>
      <c r="G41" s="12">
        <v>1</v>
      </c>
      <c r="H41" s="8">
        <v>0.46</v>
      </c>
      <c r="I41" s="12">
        <v>0</v>
      </c>
    </row>
    <row r="42" spans="2:9" ht="15" customHeight="1" x14ac:dyDescent="0.2">
      <c r="B42" t="s">
        <v>108</v>
      </c>
      <c r="C42" s="12">
        <v>7</v>
      </c>
      <c r="D42" s="8">
        <v>1.32</v>
      </c>
      <c r="E42" s="12">
        <v>0</v>
      </c>
      <c r="F42" s="8">
        <v>0</v>
      </c>
      <c r="G42" s="12">
        <v>7</v>
      </c>
      <c r="H42" s="8">
        <v>3.2</v>
      </c>
      <c r="I42" s="12">
        <v>0</v>
      </c>
    </row>
    <row r="43" spans="2:9" ht="15" customHeight="1" x14ac:dyDescent="0.2">
      <c r="B43" t="s">
        <v>84</v>
      </c>
      <c r="C43" s="12">
        <v>6</v>
      </c>
      <c r="D43" s="8">
        <v>1.1299999999999999</v>
      </c>
      <c r="E43" s="12">
        <v>1</v>
      </c>
      <c r="F43" s="8">
        <v>0.32</v>
      </c>
      <c r="G43" s="12">
        <v>5</v>
      </c>
      <c r="H43" s="8">
        <v>2.2799999999999998</v>
      </c>
      <c r="I43" s="12">
        <v>0</v>
      </c>
    </row>
    <row r="44" spans="2:9" ht="15" customHeight="1" x14ac:dyDescent="0.2">
      <c r="B44" t="s">
        <v>100</v>
      </c>
      <c r="C44" s="12">
        <v>6</v>
      </c>
      <c r="D44" s="8">
        <v>1.1299999999999999</v>
      </c>
      <c r="E44" s="12">
        <v>4</v>
      </c>
      <c r="F44" s="8">
        <v>1.29</v>
      </c>
      <c r="G44" s="12">
        <v>2</v>
      </c>
      <c r="H44" s="8">
        <v>0.91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133</v>
      </c>
      <c r="C48" s="12">
        <v>26</v>
      </c>
      <c r="D48" s="8">
        <v>4.91</v>
      </c>
      <c r="E48" s="12">
        <v>25</v>
      </c>
      <c r="F48" s="8">
        <v>8.09</v>
      </c>
      <c r="G48" s="12">
        <v>1</v>
      </c>
      <c r="H48" s="8">
        <v>0.46</v>
      </c>
      <c r="I48" s="12">
        <v>0</v>
      </c>
    </row>
    <row r="49" spans="2:9" ht="15" customHeight="1" x14ac:dyDescent="0.2">
      <c r="B49" t="s">
        <v>127</v>
      </c>
      <c r="C49" s="12">
        <v>22</v>
      </c>
      <c r="D49" s="8">
        <v>4.16</v>
      </c>
      <c r="E49" s="12">
        <v>18</v>
      </c>
      <c r="F49" s="8">
        <v>5.83</v>
      </c>
      <c r="G49" s="12">
        <v>4</v>
      </c>
      <c r="H49" s="8">
        <v>1.83</v>
      </c>
      <c r="I49" s="12">
        <v>0</v>
      </c>
    </row>
    <row r="50" spans="2:9" ht="15" customHeight="1" x14ac:dyDescent="0.2">
      <c r="B50" t="s">
        <v>159</v>
      </c>
      <c r="C50" s="12">
        <v>22</v>
      </c>
      <c r="D50" s="8">
        <v>4.16</v>
      </c>
      <c r="E50" s="12">
        <v>15</v>
      </c>
      <c r="F50" s="8">
        <v>4.8499999999999996</v>
      </c>
      <c r="G50" s="12">
        <v>7</v>
      </c>
      <c r="H50" s="8">
        <v>3.2</v>
      </c>
      <c r="I50" s="12">
        <v>0</v>
      </c>
    </row>
    <row r="51" spans="2:9" ht="15" customHeight="1" x14ac:dyDescent="0.2">
      <c r="B51" t="s">
        <v>131</v>
      </c>
      <c r="C51" s="12">
        <v>21</v>
      </c>
      <c r="D51" s="8">
        <v>3.97</v>
      </c>
      <c r="E51" s="12">
        <v>16</v>
      </c>
      <c r="F51" s="8">
        <v>5.18</v>
      </c>
      <c r="G51" s="12">
        <v>5</v>
      </c>
      <c r="H51" s="8">
        <v>2.2799999999999998</v>
      </c>
      <c r="I51" s="12">
        <v>0</v>
      </c>
    </row>
    <row r="52" spans="2:9" ht="15" customHeight="1" x14ac:dyDescent="0.2">
      <c r="B52" t="s">
        <v>123</v>
      </c>
      <c r="C52" s="12">
        <v>20</v>
      </c>
      <c r="D52" s="8">
        <v>3.78</v>
      </c>
      <c r="E52" s="12">
        <v>16</v>
      </c>
      <c r="F52" s="8">
        <v>5.18</v>
      </c>
      <c r="G52" s="12">
        <v>4</v>
      </c>
      <c r="H52" s="8">
        <v>1.83</v>
      </c>
      <c r="I52" s="12">
        <v>0</v>
      </c>
    </row>
    <row r="53" spans="2:9" ht="15" customHeight="1" x14ac:dyDescent="0.2">
      <c r="B53" t="s">
        <v>134</v>
      </c>
      <c r="C53" s="12">
        <v>17</v>
      </c>
      <c r="D53" s="8">
        <v>3.21</v>
      </c>
      <c r="E53" s="12">
        <v>17</v>
      </c>
      <c r="F53" s="8">
        <v>5.5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120</v>
      </c>
      <c r="C54" s="12">
        <v>13</v>
      </c>
      <c r="D54" s="8">
        <v>2.46</v>
      </c>
      <c r="E54" s="12">
        <v>9</v>
      </c>
      <c r="F54" s="8">
        <v>2.91</v>
      </c>
      <c r="G54" s="12">
        <v>4</v>
      </c>
      <c r="H54" s="8">
        <v>1.83</v>
      </c>
      <c r="I54" s="12">
        <v>0</v>
      </c>
    </row>
    <row r="55" spans="2:9" ht="15" customHeight="1" x14ac:dyDescent="0.2">
      <c r="B55" t="s">
        <v>152</v>
      </c>
      <c r="C55" s="12">
        <v>12</v>
      </c>
      <c r="D55" s="8">
        <v>2.27</v>
      </c>
      <c r="E55" s="12">
        <v>11</v>
      </c>
      <c r="F55" s="8">
        <v>3.56</v>
      </c>
      <c r="G55" s="12">
        <v>1</v>
      </c>
      <c r="H55" s="8">
        <v>0.46</v>
      </c>
      <c r="I55" s="12">
        <v>0</v>
      </c>
    </row>
    <row r="56" spans="2:9" ht="15" customHeight="1" x14ac:dyDescent="0.2">
      <c r="B56" t="s">
        <v>124</v>
      </c>
      <c r="C56" s="12">
        <v>11</v>
      </c>
      <c r="D56" s="8">
        <v>2.08</v>
      </c>
      <c r="E56" s="12">
        <v>9</v>
      </c>
      <c r="F56" s="8">
        <v>2.91</v>
      </c>
      <c r="G56" s="12">
        <v>2</v>
      </c>
      <c r="H56" s="8">
        <v>0.91</v>
      </c>
      <c r="I56" s="12">
        <v>0</v>
      </c>
    </row>
    <row r="57" spans="2:9" ht="15" customHeight="1" x14ac:dyDescent="0.2">
      <c r="B57" t="s">
        <v>119</v>
      </c>
      <c r="C57" s="12">
        <v>10</v>
      </c>
      <c r="D57" s="8">
        <v>1.89</v>
      </c>
      <c r="E57" s="12">
        <v>2</v>
      </c>
      <c r="F57" s="8">
        <v>0.65</v>
      </c>
      <c r="G57" s="12">
        <v>8</v>
      </c>
      <c r="H57" s="8">
        <v>3.65</v>
      </c>
      <c r="I57" s="12">
        <v>0</v>
      </c>
    </row>
    <row r="58" spans="2:9" ht="15" customHeight="1" x14ac:dyDescent="0.2">
      <c r="B58" t="s">
        <v>180</v>
      </c>
      <c r="C58" s="12">
        <v>10</v>
      </c>
      <c r="D58" s="8">
        <v>1.89</v>
      </c>
      <c r="E58" s="12">
        <v>9</v>
      </c>
      <c r="F58" s="8">
        <v>2.91</v>
      </c>
      <c r="G58" s="12">
        <v>1</v>
      </c>
      <c r="H58" s="8">
        <v>0.46</v>
      </c>
      <c r="I58" s="12">
        <v>0</v>
      </c>
    </row>
    <row r="59" spans="2:9" ht="15" customHeight="1" x14ac:dyDescent="0.2">
      <c r="B59" t="s">
        <v>178</v>
      </c>
      <c r="C59" s="12">
        <v>9</v>
      </c>
      <c r="D59" s="8">
        <v>1.7</v>
      </c>
      <c r="E59" s="12">
        <v>3</v>
      </c>
      <c r="F59" s="8">
        <v>0.97</v>
      </c>
      <c r="G59" s="12">
        <v>6</v>
      </c>
      <c r="H59" s="8">
        <v>2.74</v>
      </c>
      <c r="I59" s="12">
        <v>0</v>
      </c>
    </row>
    <row r="60" spans="2:9" ht="15" customHeight="1" x14ac:dyDescent="0.2">
      <c r="B60" t="s">
        <v>175</v>
      </c>
      <c r="C60" s="12">
        <v>9</v>
      </c>
      <c r="D60" s="8">
        <v>1.7</v>
      </c>
      <c r="E60" s="12">
        <v>2</v>
      </c>
      <c r="F60" s="8">
        <v>0.65</v>
      </c>
      <c r="G60" s="12">
        <v>7</v>
      </c>
      <c r="H60" s="8">
        <v>3.2</v>
      </c>
      <c r="I60" s="12">
        <v>0</v>
      </c>
    </row>
    <row r="61" spans="2:9" ht="15" customHeight="1" x14ac:dyDescent="0.2">
      <c r="B61" t="s">
        <v>132</v>
      </c>
      <c r="C61" s="12">
        <v>9</v>
      </c>
      <c r="D61" s="8">
        <v>1.7</v>
      </c>
      <c r="E61" s="12">
        <v>7</v>
      </c>
      <c r="F61" s="8">
        <v>2.27</v>
      </c>
      <c r="G61" s="12">
        <v>2</v>
      </c>
      <c r="H61" s="8">
        <v>0.91</v>
      </c>
      <c r="I61" s="12">
        <v>0</v>
      </c>
    </row>
    <row r="62" spans="2:9" ht="15" customHeight="1" x14ac:dyDescent="0.2">
      <c r="B62" t="s">
        <v>139</v>
      </c>
      <c r="C62" s="12">
        <v>9</v>
      </c>
      <c r="D62" s="8">
        <v>1.7</v>
      </c>
      <c r="E62" s="12">
        <v>7</v>
      </c>
      <c r="F62" s="8">
        <v>2.27</v>
      </c>
      <c r="G62" s="12">
        <v>2</v>
      </c>
      <c r="H62" s="8">
        <v>0.91</v>
      </c>
      <c r="I62" s="12">
        <v>0</v>
      </c>
    </row>
    <row r="63" spans="2:9" ht="15" customHeight="1" x14ac:dyDescent="0.2">
      <c r="B63" t="s">
        <v>144</v>
      </c>
      <c r="C63" s="12">
        <v>8</v>
      </c>
      <c r="D63" s="8">
        <v>1.51</v>
      </c>
      <c r="E63" s="12">
        <v>2</v>
      </c>
      <c r="F63" s="8">
        <v>0.65</v>
      </c>
      <c r="G63" s="12">
        <v>6</v>
      </c>
      <c r="H63" s="8">
        <v>2.74</v>
      </c>
      <c r="I63" s="12">
        <v>0</v>
      </c>
    </row>
    <row r="64" spans="2:9" ht="15" customHeight="1" x14ac:dyDescent="0.2">
      <c r="B64" t="s">
        <v>158</v>
      </c>
      <c r="C64" s="12">
        <v>8</v>
      </c>
      <c r="D64" s="8">
        <v>1.51</v>
      </c>
      <c r="E64" s="12">
        <v>2</v>
      </c>
      <c r="F64" s="8">
        <v>0.65</v>
      </c>
      <c r="G64" s="12">
        <v>6</v>
      </c>
      <c r="H64" s="8">
        <v>2.74</v>
      </c>
      <c r="I64" s="12">
        <v>0</v>
      </c>
    </row>
    <row r="65" spans="2:9" ht="15" customHeight="1" x14ac:dyDescent="0.2">
      <c r="B65" t="s">
        <v>157</v>
      </c>
      <c r="C65" s="12">
        <v>8</v>
      </c>
      <c r="D65" s="8">
        <v>1.51</v>
      </c>
      <c r="E65" s="12">
        <v>3</v>
      </c>
      <c r="F65" s="8">
        <v>0.97</v>
      </c>
      <c r="G65" s="12">
        <v>5</v>
      </c>
      <c r="H65" s="8">
        <v>2.2799999999999998</v>
      </c>
      <c r="I65" s="12">
        <v>0</v>
      </c>
    </row>
    <row r="66" spans="2:9" ht="15" customHeight="1" x14ac:dyDescent="0.2">
      <c r="B66" t="s">
        <v>126</v>
      </c>
      <c r="C66" s="12">
        <v>8</v>
      </c>
      <c r="D66" s="8">
        <v>1.51</v>
      </c>
      <c r="E66" s="12">
        <v>2</v>
      </c>
      <c r="F66" s="8">
        <v>0.65</v>
      </c>
      <c r="G66" s="12">
        <v>6</v>
      </c>
      <c r="H66" s="8">
        <v>2.74</v>
      </c>
      <c r="I66" s="12">
        <v>0</v>
      </c>
    </row>
    <row r="67" spans="2:9" ht="15" customHeight="1" x14ac:dyDescent="0.2">
      <c r="B67" t="s">
        <v>129</v>
      </c>
      <c r="C67" s="12">
        <v>8</v>
      </c>
      <c r="D67" s="8">
        <v>1.51</v>
      </c>
      <c r="E67" s="12">
        <v>1</v>
      </c>
      <c r="F67" s="8">
        <v>0.32</v>
      </c>
      <c r="G67" s="12">
        <v>7</v>
      </c>
      <c r="H67" s="8">
        <v>3.2</v>
      </c>
      <c r="I67" s="12">
        <v>0</v>
      </c>
    </row>
    <row r="69" spans="2:9" ht="15" customHeight="1" x14ac:dyDescent="0.2">
      <c r="B69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71D2-7CE2-4B0C-8627-B996AAE68801}">
  <sheetPr>
    <pageSetUpPr fitToPage="1"/>
  </sheetPr>
  <dimension ref="A1:I104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116</v>
      </c>
      <c r="B1" s="3" t="s">
        <v>192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  <c r="I1" s="7" t="s">
        <v>67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134</v>
      </c>
      <c r="C3" s="4">
        <v>3435</v>
      </c>
      <c r="D3" s="8">
        <v>5.39</v>
      </c>
      <c r="E3" s="4">
        <v>3163</v>
      </c>
      <c r="F3" s="8">
        <v>9.09</v>
      </c>
      <c r="G3" s="4">
        <v>272</v>
      </c>
      <c r="H3" s="8">
        <v>0.96</v>
      </c>
      <c r="I3" s="4">
        <v>0</v>
      </c>
    </row>
    <row r="4" spans="1:9" x14ac:dyDescent="0.2">
      <c r="A4" s="2">
        <v>2</v>
      </c>
      <c r="B4" s="1" t="s">
        <v>133</v>
      </c>
      <c r="C4" s="4">
        <v>2660</v>
      </c>
      <c r="D4" s="8">
        <v>4.17</v>
      </c>
      <c r="E4" s="4">
        <v>2529</v>
      </c>
      <c r="F4" s="8">
        <v>7.27</v>
      </c>
      <c r="G4" s="4">
        <v>131</v>
      </c>
      <c r="H4" s="8">
        <v>0.46</v>
      </c>
      <c r="I4" s="4">
        <v>0</v>
      </c>
    </row>
    <row r="5" spans="1:9" x14ac:dyDescent="0.2">
      <c r="A5" s="2">
        <v>3</v>
      </c>
      <c r="B5" s="1" t="s">
        <v>129</v>
      </c>
      <c r="C5" s="4">
        <v>2406</v>
      </c>
      <c r="D5" s="8">
        <v>3.78</v>
      </c>
      <c r="E5" s="4">
        <v>1589</v>
      </c>
      <c r="F5" s="8">
        <v>4.57</v>
      </c>
      <c r="G5" s="4">
        <v>811</v>
      </c>
      <c r="H5" s="8">
        <v>2.85</v>
      </c>
      <c r="I5" s="4">
        <v>0</v>
      </c>
    </row>
    <row r="6" spans="1:9" x14ac:dyDescent="0.2">
      <c r="A6" s="2">
        <v>4</v>
      </c>
      <c r="B6" s="1" t="s">
        <v>120</v>
      </c>
      <c r="C6" s="4">
        <v>1717</v>
      </c>
      <c r="D6" s="8">
        <v>2.69</v>
      </c>
      <c r="E6" s="4">
        <v>1149</v>
      </c>
      <c r="F6" s="8">
        <v>3.3</v>
      </c>
      <c r="G6" s="4">
        <v>568</v>
      </c>
      <c r="H6" s="8">
        <v>2</v>
      </c>
      <c r="I6" s="4">
        <v>0</v>
      </c>
    </row>
    <row r="7" spans="1:9" x14ac:dyDescent="0.2">
      <c r="A7" s="2">
        <v>5</v>
      </c>
      <c r="B7" s="1" t="s">
        <v>131</v>
      </c>
      <c r="C7" s="4">
        <v>1676</v>
      </c>
      <c r="D7" s="8">
        <v>2.63</v>
      </c>
      <c r="E7" s="4">
        <v>1370</v>
      </c>
      <c r="F7" s="8">
        <v>3.94</v>
      </c>
      <c r="G7" s="4">
        <v>306</v>
      </c>
      <c r="H7" s="8">
        <v>1.08</v>
      </c>
      <c r="I7" s="4">
        <v>0</v>
      </c>
    </row>
    <row r="8" spans="1:9" x14ac:dyDescent="0.2">
      <c r="A8" s="2">
        <v>6</v>
      </c>
      <c r="B8" s="1" t="s">
        <v>137</v>
      </c>
      <c r="C8" s="4">
        <v>1567</v>
      </c>
      <c r="D8" s="8">
        <v>2.46</v>
      </c>
      <c r="E8" s="4">
        <v>1273</v>
      </c>
      <c r="F8" s="8">
        <v>3.66</v>
      </c>
      <c r="G8" s="4">
        <v>294</v>
      </c>
      <c r="H8" s="8">
        <v>1.03</v>
      </c>
      <c r="I8" s="4">
        <v>0</v>
      </c>
    </row>
    <row r="9" spans="1:9" x14ac:dyDescent="0.2">
      <c r="A9" s="2">
        <v>7</v>
      </c>
      <c r="B9" s="1" t="s">
        <v>118</v>
      </c>
      <c r="C9" s="4">
        <v>1520</v>
      </c>
      <c r="D9" s="8">
        <v>2.39</v>
      </c>
      <c r="E9" s="4">
        <v>248</v>
      </c>
      <c r="F9" s="8">
        <v>0.71</v>
      </c>
      <c r="G9" s="4">
        <v>1272</v>
      </c>
      <c r="H9" s="8">
        <v>4.47</v>
      </c>
      <c r="I9" s="4">
        <v>0</v>
      </c>
    </row>
    <row r="10" spans="1:9" x14ac:dyDescent="0.2">
      <c r="A10" s="2">
        <v>8</v>
      </c>
      <c r="B10" s="1" t="s">
        <v>132</v>
      </c>
      <c r="C10" s="4">
        <v>1514</v>
      </c>
      <c r="D10" s="8">
        <v>2.38</v>
      </c>
      <c r="E10" s="4">
        <v>1398</v>
      </c>
      <c r="F10" s="8">
        <v>4.0199999999999996</v>
      </c>
      <c r="G10" s="4">
        <v>116</v>
      </c>
      <c r="H10" s="8">
        <v>0.41</v>
      </c>
      <c r="I10" s="4">
        <v>0</v>
      </c>
    </row>
    <row r="11" spans="1:9" x14ac:dyDescent="0.2">
      <c r="A11" s="2">
        <v>9</v>
      </c>
      <c r="B11" s="1" t="s">
        <v>124</v>
      </c>
      <c r="C11" s="4">
        <v>1476</v>
      </c>
      <c r="D11" s="8">
        <v>2.3199999999999998</v>
      </c>
      <c r="E11" s="4">
        <v>860</v>
      </c>
      <c r="F11" s="8">
        <v>2.4700000000000002</v>
      </c>
      <c r="G11" s="4">
        <v>615</v>
      </c>
      <c r="H11" s="8">
        <v>2.16</v>
      </c>
      <c r="I11" s="4">
        <v>1</v>
      </c>
    </row>
    <row r="12" spans="1:9" x14ac:dyDescent="0.2">
      <c r="A12" s="2">
        <v>10</v>
      </c>
      <c r="B12" s="1" t="s">
        <v>136</v>
      </c>
      <c r="C12" s="4">
        <v>1330</v>
      </c>
      <c r="D12" s="8">
        <v>2.09</v>
      </c>
      <c r="E12" s="4">
        <v>1200</v>
      </c>
      <c r="F12" s="8">
        <v>3.45</v>
      </c>
      <c r="G12" s="4">
        <v>129</v>
      </c>
      <c r="H12" s="8">
        <v>0.45</v>
      </c>
      <c r="I12" s="4">
        <v>1</v>
      </c>
    </row>
    <row r="13" spans="1:9" x14ac:dyDescent="0.2">
      <c r="A13" s="2">
        <v>11</v>
      </c>
      <c r="B13" s="1" t="s">
        <v>121</v>
      </c>
      <c r="C13" s="4">
        <v>1289</v>
      </c>
      <c r="D13" s="8">
        <v>2.02</v>
      </c>
      <c r="E13" s="4">
        <v>479</v>
      </c>
      <c r="F13" s="8">
        <v>1.38</v>
      </c>
      <c r="G13" s="4">
        <v>810</v>
      </c>
      <c r="H13" s="8">
        <v>2.85</v>
      </c>
      <c r="I13" s="4">
        <v>0</v>
      </c>
    </row>
    <row r="14" spans="1:9" x14ac:dyDescent="0.2">
      <c r="A14" s="2">
        <v>12</v>
      </c>
      <c r="B14" s="1" t="s">
        <v>127</v>
      </c>
      <c r="C14" s="4">
        <v>1197</v>
      </c>
      <c r="D14" s="8">
        <v>1.88</v>
      </c>
      <c r="E14" s="4">
        <v>749</v>
      </c>
      <c r="F14" s="8">
        <v>2.15</v>
      </c>
      <c r="G14" s="4">
        <v>447</v>
      </c>
      <c r="H14" s="8">
        <v>1.57</v>
      </c>
      <c r="I14" s="4">
        <v>1</v>
      </c>
    </row>
    <row r="15" spans="1:9" x14ac:dyDescent="0.2">
      <c r="A15" s="2">
        <v>13</v>
      </c>
      <c r="B15" s="1" t="s">
        <v>135</v>
      </c>
      <c r="C15" s="4">
        <v>1155</v>
      </c>
      <c r="D15" s="8">
        <v>1.81</v>
      </c>
      <c r="E15" s="4">
        <v>900</v>
      </c>
      <c r="F15" s="8">
        <v>2.59</v>
      </c>
      <c r="G15" s="4">
        <v>251</v>
      </c>
      <c r="H15" s="8">
        <v>0.88</v>
      </c>
      <c r="I15" s="4">
        <v>4</v>
      </c>
    </row>
    <row r="16" spans="1:9" x14ac:dyDescent="0.2">
      <c r="A16" s="2">
        <v>14</v>
      </c>
      <c r="B16" s="1" t="s">
        <v>123</v>
      </c>
      <c r="C16" s="4">
        <v>1146</v>
      </c>
      <c r="D16" s="8">
        <v>1.8</v>
      </c>
      <c r="E16" s="4">
        <v>823</v>
      </c>
      <c r="F16" s="8">
        <v>2.36</v>
      </c>
      <c r="G16" s="4">
        <v>321</v>
      </c>
      <c r="H16" s="8">
        <v>1.1299999999999999</v>
      </c>
      <c r="I16" s="4">
        <v>2</v>
      </c>
    </row>
    <row r="17" spans="1:9" x14ac:dyDescent="0.2">
      <c r="A17" s="2">
        <v>15</v>
      </c>
      <c r="B17" s="1" t="s">
        <v>122</v>
      </c>
      <c r="C17" s="4">
        <v>1030</v>
      </c>
      <c r="D17" s="8">
        <v>1.62</v>
      </c>
      <c r="E17" s="4">
        <v>319</v>
      </c>
      <c r="F17" s="8">
        <v>0.92</v>
      </c>
      <c r="G17" s="4">
        <v>711</v>
      </c>
      <c r="H17" s="8">
        <v>2.5</v>
      </c>
      <c r="I17" s="4">
        <v>0</v>
      </c>
    </row>
    <row r="18" spans="1:9" x14ac:dyDescent="0.2">
      <c r="A18" s="2">
        <v>16</v>
      </c>
      <c r="B18" s="1" t="s">
        <v>119</v>
      </c>
      <c r="C18" s="4">
        <v>1010</v>
      </c>
      <c r="D18" s="8">
        <v>1.58</v>
      </c>
      <c r="E18" s="4">
        <v>265</v>
      </c>
      <c r="F18" s="8">
        <v>0.76</v>
      </c>
      <c r="G18" s="4">
        <v>745</v>
      </c>
      <c r="H18" s="8">
        <v>2.62</v>
      </c>
      <c r="I18" s="4">
        <v>0</v>
      </c>
    </row>
    <row r="19" spans="1:9" x14ac:dyDescent="0.2">
      <c r="A19" s="2">
        <v>17</v>
      </c>
      <c r="B19" s="1" t="s">
        <v>130</v>
      </c>
      <c r="C19" s="4">
        <v>829</v>
      </c>
      <c r="D19" s="8">
        <v>1.3</v>
      </c>
      <c r="E19" s="4">
        <v>288</v>
      </c>
      <c r="F19" s="8">
        <v>0.83</v>
      </c>
      <c r="G19" s="4">
        <v>516</v>
      </c>
      <c r="H19" s="8">
        <v>1.81</v>
      </c>
      <c r="I19" s="4">
        <v>0</v>
      </c>
    </row>
    <row r="20" spans="1:9" x14ac:dyDescent="0.2">
      <c r="A20" s="2">
        <v>18</v>
      </c>
      <c r="B20" s="1" t="s">
        <v>125</v>
      </c>
      <c r="C20" s="4">
        <v>774</v>
      </c>
      <c r="D20" s="8">
        <v>1.21</v>
      </c>
      <c r="E20" s="4">
        <v>292</v>
      </c>
      <c r="F20" s="8">
        <v>0.84</v>
      </c>
      <c r="G20" s="4">
        <v>482</v>
      </c>
      <c r="H20" s="8">
        <v>1.69</v>
      </c>
      <c r="I20" s="4">
        <v>0</v>
      </c>
    </row>
    <row r="21" spans="1:9" x14ac:dyDescent="0.2">
      <c r="A21" s="2">
        <v>19</v>
      </c>
      <c r="B21" s="1" t="s">
        <v>126</v>
      </c>
      <c r="C21" s="4">
        <v>740</v>
      </c>
      <c r="D21" s="8">
        <v>1.1599999999999999</v>
      </c>
      <c r="E21" s="4">
        <v>301</v>
      </c>
      <c r="F21" s="8">
        <v>0.86</v>
      </c>
      <c r="G21" s="4">
        <v>439</v>
      </c>
      <c r="H21" s="8">
        <v>1.54</v>
      </c>
      <c r="I21" s="4">
        <v>0</v>
      </c>
    </row>
    <row r="22" spans="1:9" x14ac:dyDescent="0.2">
      <c r="A22" s="2">
        <v>20</v>
      </c>
      <c r="B22" s="1" t="s">
        <v>128</v>
      </c>
      <c r="C22" s="4">
        <v>727</v>
      </c>
      <c r="D22" s="8">
        <v>1.1399999999999999</v>
      </c>
      <c r="E22" s="4">
        <v>123</v>
      </c>
      <c r="F22" s="8">
        <v>0.35</v>
      </c>
      <c r="G22" s="4">
        <v>604</v>
      </c>
      <c r="H22" s="8">
        <v>2.12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129</v>
      </c>
      <c r="C25" s="4">
        <v>388</v>
      </c>
      <c r="D25" s="8">
        <v>5.95</v>
      </c>
      <c r="E25" s="4">
        <v>268</v>
      </c>
      <c r="F25" s="8">
        <v>8.61</v>
      </c>
      <c r="G25" s="4">
        <v>120</v>
      </c>
      <c r="H25" s="8">
        <v>3.56</v>
      </c>
      <c r="I25" s="4">
        <v>0</v>
      </c>
    </row>
    <row r="26" spans="1:9" x14ac:dyDescent="0.2">
      <c r="A26" s="2">
        <v>2</v>
      </c>
      <c r="B26" s="1" t="s">
        <v>134</v>
      </c>
      <c r="C26" s="4">
        <v>357</v>
      </c>
      <c r="D26" s="8">
        <v>5.47</v>
      </c>
      <c r="E26" s="4">
        <v>310</v>
      </c>
      <c r="F26" s="8">
        <v>9.9600000000000009</v>
      </c>
      <c r="G26" s="4">
        <v>47</v>
      </c>
      <c r="H26" s="8">
        <v>1.39</v>
      </c>
      <c r="I26" s="4">
        <v>0</v>
      </c>
    </row>
    <row r="27" spans="1:9" x14ac:dyDescent="0.2">
      <c r="A27" s="2">
        <v>3</v>
      </c>
      <c r="B27" s="1" t="s">
        <v>131</v>
      </c>
      <c r="C27" s="4">
        <v>229</v>
      </c>
      <c r="D27" s="8">
        <v>3.51</v>
      </c>
      <c r="E27" s="4">
        <v>188</v>
      </c>
      <c r="F27" s="8">
        <v>6.04</v>
      </c>
      <c r="G27" s="4">
        <v>41</v>
      </c>
      <c r="H27" s="8">
        <v>1.22</v>
      </c>
      <c r="I27" s="4">
        <v>0</v>
      </c>
    </row>
    <row r="28" spans="1:9" x14ac:dyDescent="0.2">
      <c r="A28" s="2">
        <v>4</v>
      </c>
      <c r="B28" s="1" t="s">
        <v>133</v>
      </c>
      <c r="C28" s="4">
        <v>205</v>
      </c>
      <c r="D28" s="8">
        <v>3.14</v>
      </c>
      <c r="E28" s="4">
        <v>189</v>
      </c>
      <c r="F28" s="8">
        <v>6.07</v>
      </c>
      <c r="G28" s="4">
        <v>16</v>
      </c>
      <c r="H28" s="8">
        <v>0.47</v>
      </c>
      <c r="I28" s="4">
        <v>0</v>
      </c>
    </row>
    <row r="29" spans="1:9" x14ac:dyDescent="0.2">
      <c r="A29" s="2">
        <v>5</v>
      </c>
      <c r="B29" s="1" t="s">
        <v>132</v>
      </c>
      <c r="C29" s="4">
        <v>166</v>
      </c>
      <c r="D29" s="8">
        <v>2.54</v>
      </c>
      <c r="E29" s="4">
        <v>150</v>
      </c>
      <c r="F29" s="8">
        <v>4.82</v>
      </c>
      <c r="G29" s="4">
        <v>16</v>
      </c>
      <c r="H29" s="8">
        <v>0.47</v>
      </c>
      <c r="I29" s="4">
        <v>0</v>
      </c>
    </row>
    <row r="30" spans="1:9" x14ac:dyDescent="0.2">
      <c r="A30" s="2">
        <v>6</v>
      </c>
      <c r="B30" s="1" t="s">
        <v>130</v>
      </c>
      <c r="C30" s="4">
        <v>155</v>
      </c>
      <c r="D30" s="8">
        <v>2.38</v>
      </c>
      <c r="E30" s="4">
        <v>42</v>
      </c>
      <c r="F30" s="8">
        <v>1.35</v>
      </c>
      <c r="G30" s="4">
        <v>110</v>
      </c>
      <c r="H30" s="8">
        <v>3.26</v>
      </c>
      <c r="I30" s="4">
        <v>0</v>
      </c>
    </row>
    <row r="31" spans="1:9" x14ac:dyDescent="0.2">
      <c r="A31" s="2">
        <v>7</v>
      </c>
      <c r="B31" s="1" t="s">
        <v>135</v>
      </c>
      <c r="C31" s="4">
        <v>150</v>
      </c>
      <c r="D31" s="8">
        <v>2.2999999999999998</v>
      </c>
      <c r="E31" s="4">
        <v>114</v>
      </c>
      <c r="F31" s="8">
        <v>3.66</v>
      </c>
      <c r="G31" s="4">
        <v>35</v>
      </c>
      <c r="H31" s="8">
        <v>1.04</v>
      </c>
      <c r="I31" s="4">
        <v>1</v>
      </c>
    </row>
    <row r="32" spans="1:9" x14ac:dyDescent="0.2">
      <c r="A32" s="2">
        <v>7</v>
      </c>
      <c r="B32" s="1" t="s">
        <v>136</v>
      </c>
      <c r="C32" s="4">
        <v>150</v>
      </c>
      <c r="D32" s="8">
        <v>2.2999999999999998</v>
      </c>
      <c r="E32" s="4">
        <v>138</v>
      </c>
      <c r="F32" s="8">
        <v>4.43</v>
      </c>
      <c r="G32" s="4">
        <v>12</v>
      </c>
      <c r="H32" s="8">
        <v>0.36</v>
      </c>
      <c r="I32" s="4">
        <v>0</v>
      </c>
    </row>
    <row r="33" spans="1:9" x14ac:dyDescent="0.2">
      <c r="A33" s="2">
        <v>9</v>
      </c>
      <c r="B33" s="1" t="s">
        <v>137</v>
      </c>
      <c r="C33" s="4">
        <v>138</v>
      </c>
      <c r="D33" s="8">
        <v>2.11</v>
      </c>
      <c r="E33" s="4">
        <v>100</v>
      </c>
      <c r="F33" s="8">
        <v>3.21</v>
      </c>
      <c r="G33" s="4">
        <v>38</v>
      </c>
      <c r="H33" s="8">
        <v>1.1299999999999999</v>
      </c>
      <c r="I33" s="4">
        <v>0</v>
      </c>
    </row>
    <row r="34" spans="1:9" x14ac:dyDescent="0.2">
      <c r="A34" s="2">
        <v>10</v>
      </c>
      <c r="B34" s="1" t="s">
        <v>128</v>
      </c>
      <c r="C34" s="4">
        <v>128</v>
      </c>
      <c r="D34" s="8">
        <v>1.96</v>
      </c>
      <c r="E34" s="4">
        <v>16</v>
      </c>
      <c r="F34" s="8">
        <v>0.51</v>
      </c>
      <c r="G34" s="4">
        <v>112</v>
      </c>
      <c r="H34" s="8">
        <v>3.32</v>
      </c>
      <c r="I34" s="4">
        <v>0</v>
      </c>
    </row>
    <row r="35" spans="1:9" x14ac:dyDescent="0.2">
      <c r="A35" s="2">
        <v>11</v>
      </c>
      <c r="B35" s="1" t="s">
        <v>127</v>
      </c>
      <c r="C35" s="4">
        <v>123</v>
      </c>
      <c r="D35" s="8">
        <v>1.89</v>
      </c>
      <c r="E35" s="4">
        <v>65</v>
      </c>
      <c r="F35" s="8">
        <v>2.09</v>
      </c>
      <c r="G35" s="4">
        <v>58</v>
      </c>
      <c r="H35" s="8">
        <v>1.72</v>
      </c>
      <c r="I35" s="4">
        <v>0</v>
      </c>
    </row>
    <row r="36" spans="1:9" x14ac:dyDescent="0.2">
      <c r="A36" s="2">
        <v>12</v>
      </c>
      <c r="B36" s="1" t="s">
        <v>124</v>
      </c>
      <c r="C36" s="4">
        <v>112</v>
      </c>
      <c r="D36" s="8">
        <v>1.72</v>
      </c>
      <c r="E36" s="4">
        <v>56</v>
      </c>
      <c r="F36" s="8">
        <v>1.8</v>
      </c>
      <c r="G36" s="4">
        <v>56</v>
      </c>
      <c r="H36" s="8">
        <v>1.66</v>
      </c>
      <c r="I36" s="4">
        <v>0</v>
      </c>
    </row>
    <row r="37" spans="1:9" x14ac:dyDescent="0.2">
      <c r="A37" s="2">
        <v>13</v>
      </c>
      <c r="B37" s="1" t="s">
        <v>118</v>
      </c>
      <c r="C37" s="4">
        <v>107</v>
      </c>
      <c r="D37" s="8">
        <v>1.64</v>
      </c>
      <c r="E37" s="4">
        <v>16</v>
      </c>
      <c r="F37" s="8">
        <v>0.51</v>
      </c>
      <c r="G37" s="4">
        <v>91</v>
      </c>
      <c r="H37" s="8">
        <v>2.7</v>
      </c>
      <c r="I37" s="4">
        <v>0</v>
      </c>
    </row>
    <row r="38" spans="1:9" x14ac:dyDescent="0.2">
      <c r="A38" s="2">
        <v>14</v>
      </c>
      <c r="B38" s="1" t="s">
        <v>119</v>
      </c>
      <c r="C38" s="4">
        <v>103</v>
      </c>
      <c r="D38" s="8">
        <v>1.58</v>
      </c>
      <c r="E38" s="4">
        <v>13</v>
      </c>
      <c r="F38" s="8">
        <v>0.42</v>
      </c>
      <c r="G38" s="4">
        <v>90</v>
      </c>
      <c r="H38" s="8">
        <v>2.67</v>
      </c>
      <c r="I38" s="4">
        <v>0</v>
      </c>
    </row>
    <row r="39" spans="1:9" x14ac:dyDescent="0.2">
      <c r="A39" s="2">
        <v>15</v>
      </c>
      <c r="B39" s="1" t="s">
        <v>125</v>
      </c>
      <c r="C39" s="4">
        <v>102</v>
      </c>
      <c r="D39" s="8">
        <v>1.56</v>
      </c>
      <c r="E39" s="4">
        <v>28</v>
      </c>
      <c r="F39" s="8">
        <v>0.9</v>
      </c>
      <c r="G39" s="4">
        <v>74</v>
      </c>
      <c r="H39" s="8">
        <v>2.2000000000000002</v>
      </c>
      <c r="I39" s="4">
        <v>0</v>
      </c>
    </row>
    <row r="40" spans="1:9" x14ac:dyDescent="0.2">
      <c r="A40" s="2">
        <v>16</v>
      </c>
      <c r="B40" s="1" t="s">
        <v>138</v>
      </c>
      <c r="C40" s="4">
        <v>99</v>
      </c>
      <c r="D40" s="8">
        <v>1.52</v>
      </c>
      <c r="E40" s="4">
        <v>94</v>
      </c>
      <c r="F40" s="8">
        <v>3.02</v>
      </c>
      <c r="G40" s="4">
        <v>5</v>
      </c>
      <c r="H40" s="8">
        <v>0.15</v>
      </c>
      <c r="I40" s="4">
        <v>0</v>
      </c>
    </row>
    <row r="41" spans="1:9" x14ac:dyDescent="0.2">
      <c r="A41" s="2">
        <v>17</v>
      </c>
      <c r="B41" s="1" t="s">
        <v>123</v>
      </c>
      <c r="C41" s="4">
        <v>95</v>
      </c>
      <c r="D41" s="8">
        <v>1.46</v>
      </c>
      <c r="E41" s="4">
        <v>49</v>
      </c>
      <c r="F41" s="8">
        <v>1.57</v>
      </c>
      <c r="G41" s="4">
        <v>46</v>
      </c>
      <c r="H41" s="8">
        <v>1.36</v>
      </c>
      <c r="I41" s="4">
        <v>0</v>
      </c>
    </row>
    <row r="42" spans="1:9" x14ac:dyDescent="0.2">
      <c r="A42" s="2">
        <v>18</v>
      </c>
      <c r="B42" s="1" t="s">
        <v>120</v>
      </c>
      <c r="C42" s="4">
        <v>93</v>
      </c>
      <c r="D42" s="8">
        <v>1.43</v>
      </c>
      <c r="E42" s="4">
        <v>34</v>
      </c>
      <c r="F42" s="8">
        <v>1.0900000000000001</v>
      </c>
      <c r="G42" s="4">
        <v>59</v>
      </c>
      <c r="H42" s="8">
        <v>1.75</v>
      </c>
      <c r="I42" s="4">
        <v>0</v>
      </c>
    </row>
    <row r="43" spans="1:9" x14ac:dyDescent="0.2">
      <c r="A43" s="2">
        <v>19</v>
      </c>
      <c r="B43" s="1" t="s">
        <v>139</v>
      </c>
      <c r="C43" s="4">
        <v>88</v>
      </c>
      <c r="D43" s="8">
        <v>1.35</v>
      </c>
      <c r="E43" s="4">
        <v>37</v>
      </c>
      <c r="F43" s="8">
        <v>1.19</v>
      </c>
      <c r="G43" s="4">
        <v>51</v>
      </c>
      <c r="H43" s="8">
        <v>1.51</v>
      </c>
      <c r="I43" s="4">
        <v>0</v>
      </c>
    </row>
    <row r="44" spans="1:9" x14ac:dyDescent="0.2">
      <c r="A44" s="2">
        <v>20</v>
      </c>
      <c r="B44" s="1" t="s">
        <v>122</v>
      </c>
      <c r="C44" s="4">
        <v>83</v>
      </c>
      <c r="D44" s="8">
        <v>1.27</v>
      </c>
      <c r="E44" s="4">
        <v>18</v>
      </c>
      <c r="F44" s="8">
        <v>0.57999999999999996</v>
      </c>
      <c r="G44" s="4">
        <v>65</v>
      </c>
      <c r="H44" s="8">
        <v>1.93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134</v>
      </c>
      <c r="C47" s="4">
        <v>247</v>
      </c>
      <c r="D47" s="8">
        <v>7</v>
      </c>
      <c r="E47" s="4">
        <v>240</v>
      </c>
      <c r="F47" s="8">
        <v>11.85</v>
      </c>
      <c r="G47" s="4">
        <v>7</v>
      </c>
      <c r="H47" s="8">
        <v>0.47</v>
      </c>
      <c r="I47" s="4">
        <v>0</v>
      </c>
    </row>
    <row r="48" spans="1:9" x14ac:dyDescent="0.2">
      <c r="A48" s="2">
        <v>2</v>
      </c>
      <c r="B48" s="1" t="s">
        <v>133</v>
      </c>
      <c r="C48" s="4">
        <v>165</v>
      </c>
      <c r="D48" s="8">
        <v>4.67</v>
      </c>
      <c r="E48" s="4">
        <v>161</v>
      </c>
      <c r="F48" s="8">
        <v>7.95</v>
      </c>
      <c r="G48" s="4">
        <v>4</v>
      </c>
      <c r="H48" s="8">
        <v>0.27</v>
      </c>
      <c r="I48" s="4">
        <v>0</v>
      </c>
    </row>
    <row r="49" spans="1:9" x14ac:dyDescent="0.2">
      <c r="A49" s="2">
        <v>3</v>
      </c>
      <c r="B49" s="1" t="s">
        <v>132</v>
      </c>
      <c r="C49" s="4">
        <v>115</v>
      </c>
      <c r="D49" s="8">
        <v>3.26</v>
      </c>
      <c r="E49" s="4">
        <v>108</v>
      </c>
      <c r="F49" s="8">
        <v>5.33</v>
      </c>
      <c r="G49" s="4">
        <v>7</v>
      </c>
      <c r="H49" s="8">
        <v>0.47</v>
      </c>
      <c r="I49" s="4">
        <v>0</v>
      </c>
    </row>
    <row r="50" spans="1:9" x14ac:dyDescent="0.2">
      <c r="A50" s="2">
        <v>4</v>
      </c>
      <c r="B50" s="1" t="s">
        <v>129</v>
      </c>
      <c r="C50" s="4">
        <v>109</v>
      </c>
      <c r="D50" s="8">
        <v>3.09</v>
      </c>
      <c r="E50" s="4">
        <v>69</v>
      </c>
      <c r="F50" s="8">
        <v>3.41</v>
      </c>
      <c r="G50" s="4">
        <v>40</v>
      </c>
      <c r="H50" s="8">
        <v>2.68</v>
      </c>
      <c r="I50" s="4">
        <v>0</v>
      </c>
    </row>
    <row r="51" spans="1:9" x14ac:dyDescent="0.2">
      <c r="A51" s="2">
        <v>5</v>
      </c>
      <c r="B51" s="1" t="s">
        <v>131</v>
      </c>
      <c r="C51" s="4">
        <v>107</v>
      </c>
      <c r="D51" s="8">
        <v>3.03</v>
      </c>
      <c r="E51" s="4">
        <v>91</v>
      </c>
      <c r="F51" s="8">
        <v>4.49</v>
      </c>
      <c r="G51" s="4">
        <v>16</v>
      </c>
      <c r="H51" s="8">
        <v>1.07</v>
      </c>
      <c r="I51" s="4">
        <v>0</v>
      </c>
    </row>
    <row r="52" spans="1:9" x14ac:dyDescent="0.2">
      <c r="A52" s="2">
        <v>6</v>
      </c>
      <c r="B52" s="1" t="s">
        <v>136</v>
      </c>
      <c r="C52" s="4">
        <v>94</v>
      </c>
      <c r="D52" s="8">
        <v>2.66</v>
      </c>
      <c r="E52" s="4">
        <v>84</v>
      </c>
      <c r="F52" s="8">
        <v>4.1500000000000004</v>
      </c>
      <c r="G52" s="4">
        <v>10</v>
      </c>
      <c r="H52" s="8">
        <v>0.67</v>
      </c>
      <c r="I52" s="4">
        <v>0</v>
      </c>
    </row>
    <row r="53" spans="1:9" x14ac:dyDescent="0.2">
      <c r="A53" s="2">
        <v>7</v>
      </c>
      <c r="B53" s="1" t="s">
        <v>138</v>
      </c>
      <c r="C53" s="4">
        <v>86</v>
      </c>
      <c r="D53" s="8">
        <v>2.44</v>
      </c>
      <c r="E53" s="4">
        <v>83</v>
      </c>
      <c r="F53" s="8">
        <v>4.0999999999999996</v>
      </c>
      <c r="G53" s="4">
        <v>3</v>
      </c>
      <c r="H53" s="8">
        <v>0.2</v>
      </c>
      <c r="I53" s="4">
        <v>0</v>
      </c>
    </row>
    <row r="54" spans="1:9" x14ac:dyDescent="0.2">
      <c r="A54" s="2">
        <v>8</v>
      </c>
      <c r="B54" s="1" t="s">
        <v>135</v>
      </c>
      <c r="C54" s="4">
        <v>78</v>
      </c>
      <c r="D54" s="8">
        <v>2.21</v>
      </c>
      <c r="E54" s="4">
        <v>61</v>
      </c>
      <c r="F54" s="8">
        <v>3.01</v>
      </c>
      <c r="G54" s="4">
        <v>17</v>
      </c>
      <c r="H54" s="8">
        <v>1.1399999999999999</v>
      </c>
      <c r="I54" s="4">
        <v>0</v>
      </c>
    </row>
    <row r="55" spans="1:9" x14ac:dyDescent="0.2">
      <c r="A55" s="2">
        <v>9</v>
      </c>
      <c r="B55" s="1" t="s">
        <v>127</v>
      </c>
      <c r="C55" s="4">
        <v>73</v>
      </c>
      <c r="D55" s="8">
        <v>2.0699999999999998</v>
      </c>
      <c r="E55" s="4">
        <v>37</v>
      </c>
      <c r="F55" s="8">
        <v>1.83</v>
      </c>
      <c r="G55" s="4">
        <v>36</v>
      </c>
      <c r="H55" s="8">
        <v>2.41</v>
      </c>
      <c r="I55" s="4">
        <v>0</v>
      </c>
    </row>
    <row r="56" spans="1:9" x14ac:dyDescent="0.2">
      <c r="A56" s="2">
        <v>10</v>
      </c>
      <c r="B56" s="1" t="s">
        <v>124</v>
      </c>
      <c r="C56" s="4">
        <v>68</v>
      </c>
      <c r="D56" s="8">
        <v>1.93</v>
      </c>
      <c r="E56" s="4">
        <v>34</v>
      </c>
      <c r="F56" s="8">
        <v>1.68</v>
      </c>
      <c r="G56" s="4">
        <v>34</v>
      </c>
      <c r="H56" s="8">
        <v>2.27</v>
      </c>
      <c r="I56" s="4">
        <v>0</v>
      </c>
    </row>
    <row r="57" spans="1:9" x14ac:dyDescent="0.2">
      <c r="A57" s="2">
        <v>11</v>
      </c>
      <c r="B57" s="1" t="s">
        <v>121</v>
      </c>
      <c r="C57" s="4">
        <v>64</v>
      </c>
      <c r="D57" s="8">
        <v>1.81</v>
      </c>
      <c r="E57" s="4">
        <v>20</v>
      </c>
      <c r="F57" s="8">
        <v>0.99</v>
      </c>
      <c r="G57" s="4">
        <v>44</v>
      </c>
      <c r="H57" s="8">
        <v>2.94</v>
      </c>
      <c r="I57" s="4">
        <v>0</v>
      </c>
    </row>
    <row r="58" spans="1:9" x14ac:dyDescent="0.2">
      <c r="A58" s="2">
        <v>11</v>
      </c>
      <c r="B58" s="1" t="s">
        <v>139</v>
      </c>
      <c r="C58" s="4">
        <v>64</v>
      </c>
      <c r="D58" s="8">
        <v>1.81</v>
      </c>
      <c r="E58" s="4">
        <v>35</v>
      </c>
      <c r="F58" s="8">
        <v>1.73</v>
      </c>
      <c r="G58" s="4">
        <v>29</v>
      </c>
      <c r="H58" s="8">
        <v>1.94</v>
      </c>
      <c r="I58" s="4">
        <v>0</v>
      </c>
    </row>
    <row r="59" spans="1:9" x14ac:dyDescent="0.2">
      <c r="A59" s="2">
        <v>13</v>
      </c>
      <c r="B59" s="1" t="s">
        <v>123</v>
      </c>
      <c r="C59" s="4">
        <v>61</v>
      </c>
      <c r="D59" s="8">
        <v>1.73</v>
      </c>
      <c r="E59" s="4">
        <v>41</v>
      </c>
      <c r="F59" s="8">
        <v>2.02</v>
      </c>
      <c r="G59" s="4">
        <v>20</v>
      </c>
      <c r="H59" s="8">
        <v>1.34</v>
      </c>
      <c r="I59" s="4">
        <v>0</v>
      </c>
    </row>
    <row r="60" spans="1:9" x14ac:dyDescent="0.2">
      <c r="A60" s="2">
        <v>14</v>
      </c>
      <c r="B60" s="1" t="s">
        <v>125</v>
      </c>
      <c r="C60" s="4">
        <v>57</v>
      </c>
      <c r="D60" s="8">
        <v>1.61</v>
      </c>
      <c r="E60" s="4">
        <v>31</v>
      </c>
      <c r="F60" s="8">
        <v>1.53</v>
      </c>
      <c r="G60" s="4">
        <v>26</v>
      </c>
      <c r="H60" s="8">
        <v>1.74</v>
      </c>
      <c r="I60" s="4">
        <v>0</v>
      </c>
    </row>
    <row r="61" spans="1:9" x14ac:dyDescent="0.2">
      <c r="A61" s="2">
        <v>15</v>
      </c>
      <c r="B61" s="1" t="s">
        <v>122</v>
      </c>
      <c r="C61" s="4">
        <v>56</v>
      </c>
      <c r="D61" s="8">
        <v>1.59</v>
      </c>
      <c r="E61" s="4">
        <v>9</v>
      </c>
      <c r="F61" s="8">
        <v>0.44</v>
      </c>
      <c r="G61" s="4">
        <v>47</v>
      </c>
      <c r="H61" s="8">
        <v>3.14</v>
      </c>
      <c r="I61" s="4">
        <v>0</v>
      </c>
    </row>
    <row r="62" spans="1:9" x14ac:dyDescent="0.2">
      <c r="A62" s="2">
        <v>16</v>
      </c>
      <c r="B62" s="1" t="s">
        <v>141</v>
      </c>
      <c r="C62" s="4">
        <v>55</v>
      </c>
      <c r="D62" s="8">
        <v>1.56</v>
      </c>
      <c r="E62" s="4">
        <v>38</v>
      </c>
      <c r="F62" s="8">
        <v>1.88</v>
      </c>
      <c r="G62" s="4">
        <v>17</v>
      </c>
      <c r="H62" s="8">
        <v>1.1399999999999999</v>
      </c>
      <c r="I62" s="4">
        <v>0</v>
      </c>
    </row>
    <row r="63" spans="1:9" x14ac:dyDescent="0.2">
      <c r="A63" s="2">
        <v>17</v>
      </c>
      <c r="B63" s="1" t="s">
        <v>140</v>
      </c>
      <c r="C63" s="4">
        <v>51</v>
      </c>
      <c r="D63" s="8">
        <v>1.44</v>
      </c>
      <c r="E63" s="4">
        <v>35</v>
      </c>
      <c r="F63" s="8">
        <v>1.73</v>
      </c>
      <c r="G63" s="4">
        <v>16</v>
      </c>
      <c r="H63" s="8">
        <v>1.07</v>
      </c>
      <c r="I63" s="4">
        <v>0</v>
      </c>
    </row>
    <row r="64" spans="1:9" x14ac:dyDescent="0.2">
      <c r="A64" s="2">
        <v>18</v>
      </c>
      <c r="B64" s="1" t="s">
        <v>119</v>
      </c>
      <c r="C64" s="4">
        <v>50</v>
      </c>
      <c r="D64" s="8">
        <v>1.42</v>
      </c>
      <c r="E64" s="4">
        <v>16</v>
      </c>
      <c r="F64" s="8">
        <v>0.79</v>
      </c>
      <c r="G64" s="4">
        <v>34</v>
      </c>
      <c r="H64" s="8">
        <v>2.27</v>
      </c>
      <c r="I64" s="4">
        <v>0</v>
      </c>
    </row>
    <row r="65" spans="1:9" x14ac:dyDescent="0.2">
      <c r="A65" s="2">
        <v>18</v>
      </c>
      <c r="B65" s="1" t="s">
        <v>120</v>
      </c>
      <c r="C65" s="4">
        <v>50</v>
      </c>
      <c r="D65" s="8">
        <v>1.42</v>
      </c>
      <c r="E65" s="4">
        <v>34</v>
      </c>
      <c r="F65" s="8">
        <v>1.68</v>
      </c>
      <c r="G65" s="4">
        <v>16</v>
      </c>
      <c r="H65" s="8">
        <v>1.07</v>
      </c>
      <c r="I65" s="4">
        <v>0</v>
      </c>
    </row>
    <row r="66" spans="1:9" x14ac:dyDescent="0.2">
      <c r="A66" s="2">
        <v>20</v>
      </c>
      <c r="B66" s="1" t="s">
        <v>137</v>
      </c>
      <c r="C66" s="4">
        <v>46</v>
      </c>
      <c r="D66" s="8">
        <v>1.3</v>
      </c>
      <c r="E66" s="4">
        <v>34</v>
      </c>
      <c r="F66" s="8">
        <v>1.68</v>
      </c>
      <c r="G66" s="4">
        <v>12</v>
      </c>
      <c r="H66" s="8">
        <v>0.8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129</v>
      </c>
      <c r="C69" s="4">
        <v>155</v>
      </c>
      <c r="D69" s="8">
        <v>4.93</v>
      </c>
      <c r="E69" s="4">
        <v>95</v>
      </c>
      <c r="F69" s="8">
        <v>6.21</v>
      </c>
      <c r="G69" s="4">
        <v>60</v>
      </c>
      <c r="H69" s="8">
        <v>3.74</v>
      </c>
      <c r="I69" s="4">
        <v>0</v>
      </c>
    </row>
    <row r="70" spans="1:9" x14ac:dyDescent="0.2">
      <c r="A70" s="2">
        <v>2</v>
      </c>
      <c r="B70" s="1" t="s">
        <v>134</v>
      </c>
      <c r="C70" s="4">
        <v>138</v>
      </c>
      <c r="D70" s="8">
        <v>4.3899999999999997</v>
      </c>
      <c r="E70" s="4">
        <v>114</v>
      </c>
      <c r="F70" s="8">
        <v>7.46</v>
      </c>
      <c r="G70" s="4">
        <v>24</v>
      </c>
      <c r="H70" s="8">
        <v>1.5</v>
      </c>
      <c r="I70" s="4">
        <v>0</v>
      </c>
    </row>
    <row r="71" spans="1:9" x14ac:dyDescent="0.2">
      <c r="A71" s="2">
        <v>3</v>
      </c>
      <c r="B71" s="1" t="s">
        <v>133</v>
      </c>
      <c r="C71" s="4">
        <v>117</v>
      </c>
      <c r="D71" s="8">
        <v>3.72</v>
      </c>
      <c r="E71" s="4">
        <v>108</v>
      </c>
      <c r="F71" s="8">
        <v>7.06</v>
      </c>
      <c r="G71" s="4">
        <v>9</v>
      </c>
      <c r="H71" s="8">
        <v>0.56000000000000005</v>
      </c>
      <c r="I71" s="4">
        <v>0</v>
      </c>
    </row>
    <row r="72" spans="1:9" x14ac:dyDescent="0.2">
      <c r="A72" s="2">
        <v>4</v>
      </c>
      <c r="B72" s="1" t="s">
        <v>132</v>
      </c>
      <c r="C72" s="4">
        <v>108</v>
      </c>
      <c r="D72" s="8">
        <v>3.43</v>
      </c>
      <c r="E72" s="4">
        <v>101</v>
      </c>
      <c r="F72" s="8">
        <v>6.61</v>
      </c>
      <c r="G72" s="4">
        <v>7</v>
      </c>
      <c r="H72" s="8">
        <v>0.44</v>
      </c>
      <c r="I72" s="4">
        <v>0</v>
      </c>
    </row>
    <row r="73" spans="1:9" x14ac:dyDescent="0.2">
      <c r="A73" s="2">
        <v>5</v>
      </c>
      <c r="B73" s="1" t="s">
        <v>124</v>
      </c>
      <c r="C73" s="4">
        <v>80</v>
      </c>
      <c r="D73" s="8">
        <v>2.54</v>
      </c>
      <c r="E73" s="4">
        <v>40</v>
      </c>
      <c r="F73" s="8">
        <v>2.62</v>
      </c>
      <c r="G73" s="4">
        <v>40</v>
      </c>
      <c r="H73" s="8">
        <v>2.4900000000000002</v>
      </c>
      <c r="I73" s="4">
        <v>0</v>
      </c>
    </row>
    <row r="74" spans="1:9" x14ac:dyDescent="0.2">
      <c r="A74" s="2">
        <v>5</v>
      </c>
      <c r="B74" s="1" t="s">
        <v>131</v>
      </c>
      <c r="C74" s="4">
        <v>80</v>
      </c>
      <c r="D74" s="8">
        <v>2.54</v>
      </c>
      <c r="E74" s="4">
        <v>63</v>
      </c>
      <c r="F74" s="8">
        <v>4.12</v>
      </c>
      <c r="G74" s="4">
        <v>17</v>
      </c>
      <c r="H74" s="8">
        <v>1.06</v>
      </c>
      <c r="I74" s="4">
        <v>0</v>
      </c>
    </row>
    <row r="75" spans="1:9" x14ac:dyDescent="0.2">
      <c r="A75" s="2">
        <v>7</v>
      </c>
      <c r="B75" s="1" t="s">
        <v>137</v>
      </c>
      <c r="C75" s="4">
        <v>79</v>
      </c>
      <c r="D75" s="8">
        <v>2.5099999999999998</v>
      </c>
      <c r="E75" s="4">
        <v>58</v>
      </c>
      <c r="F75" s="8">
        <v>3.79</v>
      </c>
      <c r="G75" s="4">
        <v>21</v>
      </c>
      <c r="H75" s="8">
        <v>1.31</v>
      </c>
      <c r="I75" s="4">
        <v>0</v>
      </c>
    </row>
    <row r="76" spans="1:9" x14ac:dyDescent="0.2">
      <c r="A76" s="2">
        <v>8</v>
      </c>
      <c r="B76" s="1" t="s">
        <v>136</v>
      </c>
      <c r="C76" s="4">
        <v>70</v>
      </c>
      <c r="D76" s="8">
        <v>2.2200000000000002</v>
      </c>
      <c r="E76" s="4">
        <v>59</v>
      </c>
      <c r="F76" s="8">
        <v>3.86</v>
      </c>
      <c r="G76" s="4">
        <v>11</v>
      </c>
      <c r="H76" s="8">
        <v>0.69</v>
      </c>
      <c r="I76" s="4">
        <v>0</v>
      </c>
    </row>
    <row r="77" spans="1:9" x14ac:dyDescent="0.2">
      <c r="A77" s="2">
        <v>9</v>
      </c>
      <c r="B77" s="1" t="s">
        <v>127</v>
      </c>
      <c r="C77" s="4">
        <v>69</v>
      </c>
      <c r="D77" s="8">
        <v>2.19</v>
      </c>
      <c r="E77" s="4">
        <v>43</v>
      </c>
      <c r="F77" s="8">
        <v>2.81</v>
      </c>
      <c r="G77" s="4">
        <v>26</v>
      </c>
      <c r="H77" s="8">
        <v>1.62</v>
      </c>
      <c r="I77" s="4">
        <v>0</v>
      </c>
    </row>
    <row r="78" spans="1:9" x14ac:dyDescent="0.2">
      <c r="A78" s="2">
        <v>10</v>
      </c>
      <c r="B78" s="1" t="s">
        <v>121</v>
      </c>
      <c r="C78" s="4">
        <v>61</v>
      </c>
      <c r="D78" s="8">
        <v>1.94</v>
      </c>
      <c r="E78" s="4">
        <v>19</v>
      </c>
      <c r="F78" s="8">
        <v>1.24</v>
      </c>
      <c r="G78" s="4">
        <v>42</v>
      </c>
      <c r="H78" s="8">
        <v>2.62</v>
      </c>
      <c r="I78" s="4">
        <v>0</v>
      </c>
    </row>
    <row r="79" spans="1:9" x14ac:dyDescent="0.2">
      <c r="A79" s="2">
        <v>11</v>
      </c>
      <c r="B79" s="1" t="s">
        <v>118</v>
      </c>
      <c r="C79" s="4">
        <v>59</v>
      </c>
      <c r="D79" s="8">
        <v>1.87</v>
      </c>
      <c r="E79" s="4">
        <v>11</v>
      </c>
      <c r="F79" s="8">
        <v>0.72</v>
      </c>
      <c r="G79" s="4">
        <v>48</v>
      </c>
      <c r="H79" s="8">
        <v>2.99</v>
      </c>
      <c r="I79" s="4">
        <v>0</v>
      </c>
    </row>
    <row r="80" spans="1:9" x14ac:dyDescent="0.2">
      <c r="A80" s="2">
        <v>12</v>
      </c>
      <c r="B80" s="1" t="s">
        <v>119</v>
      </c>
      <c r="C80" s="4">
        <v>54</v>
      </c>
      <c r="D80" s="8">
        <v>1.72</v>
      </c>
      <c r="E80" s="4">
        <v>10</v>
      </c>
      <c r="F80" s="8">
        <v>0.65</v>
      </c>
      <c r="G80" s="4">
        <v>44</v>
      </c>
      <c r="H80" s="8">
        <v>2.74</v>
      </c>
      <c r="I80" s="4">
        <v>0</v>
      </c>
    </row>
    <row r="81" spans="1:9" x14ac:dyDescent="0.2">
      <c r="A81" s="2">
        <v>13</v>
      </c>
      <c r="B81" s="1" t="s">
        <v>122</v>
      </c>
      <c r="C81" s="4">
        <v>52</v>
      </c>
      <c r="D81" s="8">
        <v>1.65</v>
      </c>
      <c r="E81" s="4">
        <v>8</v>
      </c>
      <c r="F81" s="8">
        <v>0.52</v>
      </c>
      <c r="G81" s="4">
        <v>44</v>
      </c>
      <c r="H81" s="8">
        <v>2.74</v>
      </c>
      <c r="I81" s="4">
        <v>0</v>
      </c>
    </row>
    <row r="82" spans="1:9" x14ac:dyDescent="0.2">
      <c r="A82" s="2">
        <v>14</v>
      </c>
      <c r="B82" s="1" t="s">
        <v>135</v>
      </c>
      <c r="C82" s="4">
        <v>50</v>
      </c>
      <c r="D82" s="8">
        <v>1.59</v>
      </c>
      <c r="E82" s="4">
        <v>35</v>
      </c>
      <c r="F82" s="8">
        <v>2.29</v>
      </c>
      <c r="G82" s="4">
        <v>15</v>
      </c>
      <c r="H82" s="8">
        <v>0.93</v>
      </c>
      <c r="I82" s="4">
        <v>0</v>
      </c>
    </row>
    <row r="83" spans="1:9" x14ac:dyDescent="0.2">
      <c r="A83" s="2">
        <v>15</v>
      </c>
      <c r="B83" s="1" t="s">
        <v>128</v>
      </c>
      <c r="C83" s="4">
        <v>47</v>
      </c>
      <c r="D83" s="8">
        <v>1.49</v>
      </c>
      <c r="E83" s="4">
        <v>6</v>
      </c>
      <c r="F83" s="8">
        <v>0.39</v>
      </c>
      <c r="G83" s="4">
        <v>41</v>
      </c>
      <c r="H83" s="8">
        <v>2.5499999999999998</v>
      </c>
      <c r="I83" s="4">
        <v>0</v>
      </c>
    </row>
    <row r="84" spans="1:9" x14ac:dyDescent="0.2">
      <c r="A84" s="2">
        <v>16</v>
      </c>
      <c r="B84" s="1" t="s">
        <v>142</v>
      </c>
      <c r="C84" s="4">
        <v>46</v>
      </c>
      <c r="D84" s="8">
        <v>1.46</v>
      </c>
      <c r="E84" s="4">
        <v>29</v>
      </c>
      <c r="F84" s="8">
        <v>1.9</v>
      </c>
      <c r="G84" s="4">
        <v>17</v>
      </c>
      <c r="H84" s="8">
        <v>1.06</v>
      </c>
      <c r="I84" s="4">
        <v>0</v>
      </c>
    </row>
    <row r="85" spans="1:9" x14ac:dyDescent="0.2">
      <c r="A85" s="2">
        <v>16</v>
      </c>
      <c r="B85" s="1" t="s">
        <v>138</v>
      </c>
      <c r="C85" s="4">
        <v>46</v>
      </c>
      <c r="D85" s="8">
        <v>1.46</v>
      </c>
      <c r="E85" s="4">
        <v>40</v>
      </c>
      <c r="F85" s="8">
        <v>2.62</v>
      </c>
      <c r="G85" s="4">
        <v>6</v>
      </c>
      <c r="H85" s="8">
        <v>0.37</v>
      </c>
      <c r="I85" s="4">
        <v>0</v>
      </c>
    </row>
    <row r="86" spans="1:9" x14ac:dyDescent="0.2">
      <c r="A86" s="2">
        <v>18</v>
      </c>
      <c r="B86" s="1" t="s">
        <v>143</v>
      </c>
      <c r="C86" s="4">
        <v>45</v>
      </c>
      <c r="D86" s="8">
        <v>1.43</v>
      </c>
      <c r="E86" s="4">
        <v>41</v>
      </c>
      <c r="F86" s="8">
        <v>2.68</v>
      </c>
      <c r="G86" s="4">
        <v>4</v>
      </c>
      <c r="H86" s="8">
        <v>0.25</v>
      </c>
      <c r="I86" s="4">
        <v>0</v>
      </c>
    </row>
    <row r="87" spans="1:9" x14ac:dyDescent="0.2">
      <c r="A87" s="2">
        <v>19</v>
      </c>
      <c r="B87" s="1" t="s">
        <v>123</v>
      </c>
      <c r="C87" s="4">
        <v>44</v>
      </c>
      <c r="D87" s="8">
        <v>1.4</v>
      </c>
      <c r="E87" s="4">
        <v>22</v>
      </c>
      <c r="F87" s="8">
        <v>1.44</v>
      </c>
      <c r="G87" s="4">
        <v>22</v>
      </c>
      <c r="H87" s="8">
        <v>1.37</v>
      </c>
      <c r="I87" s="4">
        <v>0</v>
      </c>
    </row>
    <row r="88" spans="1:9" x14ac:dyDescent="0.2">
      <c r="A88" s="2">
        <v>20</v>
      </c>
      <c r="B88" s="1" t="s">
        <v>130</v>
      </c>
      <c r="C88" s="4">
        <v>42</v>
      </c>
      <c r="D88" s="8">
        <v>1.33</v>
      </c>
      <c r="E88" s="4">
        <v>13</v>
      </c>
      <c r="F88" s="8">
        <v>0.85</v>
      </c>
      <c r="G88" s="4">
        <v>27</v>
      </c>
      <c r="H88" s="8">
        <v>1.68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134</v>
      </c>
      <c r="C91" s="4">
        <v>219</v>
      </c>
      <c r="D91" s="8">
        <v>6.14</v>
      </c>
      <c r="E91" s="4">
        <v>195</v>
      </c>
      <c r="F91" s="8">
        <v>9.98</v>
      </c>
      <c r="G91" s="4">
        <v>24</v>
      </c>
      <c r="H91" s="8">
        <v>1.51</v>
      </c>
      <c r="I91" s="4">
        <v>0</v>
      </c>
    </row>
    <row r="92" spans="1:9" x14ac:dyDescent="0.2">
      <c r="A92" s="2">
        <v>2</v>
      </c>
      <c r="B92" s="1" t="s">
        <v>129</v>
      </c>
      <c r="C92" s="4">
        <v>162</v>
      </c>
      <c r="D92" s="8">
        <v>4.54</v>
      </c>
      <c r="E92" s="4">
        <v>125</v>
      </c>
      <c r="F92" s="8">
        <v>6.4</v>
      </c>
      <c r="G92" s="4">
        <v>37</v>
      </c>
      <c r="H92" s="8">
        <v>2.33</v>
      </c>
      <c r="I92" s="4">
        <v>0</v>
      </c>
    </row>
    <row r="93" spans="1:9" x14ac:dyDescent="0.2">
      <c r="A93" s="2">
        <v>3</v>
      </c>
      <c r="B93" s="1" t="s">
        <v>133</v>
      </c>
      <c r="C93" s="4">
        <v>136</v>
      </c>
      <c r="D93" s="8">
        <v>3.81</v>
      </c>
      <c r="E93" s="4">
        <v>133</v>
      </c>
      <c r="F93" s="8">
        <v>6.81</v>
      </c>
      <c r="G93" s="4">
        <v>3</v>
      </c>
      <c r="H93" s="8">
        <v>0.19</v>
      </c>
      <c r="I93" s="4">
        <v>0</v>
      </c>
    </row>
    <row r="94" spans="1:9" x14ac:dyDescent="0.2">
      <c r="A94" s="2">
        <v>4</v>
      </c>
      <c r="B94" s="1" t="s">
        <v>131</v>
      </c>
      <c r="C94" s="4">
        <v>108</v>
      </c>
      <c r="D94" s="8">
        <v>3.03</v>
      </c>
      <c r="E94" s="4">
        <v>80</v>
      </c>
      <c r="F94" s="8">
        <v>4.09</v>
      </c>
      <c r="G94" s="4">
        <v>28</v>
      </c>
      <c r="H94" s="8">
        <v>1.76</v>
      </c>
      <c r="I94" s="4">
        <v>0</v>
      </c>
    </row>
    <row r="95" spans="1:9" x14ac:dyDescent="0.2">
      <c r="A95" s="2">
        <v>5</v>
      </c>
      <c r="B95" s="1" t="s">
        <v>120</v>
      </c>
      <c r="C95" s="4">
        <v>94</v>
      </c>
      <c r="D95" s="8">
        <v>2.64</v>
      </c>
      <c r="E95" s="4">
        <v>63</v>
      </c>
      <c r="F95" s="8">
        <v>3.22</v>
      </c>
      <c r="G95" s="4">
        <v>31</v>
      </c>
      <c r="H95" s="8">
        <v>1.95</v>
      </c>
      <c r="I95" s="4">
        <v>0</v>
      </c>
    </row>
    <row r="96" spans="1:9" x14ac:dyDescent="0.2">
      <c r="A96" s="2">
        <v>6</v>
      </c>
      <c r="B96" s="1" t="s">
        <v>121</v>
      </c>
      <c r="C96" s="4">
        <v>89</v>
      </c>
      <c r="D96" s="8">
        <v>2.5</v>
      </c>
      <c r="E96" s="4">
        <v>33</v>
      </c>
      <c r="F96" s="8">
        <v>1.69</v>
      </c>
      <c r="G96" s="4">
        <v>56</v>
      </c>
      <c r="H96" s="8">
        <v>3.53</v>
      </c>
      <c r="I96" s="4">
        <v>0</v>
      </c>
    </row>
    <row r="97" spans="1:9" x14ac:dyDescent="0.2">
      <c r="A97" s="2">
        <v>6</v>
      </c>
      <c r="B97" s="1" t="s">
        <v>132</v>
      </c>
      <c r="C97" s="4">
        <v>89</v>
      </c>
      <c r="D97" s="8">
        <v>2.5</v>
      </c>
      <c r="E97" s="4">
        <v>83</v>
      </c>
      <c r="F97" s="8">
        <v>4.25</v>
      </c>
      <c r="G97" s="4">
        <v>6</v>
      </c>
      <c r="H97" s="8">
        <v>0.38</v>
      </c>
      <c r="I97" s="4">
        <v>0</v>
      </c>
    </row>
    <row r="98" spans="1:9" x14ac:dyDescent="0.2">
      <c r="A98" s="2">
        <v>8</v>
      </c>
      <c r="B98" s="1" t="s">
        <v>136</v>
      </c>
      <c r="C98" s="4">
        <v>77</v>
      </c>
      <c r="D98" s="8">
        <v>2.16</v>
      </c>
      <c r="E98" s="4">
        <v>73</v>
      </c>
      <c r="F98" s="8">
        <v>3.74</v>
      </c>
      <c r="G98" s="4">
        <v>4</v>
      </c>
      <c r="H98" s="8">
        <v>0.25</v>
      </c>
      <c r="I98" s="4">
        <v>0</v>
      </c>
    </row>
    <row r="99" spans="1:9" x14ac:dyDescent="0.2">
      <c r="A99" s="2">
        <v>9</v>
      </c>
      <c r="B99" s="1" t="s">
        <v>124</v>
      </c>
      <c r="C99" s="4">
        <v>76</v>
      </c>
      <c r="D99" s="8">
        <v>2.13</v>
      </c>
      <c r="E99" s="4">
        <v>39</v>
      </c>
      <c r="F99" s="8">
        <v>2</v>
      </c>
      <c r="G99" s="4">
        <v>37</v>
      </c>
      <c r="H99" s="8">
        <v>2.33</v>
      </c>
      <c r="I99" s="4">
        <v>0</v>
      </c>
    </row>
    <row r="100" spans="1:9" x14ac:dyDescent="0.2">
      <c r="A100" s="2">
        <v>10</v>
      </c>
      <c r="B100" s="1" t="s">
        <v>118</v>
      </c>
      <c r="C100" s="4">
        <v>66</v>
      </c>
      <c r="D100" s="8">
        <v>1.85</v>
      </c>
      <c r="E100" s="4">
        <v>8</v>
      </c>
      <c r="F100" s="8">
        <v>0.41</v>
      </c>
      <c r="G100" s="4">
        <v>58</v>
      </c>
      <c r="H100" s="8">
        <v>3.65</v>
      </c>
      <c r="I100" s="4">
        <v>0</v>
      </c>
    </row>
    <row r="101" spans="1:9" x14ac:dyDescent="0.2">
      <c r="A101" s="2">
        <v>11</v>
      </c>
      <c r="B101" s="1" t="s">
        <v>127</v>
      </c>
      <c r="C101" s="4">
        <v>65</v>
      </c>
      <c r="D101" s="8">
        <v>1.82</v>
      </c>
      <c r="E101" s="4">
        <v>43</v>
      </c>
      <c r="F101" s="8">
        <v>2.2000000000000002</v>
      </c>
      <c r="G101" s="4">
        <v>22</v>
      </c>
      <c r="H101" s="8">
        <v>1.39</v>
      </c>
      <c r="I101" s="4">
        <v>0</v>
      </c>
    </row>
    <row r="102" spans="1:9" x14ac:dyDescent="0.2">
      <c r="A102" s="2">
        <v>11</v>
      </c>
      <c r="B102" s="1" t="s">
        <v>128</v>
      </c>
      <c r="C102" s="4">
        <v>65</v>
      </c>
      <c r="D102" s="8">
        <v>1.82</v>
      </c>
      <c r="E102" s="4">
        <v>19</v>
      </c>
      <c r="F102" s="8">
        <v>0.97</v>
      </c>
      <c r="G102" s="4">
        <v>46</v>
      </c>
      <c r="H102" s="8">
        <v>2.9</v>
      </c>
      <c r="I102" s="4">
        <v>0</v>
      </c>
    </row>
    <row r="103" spans="1:9" x14ac:dyDescent="0.2">
      <c r="A103" s="2">
        <v>13</v>
      </c>
      <c r="B103" s="1" t="s">
        <v>123</v>
      </c>
      <c r="C103" s="4">
        <v>61</v>
      </c>
      <c r="D103" s="8">
        <v>1.71</v>
      </c>
      <c r="E103" s="4">
        <v>39</v>
      </c>
      <c r="F103" s="8">
        <v>2</v>
      </c>
      <c r="G103" s="4">
        <v>22</v>
      </c>
      <c r="H103" s="8">
        <v>1.39</v>
      </c>
      <c r="I103" s="4">
        <v>0</v>
      </c>
    </row>
    <row r="104" spans="1:9" x14ac:dyDescent="0.2">
      <c r="A104" s="2">
        <v>14</v>
      </c>
      <c r="B104" s="1" t="s">
        <v>135</v>
      </c>
      <c r="C104" s="4">
        <v>60</v>
      </c>
      <c r="D104" s="8">
        <v>1.68</v>
      </c>
      <c r="E104" s="4">
        <v>49</v>
      </c>
      <c r="F104" s="8">
        <v>2.5099999999999998</v>
      </c>
      <c r="G104" s="4">
        <v>11</v>
      </c>
      <c r="H104" s="8">
        <v>0.69</v>
      </c>
      <c r="I104" s="4">
        <v>0</v>
      </c>
    </row>
    <row r="105" spans="1:9" x14ac:dyDescent="0.2">
      <c r="A105" s="2">
        <v>15</v>
      </c>
      <c r="B105" s="1" t="s">
        <v>119</v>
      </c>
      <c r="C105" s="4">
        <v>53</v>
      </c>
      <c r="D105" s="8">
        <v>1.49</v>
      </c>
      <c r="E105" s="4">
        <v>13</v>
      </c>
      <c r="F105" s="8">
        <v>0.67</v>
      </c>
      <c r="G105" s="4">
        <v>40</v>
      </c>
      <c r="H105" s="8">
        <v>2.52</v>
      </c>
      <c r="I105" s="4">
        <v>0</v>
      </c>
    </row>
    <row r="106" spans="1:9" x14ac:dyDescent="0.2">
      <c r="A106" s="2">
        <v>15</v>
      </c>
      <c r="B106" s="1" t="s">
        <v>137</v>
      </c>
      <c r="C106" s="4">
        <v>53</v>
      </c>
      <c r="D106" s="8">
        <v>1.49</v>
      </c>
      <c r="E106" s="4">
        <v>40</v>
      </c>
      <c r="F106" s="8">
        <v>2.0499999999999998</v>
      </c>
      <c r="G106" s="4">
        <v>13</v>
      </c>
      <c r="H106" s="8">
        <v>0.82</v>
      </c>
      <c r="I106" s="4">
        <v>0</v>
      </c>
    </row>
    <row r="107" spans="1:9" x14ac:dyDescent="0.2">
      <c r="A107" s="2">
        <v>17</v>
      </c>
      <c r="B107" s="1" t="s">
        <v>122</v>
      </c>
      <c r="C107" s="4">
        <v>47</v>
      </c>
      <c r="D107" s="8">
        <v>1.32</v>
      </c>
      <c r="E107" s="4">
        <v>14</v>
      </c>
      <c r="F107" s="8">
        <v>0.72</v>
      </c>
      <c r="G107" s="4">
        <v>33</v>
      </c>
      <c r="H107" s="8">
        <v>2.08</v>
      </c>
      <c r="I107" s="4">
        <v>0</v>
      </c>
    </row>
    <row r="108" spans="1:9" x14ac:dyDescent="0.2">
      <c r="A108" s="2">
        <v>18</v>
      </c>
      <c r="B108" s="1" t="s">
        <v>125</v>
      </c>
      <c r="C108" s="4">
        <v>46</v>
      </c>
      <c r="D108" s="8">
        <v>1.29</v>
      </c>
      <c r="E108" s="4">
        <v>15</v>
      </c>
      <c r="F108" s="8">
        <v>0.77</v>
      </c>
      <c r="G108" s="4">
        <v>31</v>
      </c>
      <c r="H108" s="8">
        <v>1.95</v>
      </c>
      <c r="I108" s="4">
        <v>0</v>
      </c>
    </row>
    <row r="109" spans="1:9" x14ac:dyDescent="0.2">
      <c r="A109" s="2">
        <v>19</v>
      </c>
      <c r="B109" s="1" t="s">
        <v>144</v>
      </c>
      <c r="C109" s="4">
        <v>45</v>
      </c>
      <c r="D109" s="8">
        <v>1.26</v>
      </c>
      <c r="E109" s="4">
        <v>17</v>
      </c>
      <c r="F109" s="8">
        <v>0.87</v>
      </c>
      <c r="G109" s="4">
        <v>28</v>
      </c>
      <c r="H109" s="8">
        <v>1.76</v>
      </c>
      <c r="I109" s="4">
        <v>0</v>
      </c>
    </row>
    <row r="110" spans="1:9" x14ac:dyDescent="0.2">
      <c r="A110" s="2">
        <v>20</v>
      </c>
      <c r="B110" s="1" t="s">
        <v>126</v>
      </c>
      <c r="C110" s="4">
        <v>43</v>
      </c>
      <c r="D110" s="8">
        <v>1.21</v>
      </c>
      <c r="E110" s="4">
        <v>14</v>
      </c>
      <c r="F110" s="8">
        <v>0.72</v>
      </c>
      <c r="G110" s="4">
        <v>29</v>
      </c>
      <c r="H110" s="8">
        <v>1.83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134</v>
      </c>
      <c r="C113" s="4">
        <v>94</v>
      </c>
      <c r="D113" s="8">
        <v>5.33</v>
      </c>
      <c r="E113" s="4">
        <v>85</v>
      </c>
      <c r="F113" s="8">
        <v>8.23</v>
      </c>
      <c r="G113" s="4">
        <v>9</v>
      </c>
      <c r="H113" s="8">
        <v>1.24</v>
      </c>
      <c r="I113" s="4">
        <v>0</v>
      </c>
    </row>
    <row r="114" spans="1:9" x14ac:dyDescent="0.2">
      <c r="A114" s="2">
        <v>2</v>
      </c>
      <c r="B114" s="1" t="s">
        <v>133</v>
      </c>
      <c r="C114" s="4">
        <v>90</v>
      </c>
      <c r="D114" s="8">
        <v>5.0999999999999996</v>
      </c>
      <c r="E114" s="4">
        <v>86</v>
      </c>
      <c r="F114" s="8">
        <v>8.33</v>
      </c>
      <c r="G114" s="4">
        <v>4</v>
      </c>
      <c r="H114" s="8">
        <v>0.55000000000000004</v>
      </c>
      <c r="I114" s="4">
        <v>0</v>
      </c>
    </row>
    <row r="115" spans="1:9" x14ac:dyDescent="0.2">
      <c r="A115" s="2">
        <v>3</v>
      </c>
      <c r="B115" s="1" t="s">
        <v>120</v>
      </c>
      <c r="C115" s="4">
        <v>57</v>
      </c>
      <c r="D115" s="8">
        <v>3.23</v>
      </c>
      <c r="E115" s="4">
        <v>38</v>
      </c>
      <c r="F115" s="8">
        <v>3.68</v>
      </c>
      <c r="G115" s="4">
        <v>19</v>
      </c>
      <c r="H115" s="8">
        <v>2.62</v>
      </c>
      <c r="I115" s="4">
        <v>0</v>
      </c>
    </row>
    <row r="116" spans="1:9" x14ac:dyDescent="0.2">
      <c r="A116" s="2">
        <v>4</v>
      </c>
      <c r="B116" s="1" t="s">
        <v>137</v>
      </c>
      <c r="C116" s="4">
        <v>55</v>
      </c>
      <c r="D116" s="8">
        <v>3.12</v>
      </c>
      <c r="E116" s="4">
        <v>44</v>
      </c>
      <c r="F116" s="8">
        <v>4.26</v>
      </c>
      <c r="G116" s="4">
        <v>11</v>
      </c>
      <c r="H116" s="8">
        <v>1.52</v>
      </c>
      <c r="I116" s="4">
        <v>0</v>
      </c>
    </row>
    <row r="117" spans="1:9" x14ac:dyDescent="0.2">
      <c r="A117" s="2">
        <v>5</v>
      </c>
      <c r="B117" s="1" t="s">
        <v>118</v>
      </c>
      <c r="C117" s="4">
        <v>49</v>
      </c>
      <c r="D117" s="8">
        <v>2.78</v>
      </c>
      <c r="E117" s="4">
        <v>14</v>
      </c>
      <c r="F117" s="8">
        <v>1.36</v>
      </c>
      <c r="G117" s="4">
        <v>35</v>
      </c>
      <c r="H117" s="8">
        <v>4.83</v>
      </c>
      <c r="I117" s="4">
        <v>0</v>
      </c>
    </row>
    <row r="118" spans="1:9" x14ac:dyDescent="0.2">
      <c r="A118" s="2">
        <v>6</v>
      </c>
      <c r="B118" s="1" t="s">
        <v>129</v>
      </c>
      <c r="C118" s="4">
        <v>47</v>
      </c>
      <c r="D118" s="8">
        <v>2.67</v>
      </c>
      <c r="E118" s="4">
        <v>14</v>
      </c>
      <c r="F118" s="8">
        <v>1.36</v>
      </c>
      <c r="G118" s="4">
        <v>32</v>
      </c>
      <c r="H118" s="8">
        <v>4.41</v>
      </c>
      <c r="I118" s="4">
        <v>0</v>
      </c>
    </row>
    <row r="119" spans="1:9" x14ac:dyDescent="0.2">
      <c r="A119" s="2">
        <v>6</v>
      </c>
      <c r="B119" s="1" t="s">
        <v>132</v>
      </c>
      <c r="C119" s="4">
        <v>47</v>
      </c>
      <c r="D119" s="8">
        <v>2.67</v>
      </c>
      <c r="E119" s="4">
        <v>44</v>
      </c>
      <c r="F119" s="8">
        <v>4.26</v>
      </c>
      <c r="G119" s="4">
        <v>3</v>
      </c>
      <c r="H119" s="8">
        <v>0.41</v>
      </c>
      <c r="I119" s="4">
        <v>0</v>
      </c>
    </row>
    <row r="120" spans="1:9" x14ac:dyDescent="0.2">
      <c r="A120" s="2">
        <v>8</v>
      </c>
      <c r="B120" s="1" t="s">
        <v>124</v>
      </c>
      <c r="C120" s="4">
        <v>39</v>
      </c>
      <c r="D120" s="8">
        <v>2.21</v>
      </c>
      <c r="E120" s="4">
        <v>19</v>
      </c>
      <c r="F120" s="8">
        <v>1.84</v>
      </c>
      <c r="G120" s="4">
        <v>20</v>
      </c>
      <c r="H120" s="8">
        <v>2.76</v>
      </c>
      <c r="I120" s="4">
        <v>0</v>
      </c>
    </row>
    <row r="121" spans="1:9" x14ac:dyDescent="0.2">
      <c r="A121" s="2">
        <v>9</v>
      </c>
      <c r="B121" s="1" t="s">
        <v>121</v>
      </c>
      <c r="C121" s="4">
        <v>35</v>
      </c>
      <c r="D121" s="8">
        <v>1.99</v>
      </c>
      <c r="E121" s="4">
        <v>17</v>
      </c>
      <c r="F121" s="8">
        <v>1.65</v>
      </c>
      <c r="G121" s="4">
        <v>18</v>
      </c>
      <c r="H121" s="8">
        <v>2.48</v>
      </c>
      <c r="I121" s="4">
        <v>0</v>
      </c>
    </row>
    <row r="122" spans="1:9" x14ac:dyDescent="0.2">
      <c r="A122" s="2">
        <v>10</v>
      </c>
      <c r="B122" s="1" t="s">
        <v>127</v>
      </c>
      <c r="C122" s="4">
        <v>33</v>
      </c>
      <c r="D122" s="8">
        <v>1.87</v>
      </c>
      <c r="E122" s="4">
        <v>22</v>
      </c>
      <c r="F122" s="8">
        <v>2.13</v>
      </c>
      <c r="G122" s="4">
        <v>11</v>
      </c>
      <c r="H122" s="8">
        <v>1.52</v>
      </c>
      <c r="I122" s="4">
        <v>0</v>
      </c>
    </row>
    <row r="123" spans="1:9" x14ac:dyDescent="0.2">
      <c r="A123" s="2">
        <v>11</v>
      </c>
      <c r="B123" s="1" t="s">
        <v>136</v>
      </c>
      <c r="C123" s="4">
        <v>32</v>
      </c>
      <c r="D123" s="8">
        <v>1.82</v>
      </c>
      <c r="E123" s="4">
        <v>31</v>
      </c>
      <c r="F123" s="8">
        <v>3</v>
      </c>
      <c r="G123" s="4">
        <v>1</v>
      </c>
      <c r="H123" s="8">
        <v>0.14000000000000001</v>
      </c>
      <c r="I123" s="4">
        <v>0</v>
      </c>
    </row>
    <row r="124" spans="1:9" x14ac:dyDescent="0.2">
      <c r="A124" s="2">
        <v>12</v>
      </c>
      <c r="B124" s="1" t="s">
        <v>145</v>
      </c>
      <c r="C124" s="4">
        <v>31</v>
      </c>
      <c r="D124" s="8">
        <v>1.76</v>
      </c>
      <c r="E124" s="4">
        <v>25</v>
      </c>
      <c r="F124" s="8">
        <v>2.42</v>
      </c>
      <c r="G124" s="4">
        <v>6</v>
      </c>
      <c r="H124" s="8">
        <v>0.83</v>
      </c>
      <c r="I124" s="4">
        <v>0</v>
      </c>
    </row>
    <row r="125" spans="1:9" x14ac:dyDescent="0.2">
      <c r="A125" s="2">
        <v>12</v>
      </c>
      <c r="B125" s="1" t="s">
        <v>146</v>
      </c>
      <c r="C125" s="4">
        <v>31</v>
      </c>
      <c r="D125" s="8">
        <v>1.76</v>
      </c>
      <c r="E125" s="4">
        <v>19</v>
      </c>
      <c r="F125" s="8">
        <v>1.84</v>
      </c>
      <c r="G125" s="4">
        <v>12</v>
      </c>
      <c r="H125" s="8">
        <v>1.66</v>
      </c>
      <c r="I125" s="4">
        <v>0</v>
      </c>
    </row>
    <row r="126" spans="1:9" x14ac:dyDescent="0.2">
      <c r="A126" s="2">
        <v>14</v>
      </c>
      <c r="B126" s="1" t="s">
        <v>123</v>
      </c>
      <c r="C126" s="4">
        <v>29</v>
      </c>
      <c r="D126" s="8">
        <v>1.64</v>
      </c>
      <c r="E126" s="4">
        <v>22</v>
      </c>
      <c r="F126" s="8">
        <v>2.13</v>
      </c>
      <c r="G126" s="4">
        <v>7</v>
      </c>
      <c r="H126" s="8">
        <v>0.97</v>
      </c>
      <c r="I126" s="4">
        <v>0</v>
      </c>
    </row>
    <row r="127" spans="1:9" x14ac:dyDescent="0.2">
      <c r="A127" s="2">
        <v>14</v>
      </c>
      <c r="B127" s="1" t="s">
        <v>131</v>
      </c>
      <c r="C127" s="4">
        <v>29</v>
      </c>
      <c r="D127" s="8">
        <v>1.64</v>
      </c>
      <c r="E127" s="4">
        <v>23</v>
      </c>
      <c r="F127" s="8">
        <v>2.23</v>
      </c>
      <c r="G127" s="4">
        <v>6</v>
      </c>
      <c r="H127" s="8">
        <v>0.83</v>
      </c>
      <c r="I127" s="4">
        <v>0</v>
      </c>
    </row>
    <row r="128" spans="1:9" x14ac:dyDescent="0.2">
      <c r="A128" s="2">
        <v>16</v>
      </c>
      <c r="B128" s="1" t="s">
        <v>135</v>
      </c>
      <c r="C128" s="4">
        <v>28</v>
      </c>
      <c r="D128" s="8">
        <v>1.59</v>
      </c>
      <c r="E128" s="4">
        <v>22</v>
      </c>
      <c r="F128" s="8">
        <v>2.13</v>
      </c>
      <c r="G128" s="4">
        <v>6</v>
      </c>
      <c r="H128" s="8">
        <v>0.83</v>
      </c>
      <c r="I128" s="4">
        <v>0</v>
      </c>
    </row>
    <row r="129" spans="1:9" x14ac:dyDescent="0.2">
      <c r="A129" s="2">
        <v>17</v>
      </c>
      <c r="B129" s="1" t="s">
        <v>122</v>
      </c>
      <c r="C129" s="4">
        <v>25</v>
      </c>
      <c r="D129" s="8">
        <v>1.42</v>
      </c>
      <c r="E129" s="4">
        <v>14</v>
      </c>
      <c r="F129" s="8">
        <v>1.36</v>
      </c>
      <c r="G129" s="4">
        <v>11</v>
      </c>
      <c r="H129" s="8">
        <v>1.52</v>
      </c>
      <c r="I129" s="4">
        <v>0</v>
      </c>
    </row>
    <row r="130" spans="1:9" x14ac:dyDescent="0.2">
      <c r="A130" s="2">
        <v>18</v>
      </c>
      <c r="B130" s="1" t="s">
        <v>130</v>
      </c>
      <c r="C130" s="4">
        <v>23</v>
      </c>
      <c r="D130" s="8">
        <v>1.3</v>
      </c>
      <c r="E130" s="4">
        <v>7</v>
      </c>
      <c r="F130" s="8">
        <v>0.68</v>
      </c>
      <c r="G130" s="4">
        <v>16</v>
      </c>
      <c r="H130" s="8">
        <v>2.21</v>
      </c>
      <c r="I130" s="4">
        <v>0</v>
      </c>
    </row>
    <row r="131" spans="1:9" x14ac:dyDescent="0.2">
      <c r="A131" s="2">
        <v>19</v>
      </c>
      <c r="B131" s="1" t="s">
        <v>147</v>
      </c>
      <c r="C131" s="4">
        <v>22</v>
      </c>
      <c r="D131" s="8">
        <v>1.25</v>
      </c>
      <c r="E131" s="4">
        <v>18</v>
      </c>
      <c r="F131" s="8">
        <v>1.74</v>
      </c>
      <c r="G131" s="4">
        <v>4</v>
      </c>
      <c r="H131" s="8">
        <v>0.55000000000000004</v>
      </c>
      <c r="I131" s="4">
        <v>0</v>
      </c>
    </row>
    <row r="132" spans="1:9" x14ac:dyDescent="0.2">
      <c r="A132" s="2">
        <v>20</v>
      </c>
      <c r="B132" s="1" t="s">
        <v>148</v>
      </c>
      <c r="C132" s="4">
        <v>21</v>
      </c>
      <c r="D132" s="8">
        <v>1.19</v>
      </c>
      <c r="E132" s="4">
        <v>20</v>
      </c>
      <c r="F132" s="8">
        <v>1.94</v>
      </c>
      <c r="G132" s="4">
        <v>1</v>
      </c>
      <c r="H132" s="8">
        <v>0.14000000000000001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134</v>
      </c>
      <c r="C135" s="4">
        <v>70</v>
      </c>
      <c r="D135" s="8">
        <v>5.14</v>
      </c>
      <c r="E135" s="4">
        <v>65</v>
      </c>
      <c r="F135" s="8">
        <v>8.7200000000000006</v>
      </c>
      <c r="G135" s="4">
        <v>5</v>
      </c>
      <c r="H135" s="8">
        <v>0.82</v>
      </c>
      <c r="I135" s="4">
        <v>0</v>
      </c>
    </row>
    <row r="136" spans="1:9" x14ac:dyDescent="0.2">
      <c r="A136" s="2">
        <v>2</v>
      </c>
      <c r="B136" s="1" t="s">
        <v>133</v>
      </c>
      <c r="C136" s="4">
        <v>53</v>
      </c>
      <c r="D136" s="8">
        <v>3.89</v>
      </c>
      <c r="E136" s="4">
        <v>51</v>
      </c>
      <c r="F136" s="8">
        <v>6.85</v>
      </c>
      <c r="G136" s="4">
        <v>2</v>
      </c>
      <c r="H136" s="8">
        <v>0.33</v>
      </c>
      <c r="I136" s="4">
        <v>0</v>
      </c>
    </row>
    <row r="137" spans="1:9" x14ac:dyDescent="0.2">
      <c r="A137" s="2">
        <v>3</v>
      </c>
      <c r="B137" s="1" t="s">
        <v>124</v>
      </c>
      <c r="C137" s="4">
        <v>41</v>
      </c>
      <c r="D137" s="8">
        <v>3.01</v>
      </c>
      <c r="E137" s="4">
        <v>21</v>
      </c>
      <c r="F137" s="8">
        <v>2.82</v>
      </c>
      <c r="G137" s="4">
        <v>20</v>
      </c>
      <c r="H137" s="8">
        <v>3.28</v>
      </c>
      <c r="I137" s="4">
        <v>0</v>
      </c>
    </row>
    <row r="138" spans="1:9" x14ac:dyDescent="0.2">
      <c r="A138" s="2">
        <v>3</v>
      </c>
      <c r="B138" s="1" t="s">
        <v>129</v>
      </c>
      <c r="C138" s="4">
        <v>41</v>
      </c>
      <c r="D138" s="8">
        <v>3.01</v>
      </c>
      <c r="E138" s="4">
        <v>28</v>
      </c>
      <c r="F138" s="8">
        <v>3.76</v>
      </c>
      <c r="G138" s="4">
        <v>13</v>
      </c>
      <c r="H138" s="8">
        <v>2.13</v>
      </c>
      <c r="I138" s="4">
        <v>0</v>
      </c>
    </row>
    <row r="139" spans="1:9" x14ac:dyDescent="0.2">
      <c r="A139" s="2">
        <v>5</v>
      </c>
      <c r="B139" s="1" t="s">
        <v>120</v>
      </c>
      <c r="C139" s="4">
        <v>39</v>
      </c>
      <c r="D139" s="8">
        <v>2.87</v>
      </c>
      <c r="E139" s="4">
        <v>31</v>
      </c>
      <c r="F139" s="8">
        <v>4.16</v>
      </c>
      <c r="G139" s="4">
        <v>8</v>
      </c>
      <c r="H139" s="8">
        <v>1.31</v>
      </c>
      <c r="I139" s="4">
        <v>0</v>
      </c>
    </row>
    <row r="140" spans="1:9" x14ac:dyDescent="0.2">
      <c r="A140" s="2">
        <v>6</v>
      </c>
      <c r="B140" s="1" t="s">
        <v>121</v>
      </c>
      <c r="C140" s="4">
        <v>33</v>
      </c>
      <c r="D140" s="8">
        <v>2.42</v>
      </c>
      <c r="E140" s="4">
        <v>11</v>
      </c>
      <c r="F140" s="8">
        <v>1.48</v>
      </c>
      <c r="G140" s="4">
        <v>22</v>
      </c>
      <c r="H140" s="8">
        <v>3.61</v>
      </c>
      <c r="I140" s="4">
        <v>0</v>
      </c>
    </row>
    <row r="141" spans="1:9" x14ac:dyDescent="0.2">
      <c r="A141" s="2">
        <v>7</v>
      </c>
      <c r="B141" s="1" t="s">
        <v>131</v>
      </c>
      <c r="C141" s="4">
        <v>32</v>
      </c>
      <c r="D141" s="8">
        <v>2.35</v>
      </c>
      <c r="E141" s="4">
        <v>24</v>
      </c>
      <c r="F141" s="8">
        <v>3.22</v>
      </c>
      <c r="G141" s="4">
        <v>8</v>
      </c>
      <c r="H141" s="8">
        <v>1.31</v>
      </c>
      <c r="I141" s="4">
        <v>0</v>
      </c>
    </row>
    <row r="142" spans="1:9" x14ac:dyDescent="0.2">
      <c r="A142" s="2">
        <v>8</v>
      </c>
      <c r="B142" s="1" t="s">
        <v>119</v>
      </c>
      <c r="C142" s="4">
        <v>31</v>
      </c>
      <c r="D142" s="8">
        <v>2.2799999999999998</v>
      </c>
      <c r="E142" s="4">
        <v>9</v>
      </c>
      <c r="F142" s="8">
        <v>1.21</v>
      </c>
      <c r="G142" s="4">
        <v>22</v>
      </c>
      <c r="H142" s="8">
        <v>3.61</v>
      </c>
      <c r="I142" s="4">
        <v>0</v>
      </c>
    </row>
    <row r="143" spans="1:9" x14ac:dyDescent="0.2">
      <c r="A143" s="2">
        <v>9</v>
      </c>
      <c r="B143" s="1" t="s">
        <v>118</v>
      </c>
      <c r="C143" s="4">
        <v>29</v>
      </c>
      <c r="D143" s="8">
        <v>2.13</v>
      </c>
      <c r="E143" s="4">
        <v>9</v>
      </c>
      <c r="F143" s="8">
        <v>1.21</v>
      </c>
      <c r="G143" s="4">
        <v>20</v>
      </c>
      <c r="H143" s="8">
        <v>3.28</v>
      </c>
      <c r="I143" s="4">
        <v>0</v>
      </c>
    </row>
    <row r="144" spans="1:9" x14ac:dyDescent="0.2">
      <c r="A144" s="2">
        <v>10</v>
      </c>
      <c r="B144" s="1" t="s">
        <v>127</v>
      </c>
      <c r="C144" s="4">
        <v>28</v>
      </c>
      <c r="D144" s="8">
        <v>2.06</v>
      </c>
      <c r="E144" s="4">
        <v>15</v>
      </c>
      <c r="F144" s="8">
        <v>2.0099999999999998</v>
      </c>
      <c r="G144" s="4">
        <v>13</v>
      </c>
      <c r="H144" s="8">
        <v>2.13</v>
      </c>
      <c r="I144" s="4">
        <v>0</v>
      </c>
    </row>
    <row r="145" spans="1:9" x14ac:dyDescent="0.2">
      <c r="A145" s="2">
        <v>11</v>
      </c>
      <c r="B145" s="1" t="s">
        <v>137</v>
      </c>
      <c r="C145" s="4">
        <v>26</v>
      </c>
      <c r="D145" s="8">
        <v>1.91</v>
      </c>
      <c r="E145" s="4">
        <v>22</v>
      </c>
      <c r="F145" s="8">
        <v>2.95</v>
      </c>
      <c r="G145" s="4">
        <v>4</v>
      </c>
      <c r="H145" s="8">
        <v>0.66</v>
      </c>
      <c r="I145" s="4">
        <v>0</v>
      </c>
    </row>
    <row r="146" spans="1:9" x14ac:dyDescent="0.2">
      <c r="A146" s="2">
        <v>12</v>
      </c>
      <c r="B146" s="1" t="s">
        <v>132</v>
      </c>
      <c r="C146" s="4">
        <v>25</v>
      </c>
      <c r="D146" s="8">
        <v>1.84</v>
      </c>
      <c r="E146" s="4">
        <v>23</v>
      </c>
      <c r="F146" s="8">
        <v>3.09</v>
      </c>
      <c r="G146" s="4">
        <v>2</v>
      </c>
      <c r="H146" s="8">
        <v>0.33</v>
      </c>
      <c r="I146" s="4">
        <v>0</v>
      </c>
    </row>
    <row r="147" spans="1:9" x14ac:dyDescent="0.2">
      <c r="A147" s="2">
        <v>13</v>
      </c>
      <c r="B147" s="1" t="s">
        <v>126</v>
      </c>
      <c r="C147" s="4">
        <v>24</v>
      </c>
      <c r="D147" s="8">
        <v>1.76</v>
      </c>
      <c r="E147" s="4">
        <v>5</v>
      </c>
      <c r="F147" s="8">
        <v>0.67</v>
      </c>
      <c r="G147" s="4">
        <v>19</v>
      </c>
      <c r="H147" s="8">
        <v>3.12</v>
      </c>
      <c r="I147" s="4">
        <v>0</v>
      </c>
    </row>
    <row r="148" spans="1:9" x14ac:dyDescent="0.2">
      <c r="A148" s="2">
        <v>14</v>
      </c>
      <c r="B148" s="1" t="s">
        <v>122</v>
      </c>
      <c r="C148" s="4">
        <v>21</v>
      </c>
      <c r="D148" s="8">
        <v>1.54</v>
      </c>
      <c r="E148" s="4">
        <v>6</v>
      </c>
      <c r="F148" s="8">
        <v>0.81</v>
      </c>
      <c r="G148" s="4">
        <v>15</v>
      </c>
      <c r="H148" s="8">
        <v>2.46</v>
      </c>
      <c r="I148" s="4">
        <v>0</v>
      </c>
    </row>
    <row r="149" spans="1:9" x14ac:dyDescent="0.2">
      <c r="A149" s="2">
        <v>14</v>
      </c>
      <c r="B149" s="1" t="s">
        <v>136</v>
      </c>
      <c r="C149" s="4">
        <v>21</v>
      </c>
      <c r="D149" s="8">
        <v>1.54</v>
      </c>
      <c r="E149" s="4">
        <v>18</v>
      </c>
      <c r="F149" s="8">
        <v>2.42</v>
      </c>
      <c r="G149" s="4">
        <v>3</v>
      </c>
      <c r="H149" s="8">
        <v>0.49</v>
      </c>
      <c r="I149" s="4">
        <v>0</v>
      </c>
    </row>
    <row r="150" spans="1:9" x14ac:dyDescent="0.2">
      <c r="A150" s="2">
        <v>16</v>
      </c>
      <c r="B150" s="1" t="s">
        <v>149</v>
      </c>
      <c r="C150" s="4">
        <v>20</v>
      </c>
      <c r="D150" s="8">
        <v>1.47</v>
      </c>
      <c r="E150" s="4">
        <v>19</v>
      </c>
      <c r="F150" s="8">
        <v>2.5499999999999998</v>
      </c>
      <c r="G150" s="4">
        <v>1</v>
      </c>
      <c r="H150" s="8">
        <v>0.16</v>
      </c>
      <c r="I150" s="4">
        <v>0</v>
      </c>
    </row>
    <row r="151" spans="1:9" x14ac:dyDescent="0.2">
      <c r="A151" s="2">
        <v>16</v>
      </c>
      <c r="B151" s="1" t="s">
        <v>150</v>
      </c>
      <c r="C151" s="4">
        <v>20</v>
      </c>
      <c r="D151" s="8">
        <v>1.47</v>
      </c>
      <c r="E151" s="4">
        <v>6</v>
      </c>
      <c r="F151" s="8">
        <v>0.81</v>
      </c>
      <c r="G151" s="4">
        <v>14</v>
      </c>
      <c r="H151" s="8">
        <v>2.2999999999999998</v>
      </c>
      <c r="I151" s="4">
        <v>0</v>
      </c>
    </row>
    <row r="152" spans="1:9" x14ac:dyDescent="0.2">
      <c r="A152" s="2">
        <v>16</v>
      </c>
      <c r="B152" s="1" t="s">
        <v>130</v>
      </c>
      <c r="C152" s="4">
        <v>20</v>
      </c>
      <c r="D152" s="8">
        <v>1.47</v>
      </c>
      <c r="E152" s="4">
        <v>7</v>
      </c>
      <c r="F152" s="8">
        <v>0.94</v>
      </c>
      <c r="G152" s="4">
        <v>13</v>
      </c>
      <c r="H152" s="8">
        <v>2.13</v>
      </c>
      <c r="I152" s="4">
        <v>0</v>
      </c>
    </row>
    <row r="153" spans="1:9" x14ac:dyDescent="0.2">
      <c r="A153" s="2">
        <v>19</v>
      </c>
      <c r="B153" s="1" t="s">
        <v>123</v>
      </c>
      <c r="C153" s="4">
        <v>17</v>
      </c>
      <c r="D153" s="8">
        <v>1.25</v>
      </c>
      <c r="E153" s="4">
        <v>15</v>
      </c>
      <c r="F153" s="8">
        <v>2.0099999999999998</v>
      </c>
      <c r="G153" s="4">
        <v>2</v>
      </c>
      <c r="H153" s="8">
        <v>0.33</v>
      </c>
      <c r="I153" s="4">
        <v>0</v>
      </c>
    </row>
    <row r="154" spans="1:9" x14ac:dyDescent="0.2">
      <c r="A154" s="2">
        <v>19</v>
      </c>
      <c r="B154" s="1" t="s">
        <v>141</v>
      </c>
      <c r="C154" s="4">
        <v>17</v>
      </c>
      <c r="D154" s="8">
        <v>1.25</v>
      </c>
      <c r="E154" s="4">
        <v>12</v>
      </c>
      <c r="F154" s="8">
        <v>1.61</v>
      </c>
      <c r="G154" s="4">
        <v>5</v>
      </c>
      <c r="H154" s="8">
        <v>0.82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134</v>
      </c>
      <c r="C157" s="4">
        <v>79</v>
      </c>
      <c r="D157" s="8">
        <v>5.69</v>
      </c>
      <c r="E157" s="4">
        <v>71</v>
      </c>
      <c r="F157" s="8">
        <v>9.9</v>
      </c>
      <c r="G157" s="4">
        <v>8</v>
      </c>
      <c r="H157" s="8">
        <v>1.21</v>
      </c>
      <c r="I157" s="4">
        <v>0</v>
      </c>
    </row>
    <row r="158" spans="1:9" x14ac:dyDescent="0.2">
      <c r="A158" s="2">
        <v>2</v>
      </c>
      <c r="B158" s="1" t="s">
        <v>129</v>
      </c>
      <c r="C158" s="4">
        <v>60</v>
      </c>
      <c r="D158" s="8">
        <v>4.32</v>
      </c>
      <c r="E158" s="4">
        <v>44</v>
      </c>
      <c r="F158" s="8">
        <v>6.14</v>
      </c>
      <c r="G158" s="4">
        <v>16</v>
      </c>
      <c r="H158" s="8">
        <v>2.41</v>
      </c>
      <c r="I158" s="4">
        <v>0</v>
      </c>
    </row>
    <row r="159" spans="1:9" x14ac:dyDescent="0.2">
      <c r="A159" s="2">
        <v>3</v>
      </c>
      <c r="B159" s="1" t="s">
        <v>133</v>
      </c>
      <c r="C159" s="4">
        <v>53</v>
      </c>
      <c r="D159" s="8">
        <v>3.82</v>
      </c>
      <c r="E159" s="4">
        <v>48</v>
      </c>
      <c r="F159" s="8">
        <v>6.69</v>
      </c>
      <c r="G159" s="4">
        <v>5</v>
      </c>
      <c r="H159" s="8">
        <v>0.75</v>
      </c>
      <c r="I159" s="4">
        <v>0</v>
      </c>
    </row>
    <row r="160" spans="1:9" x14ac:dyDescent="0.2">
      <c r="A160" s="2">
        <v>4</v>
      </c>
      <c r="B160" s="1" t="s">
        <v>132</v>
      </c>
      <c r="C160" s="4">
        <v>51</v>
      </c>
      <c r="D160" s="8">
        <v>3.67</v>
      </c>
      <c r="E160" s="4">
        <v>49</v>
      </c>
      <c r="F160" s="8">
        <v>6.83</v>
      </c>
      <c r="G160" s="4">
        <v>2</v>
      </c>
      <c r="H160" s="8">
        <v>0.3</v>
      </c>
      <c r="I160" s="4">
        <v>0</v>
      </c>
    </row>
    <row r="161" spans="1:9" x14ac:dyDescent="0.2">
      <c r="A161" s="2">
        <v>5</v>
      </c>
      <c r="B161" s="1" t="s">
        <v>131</v>
      </c>
      <c r="C161" s="4">
        <v>50</v>
      </c>
      <c r="D161" s="8">
        <v>3.6</v>
      </c>
      <c r="E161" s="4">
        <v>44</v>
      </c>
      <c r="F161" s="8">
        <v>6.14</v>
      </c>
      <c r="G161" s="4">
        <v>6</v>
      </c>
      <c r="H161" s="8">
        <v>0.9</v>
      </c>
      <c r="I161" s="4">
        <v>0</v>
      </c>
    </row>
    <row r="162" spans="1:9" x14ac:dyDescent="0.2">
      <c r="A162" s="2">
        <v>6</v>
      </c>
      <c r="B162" s="1" t="s">
        <v>136</v>
      </c>
      <c r="C162" s="4">
        <v>45</v>
      </c>
      <c r="D162" s="8">
        <v>3.24</v>
      </c>
      <c r="E162" s="4">
        <v>43</v>
      </c>
      <c r="F162" s="8">
        <v>6</v>
      </c>
      <c r="G162" s="4">
        <v>2</v>
      </c>
      <c r="H162" s="8">
        <v>0.3</v>
      </c>
      <c r="I162" s="4">
        <v>0</v>
      </c>
    </row>
    <row r="163" spans="1:9" x14ac:dyDescent="0.2">
      <c r="A163" s="2">
        <v>7</v>
      </c>
      <c r="B163" s="1" t="s">
        <v>135</v>
      </c>
      <c r="C163" s="4">
        <v>39</v>
      </c>
      <c r="D163" s="8">
        <v>2.81</v>
      </c>
      <c r="E163" s="4">
        <v>30</v>
      </c>
      <c r="F163" s="8">
        <v>4.18</v>
      </c>
      <c r="G163" s="4">
        <v>9</v>
      </c>
      <c r="H163" s="8">
        <v>1.36</v>
      </c>
      <c r="I163" s="4">
        <v>0</v>
      </c>
    </row>
    <row r="164" spans="1:9" x14ac:dyDescent="0.2">
      <c r="A164" s="2">
        <v>8</v>
      </c>
      <c r="B164" s="1" t="s">
        <v>118</v>
      </c>
      <c r="C164" s="4">
        <v>36</v>
      </c>
      <c r="D164" s="8">
        <v>2.59</v>
      </c>
      <c r="E164" s="4">
        <v>4</v>
      </c>
      <c r="F164" s="8">
        <v>0.56000000000000005</v>
      </c>
      <c r="G164" s="4">
        <v>32</v>
      </c>
      <c r="H164" s="8">
        <v>4.83</v>
      </c>
      <c r="I164" s="4">
        <v>0</v>
      </c>
    </row>
    <row r="165" spans="1:9" x14ac:dyDescent="0.2">
      <c r="A165" s="2">
        <v>9</v>
      </c>
      <c r="B165" s="1" t="s">
        <v>137</v>
      </c>
      <c r="C165" s="4">
        <v>35</v>
      </c>
      <c r="D165" s="8">
        <v>2.52</v>
      </c>
      <c r="E165" s="4">
        <v>28</v>
      </c>
      <c r="F165" s="8">
        <v>3.91</v>
      </c>
      <c r="G165" s="4">
        <v>7</v>
      </c>
      <c r="H165" s="8">
        <v>1.06</v>
      </c>
      <c r="I165" s="4">
        <v>0</v>
      </c>
    </row>
    <row r="166" spans="1:9" x14ac:dyDescent="0.2">
      <c r="A166" s="2">
        <v>10</v>
      </c>
      <c r="B166" s="1" t="s">
        <v>124</v>
      </c>
      <c r="C166" s="4">
        <v>28</v>
      </c>
      <c r="D166" s="8">
        <v>2.02</v>
      </c>
      <c r="E166" s="4">
        <v>13</v>
      </c>
      <c r="F166" s="8">
        <v>1.81</v>
      </c>
      <c r="G166" s="4">
        <v>15</v>
      </c>
      <c r="H166" s="8">
        <v>2.2599999999999998</v>
      </c>
      <c r="I166" s="4">
        <v>0</v>
      </c>
    </row>
    <row r="167" spans="1:9" x14ac:dyDescent="0.2">
      <c r="A167" s="2">
        <v>11</v>
      </c>
      <c r="B167" s="1" t="s">
        <v>127</v>
      </c>
      <c r="C167" s="4">
        <v>25</v>
      </c>
      <c r="D167" s="8">
        <v>1.8</v>
      </c>
      <c r="E167" s="4">
        <v>17</v>
      </c>
      <c r="F167" s="8">
        <v>2.37</v>
      </c>
      <c r="G167" s="4">
        <v>8</v>
      </c>
      <c r="H167" s="8">
        <v>1.21</v>
      </c>
      <c r="I167" s="4">
        <v>0</v>
      </c>
    </row>
    <row r="168" spans="1:9" x14ac:dyDescent="0.2">
      <c r="A168" s="2">
        <v>12</v>
      </c>
      <c r="B168" s="1" t="s">
        <v>122</v>
      </c>
      <c r="C168" s="4">
        <v>24</v>
      </c>
      <c r="D168" s="8">
        <v>1.73</v>
      </c>
      <c r="E168" s="4">
        <v>1</v>
      </c>
      <c r="F168" s="8">
        <v>0.14000000000000001</v>
      </c>
      <c r="G168" s="4">
        <v>23</v>
      </c>
      <c r="H168" s="8">
        <v>3.47</v>
      </c>
      <c r="I168" s="4">
        <v>0</v>
      </c>
    </row>
    <row r="169" spans="1:9" x14ac:dyDescent="0.2">
      <c r="A169" s="2">
        <v>13</v>
      </c>
      <c r="B169" s="1" t="s">
        <v>120</v>
      </c>
      <c r="C169" s="4">
        <v>21</v>
      </c>
      <c r="D169" s="8">
        <v>1.51</v>
      </c>
      <c r="E169" s="4">
        <v>11</v>
      </c>
      <c r="F169" s="8">
        <v>1.53</v>
      </c>
      <c r="G169" s="4">
        <v>10</v>
      </c>
      <c r="H169" s="8">
        <v>1.51</v>
      </c>
      <c r="I169" s="4">
        <v>0</v>
      </c>
    </row>
    <row r="170" spans="1:9" x14ac:dyDescent="0.2">
      <c r="A170" s="2">
        <v>13</v>
      </c>
      <c r="B170" s="1" t="s">
        <v>143</v>
      </c>
      <c r="C170" s="4">
        <v>21</v>
      </c>
      <c r="D170" s="8">
        <v>1.51</v>
      </c>
      <c r="E170" s="4">
        <v>18</v>
      </c>
      <c r="F170" s="8">
        <v>2.5099999999999998</v>
      </c>
      <c r="G170" s="4">
        <v>3</v>
      </c>
      <c r="H170" s="8">
        <v>0.45</v>
      </c>
      <c r="I170" s="4">
        <v>0</v>
      </c>
    </row>
    <row r="171" spans="1:9" x14ac:dyDescent="0.2">
      <c r="A171" s="2">
        <v>15</v>
      </c>
      <c r="B171" s="1" t="s">
        <v>121</v>
      </c>
      <c r="C171" s="4">
        <v>20</v>
      </c>
      <c r="D171" s="8">
        <v>1.44</v>
      </c>
      <c r="E171" s="4">
        <v>5</v>
      </c>
      <c r="F171" s="8">
        <v>0.7</v>
      </c>
      <c r="G171" s="4">
        <v>15</v>
      </c>
      <c r="H171" s="8">
        <v>2.2599999999999998</v>
      </c>
      <c r="I171" s="4">
        <v>0</v>
      </c>
    </row>
    <row r="172" spans="1:9" x14ac:dyDescent="0.2">
      <c r="A172" s="2">
        <v>15</v>
      </c>
      <c r="B172" s="1" t="s">
        <v>147</v>
      </c>
      <c r="C172" s="4">
        <v>20</v>
      </c>
      <c r="D172" s="8">
        <v>1.44</v>
      </c>
      <c r="E172" s="4">
        <v>14</v>
      </c>
      <c r="F172" s="8">
        <v>1.95</v>
      </c>
      <c r="G172" s="4">
        <v>6</v>
      </c>
      <c r="H172" s="8">
        <v>0.9</v>
      </c>
      <c r="I172" s="4">
        <v>0</v>
      </c>
    </row>
    <row r="173" spans="1:9" x14ac:dyDescent="0.2">
      <c r="A173" s="2">
        <v>17</v>
      </c>
      <c r="B173" s="1" t="s">
        <v>151</v>
      </c>
      <c r="C173" s="4">
        <v>19</v>
      </c>
      <c r="D173" s="8">
        <v>1.37</v>
      </c>
      <c r="E173" s="4">
        <v>5</v>
      </c>
      <c r="F173" s="8">
        <v>0.7</v>
      </c>
      <c r="G173" s="4">
        <v>14</v>
      </c>
      <c r="H173" s="8">
        <v>2.11</v>
      </c>
      <c r="I173" s="4">
        <v>0</v>
      </c>
    </row>
    <row r="174" spans="1:9" x14ac:dyDescent="0.2">
      <c r="A174" s="2">
        <v>17</v>
      </c>
      <c r="B174" s="1" t="s">
        <v>125</v>
      </c>
      <c r="C174" s="4">
        <v>19</v>
      </c>
      <c r="D174" s="8">
        <v>1.37</v>
      </c>
      <c r="E174" s="4">
        <v>0</v>
      </c>
      <c r="F174" s="8">
        <v>0</v>
      </c>
      <c r="G174" s="4">
        <v>19</v>
      </c>
      <c r="H174" s="8">
        <v>2.87</v>
      </c>
      <c r="I174" s="4">
        <v>0</v>
      </c>
    </row>
    <row r="175" spans="1:9" x14ac:dyDescent="0.2">
      <c r="A175" s="2">
        <v>19</v>
      </c>
      <c r="B175" s="1" t="s">
        <v>130</v>
      </c>
      <c r="C175" s="4">
        <v>18</v>
      </c>
      <c r="D175" s="8">
        <v>1.3</v>
      </c>
      <c r="E175" s="4">
        <v>3</v>
      </c>
      <c r="F175" s="8">
        <v>0.42</v>
      </c>
      <c r="G175" s="4">
        <v>14</v>
      </c>
      <c r="H175" s="8">
        <v>2.11</v>
      </c>
      <c r="I175" s="4">
        <v>0</v>
      </c>
    </row>
    <row r="176" spans="1:9" x14ac:dyDescent="0.2">
      <c r="A176" s="2">
        <v>20</v>
      </c>
      <c r="B176" s="1" t="s">
        <v>119</v>
      </c>
      <c r="C176" s="4">
        <v>17</v>
      </c>
      <c r="D176" s="8">
        <v>1.22</v>
      </c>
      <c r="E176" s="4">
        <v>5</v>
      </c>
      <c r="F176" s="8">
        <v>0.7</v>
      </c>
      <c r="G176" s="4">
        <v>12</v>
      </c>
      <c r="H176" s="8">
        <v>1.81</v>
      </c>
      <c r="I176" s="4">
        <v>0</v>
      </c>
    </row>
    <row r="177" spans="1:9" x14ac:dyDescent="0.2">
      <c r="A177" s="2">
        <v>20</v>
      </c>
      <c r="B177" s="1" t="s">
        <v>152</v>
      </c>
      <c r="C177" s="4">
        <v>17</v>
      </c>
      <c r="D177" s="8">
        <v>1.22</v>
      </c>
      <c r="E177" s="4">
        <v>13</v>
      </c>
      <c r="F177" s="8">
        <v>1.81</v>
      </c>
      <c r="G177" s="4">
        <v>4</v>
      </c>
      <c r="H177" s="8">
        <v>0.6</v>
      </c>
      <c r="I177" s="4">
        <v>0</v>
      </c>
    </row>
    <row r="178" spans="1:9" x14ac:dyDescent="0.2">
      <c r="A178" s="2">
        <v>20</v>
      </c>
      <c r="B178" s="1" t="s">
        <v>139</v>
      </c>
      <c r="C178" s="4">
        <v>17</v>
      </c>
      <c r="D178" s="8">
        <v>1.22</v>
      </c>
      <c r="E178" s="4">
        <v>12</v>
      </c>
      <c r="F178" s="8">
        <v>1.67</v>
      </c>
      <c r="G178" s="4">
        <v>5</v>
      </c>
      <c r="H178" s="8">
        <v>0.75</v>
      </c>
      <c r="I178" s="4">
        <v>0</v>
      </c>
    </row>
    <row r="179" spans="1:9" x14ac:dyDescent="0.2">
      <c r="A179" s="2">
        <v>20</v>
      </c>
      <c r="B179" s="1" t="s">
        <v>141</v>
      </c>
      <c r="C179" s="4">
        <v>17</v>
      </c>
      <c r="D179" s="8">
        <v>1.22</v>
      </c>
      <c r="E179" s="4">
        <v>11</v>
      </c>
      <c r="F179" s="8">
        <v>1.53</v>
      </c>
      <c r="G179" s="4">
        <v>6</v>
      </c>
      <c r="H179" s="8">
        <v>0.9</v>
      </c>
      <c r="I179" s="4">
        <v>0</v>
      </c>
    </row>
    <row r="180" spans="1:9" x14ac:dyDescent="0.2">
      <c r="A180" s="1"/>
      <c r="C180" s="4"/>
      <c r="D180" s="8"/>
      <c r="E180" s="4"/>
      <c r="F180" s="8"/>
      <c r="G180" s="4"/>
      <c r="H180" s="8"/>
      <c r="I180" s="4"/>
    </row>
    <row r="181" spans="1:9" x14ac:dyDescent="0.2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2">
      <c r="A182" s="2">
        <v>1</v>
      </c>
      <c r="B182" s="1" t="s">
        <v>129</v>
      </c>
      <c r="C182" s="4">
        <v>66</v>
      </c>
      <c r="D182" s="8">
        <v>5.33</v>
      </c>
      <c r="E182" s="4">
        <v>48</v>
      </c>
      <c r="F182" s="8">
        <v>7.17</v>
      </c>
      <c r="G182" s="4">
        <v>18</v>
      </c>
      <c r="H182" s="8">
        <v>3.26</v>
      </c>
      <c r="I182" s="4">
        <v>0</v>
      </c>
    </row>
    <row r="183" spans="1:9" x14ac:dyDescent="0.2">
      <c r="A183" s="2">
        <v>2</v>
      </c>
      <c r="B183" s="1" t="s">
        <v>134</v>
      </c>
      <c r="C183" s="4">
        <v>53</v>
      </c>
      <c r="D183" s="8">
        <v>4.28</v>
      </c>
      <c r="E183" s="4">
        <v>49</v>
      </c>
      <c r="F183" s="8">
        <v>7.32</v>
      </c>
      <c r="G183" s="4">
        <v>4</v>
      </c>
      <c r="H183" s="8">
        <v>0.72</v>
      </c>
      <c r="I183" s="4">
        <v>0</v>
      </c>
    </row>
    <row r="184" spans="1:9" x14ac:dyDescent="0.2">
      <c r="A184" s="2">
        <v>3</v>
      </c>
      <c r="B184" s="1" t="s">
        <v>133</v>
      </c>
      <c r="C184" s="4">
        <v>48</v>
      </c>
      <c r="D184" s="8">
        <v>3.88</v>
      </c>
      <c r="E184" s="4">
        <v>46</v>
      </c>
      <c r="F184" s="8">
        <v>6.88</v>
      </c>
      <c r="G184" s="4">
        <v>2</v>
      </c>
      <c r="H184" s="8">
        <v>0.36</v>
      </c>
      <c r="I184" s="4">
        <v>0</v>
      </c>
    </row>
    <row r="185" spans="1:9" x14ac:dyDescent="0.2">
      <c r="A185" s="2">
        <v>4</v>
      </c>
      <c r="B185" s="1" t="s">
        <v>137</v>
      </c>
      <c r="C185" s="4">
        <v>42</v>
      </c>
      <c r="D185" s="8">
        <v>3.39</v>
      </c>
      <c r="E185" s="4">
        <v>35</v>
      </c>
      <c r="F185" s="8">
        <v>5.23</v>
      </c>
      <c r="G185" s="4">
        <v>7</v>
      </c>
      <c r="H185" s="8">
        <v>1.27</v>
      </c>
      <c r="I185" s="4">
        <v>0</v>
      </c>
    </row>
    <row r="186" spans="1:9" x14ac:dyDescent="0.2">
      <c r="A186" s="2">
        <v>5</v>
      </c>
      <c r="B186" s="1" t="s">
        <v>118</v>
      </c>
      <c r="C186" s="4">
        <v>38</v>
      </c>
      <c r="D186" s="8">
        <v>3.07</v>
      </c>
      <c r="E186" s="4">
        <v>4</v>
      </c>
      <c r="F186" s="8">
        <v>0.6</v>
      </c>
      <c r="G186" s="4">
        <v>34</v>
      </c>
      <c r="H186" s="8">
        <v>6.16</v>
      </c>
      <c r="I186" s="4">
        <v>0</v>
      </c>
    </row>
    <row r="187" spans="1:9" x14ac:dyDescent="0.2">
      <c r="A187" s="2">
        <v>6</v>
      </c>
      <c r="B187" s="1" t="s">
        <v>120</v>
      </c>
      <c r="C187" s="4">
        <v>34</v>
      </c>
      <c r="D187" s="8">
        <v>2.75</v>
      </c>
      <c r="E187" s="4">
        <v>15</v>
      </c>
      <c r="F187" s="8">
        <v>2.2400000000000002</v>
      </c>
      <c r="G187" s="4">
        <v>19</v>
      </c>
      <c r="H187" s="8">
        <v>3.44</v>
      </c>
      <c r="I187" s="4">
        <v>0</v>
      </c>
    </row>
    <row r="188" spans="1:9" x14ac:dyDescent="0.2">
      <c r="A188" s="2">
        <v>6</v>
      </c>
      <c r="B188" s="1" t="s">
        <v>131</v>
      </c>
      <c r="C188" s="4">
        <v>34</v>
      </c>
      <c r="D188" s="8">
        <v>2.75</v>
      </c>
      <c r="E188" s="4">
        <v>26</v>
      </c>
      <c r="F188" s="8">
        <v>3.89</v>
      </c>
      <c r="G188" s="4">
        <v>8</v>
      </c>
      <c r="H188" s="8">
        <v>1.45</v>
      </c>
      <c r="I188" s="4">
        <v>0</v>
      </c>
    </row>
    <row r="189" spans="1:9" x14ac:dyDescent="0.2">
      <c r="A189" s="2">
        <v>8</v>
      </c>
      <c r="B189" s="1" t="s">
        <v>121</v>
      </c>
      <c r="C189" s="4">
        <v>29</v>
      </c>
      <c r="D189" s="8">
        <v>2.34</v>
      </c>
      <c r="E189" s="4">
        <v>10</v>
      </c>
      <c r="F189" s="8">
        <v>1.49</v>
      </c>
      <c r="G189" s="4">
        <v>19</v>
      </c>
      <c r="H189" s="8">
        <v>3.44</v>
      </c>
      <c r="I189" s="4">
        <v>0</v>
      </c>
    </row>
    <row r="190" spans="1:9" x14ac:dyDescent="0.2">
      <c r="A190" s="2">
        <v>9</v>
      </c>
      <c r="B190" s="1" t="s">
        <v>132</v>
      </c>
      <c r="C190" s="4">
        <v>23</v>
      </c>
      <c r="D190" s="8">
        <v>1.86</v>
      </c>
      <c r="E190" s="4">
        <v>20</v>
      </c>
      <c r="F190" s="8">
        <v>2.99</v>
      </c>
      <c r="G190" s="4">
        <v>3</v>
      </c>
      <c r="H190" s="8">
        <v>0.54</v>
      </c>
      <c r="I190" s="4">
        <v>0</v>
      </c>
    </row>
    <row r="191" spans="1:9" x14ac:dyDescent="0.2">
      <c r="A191" s="2">
        <v>10</v>
      </c>
      <c r="B191" s="1" t="s">
        <v>127</v>
      </c>
      <c r="C191" s="4">
        <v>22</v>
      </c>
      <c r="D191" s="8">
        <v>1.78</v>
      </c>
      <c r="E191" s="4">
        <v>10</v>
      </c>
      <c r="F191" s="8">
        <v>1.49</v>
      </c>
      <c r="G191" s="4">
        <v>12</v>
      </c>
      <c r="H191" s="8">
        <v>2.17</v>
      </c>
      <c r="I191" s="4">
        <v>0</v>
      </c>
    </row>
    <row r="192" spans="1:9" x14ac:dyDescent="0.2">
      <c r="A192" s="2">
        <v>11</v>
      </c>
      <c r="B192" s="1" t="s">
        <v>124</v>
      </c>
      <c r="C192" s="4">
        <v>21</v>
      </c>
      <c r="D192" s="8">
        <v>1.7</v>
      </c>
      <c r="E192" s="4">
        <v>8</v>
      </c>
      <c r="F192" s="8">
        <v>1.2</v>
      </c>
      <c r="G192" s="4">
        <v>12</v>
      </c>
      <c r="H192" s="8">
        <v>2.17</v>
      </c>
      <c r="I192" s="4">
        <v>1</v>
      </c>
    </row>
    <row r="193" spans="1:9" x14ac:dyDescent="0.2">
      <c r="A193" s="2">
        <v>12</v>
      </c>
      <c r="B193" s="1" t="s">
        <v>122</v>
      </c>
      <c r="C193" s="4">
        <v>19</v>
      </c>
      <c r="D193" s="8">
        <v>1.53</v>
      </c>
      <c r="E193" s="4">
        <v>9</v>
      </c>
      <c r="F193" s="8">
        <v>1.35</v>
      </c>
      <c r="G193" s="4">
        <v>10</v>
      </c>
      <c r="H193" s="8">
        <v>1.81</v>
      </c>
      <c r="I193" s="4">
        <v>0</v>
      </c>
    </row>
    <row r="194" spans="1:9" x14ac:dyDescent="0.2">
      <c r="A194" s="2">
        <v>13</v>
      </c>
      <c r="B194" s="1" t="s">
        <v>145</v>
      </c>
      <c r="C194" s="4">
        <v>18</v>
      </c>
      <c r="D194" s="8">
        <v>1.45</v>
      </c>
      <c r="E194" s="4">
        <v>12</v>
      </c>
      <c r="F194" s="8">
        <v>1.79</v>
      </c>
      <c r="G194" s="4">
        <v>6</v>
      </c>
      <c r="H194" s="8">
        <v>1.0900000000000001</v>
      </c>
      <c r="I194" s="4">
        <v>0</v>
      </c>
    </row>
    <row r="195" spans="1:9" x14ac:dyDescent="0.2">
      <c r="A195" s="2">
        <v>13</v>
      </c>
      <c r="B195" s="1" t="s">
        <v>123</v>
      </c>
      <c r="C195" s="4">
        <v>18</v>
      </c>
      <c r="D195" s="8">
        <v>1.45</v>
      </c>
      <c r="E195" s="4">
        <v>12</v>
      </c>
      <c r="F195" s="8">
        <v>1.79</v>
      </c>
      <c r="G195" s="4">
        <v>6</v>
      </c>
      <c r="H195" s="8">
        <v>1.0900000000000001</v>
      </c>
      <c r="I195" s="4">
        <v>0</v>
      </c>
    </row>
    <row r="196" spans="1:9" x14ac:dyDescent="0.2">
      <c r="A196" s="2">
        <v>13</v>
      </c>
      <c r="B196" s="1" t="s">
        <v>135</v>
      </c>
      <c r="C196" s="4">
        <v>18</v>
      </c>
      <c r="D196" s="8">
        <v>1.45</v>
      </c>
      <c r="E196" s="4">
        <v>11</v>
      </c>
      <c r="F196" s="8">
        <v>1.64</v>
      </c>
      <c r="G196" s="4">
        <v>7</v>
      </c>
      <c r="H196" s="8">
        <v>1.27</v>
      </c>
      <c r="I196" s="4">
        <v>0</v>
      </c>
    </row>
    <row r="197" spans="1:9" x14ac:dyDescent="0.2">
      <c r="A197" s="2">
        <v>16</v>
      </c>
      <c r="B197" s="1" t="s">
        <v>153</v>
      </c>
      <c r="C197" s="4">
        <v>16</v>
      </c>
      <c r="D197" s="8">
        <v>1.29</v>
      </c>
      <c r="E197" s="4">
        <v>7</v>
      </c>
      <c r="F197" s="8">
        <v>1.05</v>
      </c>
      <c r="G197" s="4">
        <v>9</v>
      </c>
      <c r="H197" s="8">
        <v>1.63</v>
      </c>
      <c r="I197" s="4">
        <v>0</v>
      </c>
    </row>
    <row r="198" spans="1:9" x14ac:dyDescent="0.2">
      <c r="A198" s="2">
        <v>16</v>
      </c>
      <c r="B198" s="1" t="s">
        <v>146</v>
      </c>
      <c r="C198" s="4">
        <v>16</v>
      </c>
      <c r="D198" s="8">
        <v>1.29</v>
      </c>
      <c r="E198" s="4">
        <v>11</v>
      </c>
      <c r="F198" s="8">
        <v>1.64</v>
      </c>
      <c r="G198" s="4">
        <v>5</v>
      </c>
      <c r="H198" s="8">
        <v>0.91</v>
      </c>
      <c r="I198" s="4">
        <v>0</v>
      </c>
    </row>
    <row r="199" spans="1:9" x14ac:dyDescent="0.2">
      <c r="A199" s="2">
        <v>16</v>
      </c>
      <c r="B199" s="1" t="s">
        <v>150</v>
      </c>
      <c r="C199" s="4">
        <v>16</v>
      </c>
      <c r="D199" s="8">
        <v>1.29</v>
      </c>
      <c r="E199" s="4">
        <v>4</v>
      </c>
      <c r="F199" s="8">
        <v>0.6</v>
      </c>
      <c r="G199" s="4">
        <v>12</v>
      </c>
      <c r="H199" s="8">
        <v>2.17</v>
      </c>
      <c r="I199" s="4">
        <v>0</v>
      </c>
    </row>
    <row r="200" spans="1:9" x14ac:dyDescent="0.2">
      <c r="A200" s="2">
        <v>16</v>
      </c>
      <c r="B200" s="1" t="s">
        <v>154</v>
      </c>
      <c r="C200" s="4">
        <v>16</v>
      </c>
      <c r="D200" s="8">
        <v>1.29</v>
      </c>
      <c r="E200" s="4">
        <v>6</v>
      </c>
      <c r="F200" s="8">
        <v>0.9</v>
      </c>
      <c r="G200" s="4">
        <v>10</v>
      </c>
      <c r="H200" s="8">
        <v>1.81</v>
      </c>
      <c r="I200" s="4">
        <v>0</v>
      </c>
    </row>
    <row r="201" spans="1:9" x14ac:dyDescent="0.2">
      <c r="A201" s="2">
        <v>16</v>
      </c>
      <c r="B201" s="1" t="s">
        <v>136</v>
      </c>
      <c r="C201" s="4">
        <v>16</v>
      </c>
      <c r="D201" s="8">
        <v>1.29</v>
      </c>
      <c r="E201" s="4">
        <v>16</v>
      </c>
      <c r="F201" s="8">
        <v>2.39</v>
      </c>
      <c r="G201" s="4">
        <v>0</v>
      </c>
      <c r="H201" s="8">
        <v>0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134</v>
      </c>
      <c r="C204" s="4">
        <v>79</v>
      </c>
      <c r="D204" s="8">
        <v>5.03</v>
      </c>
      <c r="E204" s="4">
        <v>77</v>
      </c>
      <c r="F204" s="8">
        <v>9.16</v>
      </c>
      <c r="G204" s="4">
        <v>2</v>
      </c>
      <c r="H204" s="8">
        <v>0.28000000000000003</v>
      </c>
      <c r="I204" s="4">
        <v>0</v>
      </c>
    </row>
    <row r="205" spans="1:9" x14ac:dyDescent="0.2">
      <c r="A205" s="2">
        <v>2</v>
      </c>
      <c r="B205" s="1" t="s">
        <v>133</v>
      </c>
      <c r="C205" s="4">
        <v>75</v>
      </c>
      <c r="D205" s="8">
        <v>4.7699999999999996</v>
      </c>
      <c r="E205" s="4">
        <v>73</v>
      </c>
      <c r="F205" s="8">
        <v>8.68</v>
      </c>
      <c r="G205" s="4">
        <v>2</v>
      </c>
      <c r="H205" s="8">
        <v>0.28000000000000003</v>
      </c>
      <c r="I205" s="4">
        <v>0</v>
      </c>
    </row>
    <row r="206" spans="1:9" x14ac:dyDescent="0.2">
      <c r="A206" s="2">
        <v>3</v>
      </c>
      <c r="B206" s="1" t="s">
        <v>120</v>
      </c>
      <c r="C206" s="4">
        <v>53</v>
      </c>
      <c r="D206" s="8">
        <v>3.37</v>
      </c>
      <c r="E206" s="4">
        <v>41</v>
      </c>
      <c r="F206" s="8">
        <v>4.88</v>
      </c>
      <c r="G206" s="4">
        <v>12</v>
      </c>
      <c r="H206" s="8">
        <v>1.66</v>
      </c>
      <c r="I206" s="4">
        <v>0</v>
      </c>
    </row>
    <row r="207" spans="1:9" x14ac:dyDescent="0.2">
      <c r="A207" s="2">
        <v>4</v>
      </c>
      <c r="B207" s="1" t="s">
        <v>124</v>
      </c>
      <c r="C207" s="4">
        <v>52</v>
      </c>
      <c r="D207" s="8">
        <v>3.31</v>
      </c>
      <c r="E207" s="4">
        <v>35</v>
      </c>
      <c r="F207" s="8">
        <v>4.16</v>
      </c>
      <c r="G207" s="4">
        <v>17</v>
      </c>
      <c r="H207" s="8">
        <v>2.36</v>
      </c>
      <c r="I207" s="4">
        <v>0</v>
      </c>
    </row>
    <row r="208" spans="1:9" x14ac:dyDescent="0.2">
      <c r="A208" s="2">
        <v>5</v>
      </c>
      <c r="B208" s="1" t="s">
        <v>131</v>
      </c>
      <c r="C208" s="4">
        <v>37</v>
      </c>
      <c r="D208" s="8">
        <v>2.35</v>
      </c>
      <c r="E208" s="4">
        <v>32</v>
      </c>
      <c r="F208" s="8">
        <v>3.8</v>
      </c>
      <c r="G208" s="4">
        <v>5</v>
      </c>
      <c r="H208" s="8">
        <v>0.69</v>
      </c>
      <c r="I208" s="4">
        <v>0</v>
      </c>
    </row>
    <row r="209" spans="1:9" x14ac:dyDescent="0.2">
      <c r="A209" s="2">
        <v>6</v>
      </c>
      <c r="B209" s="1" t="s">
        <v>121</v>
      </c>
      <c r="C209" s="4">
        <v>36</v>
      </c>
      <c r="D209" s="8">
        <v>2.29</v>
      </c>
      <c r="E209" s="4">
        <v>20</v>
      </c>
      <c r="F209" s="8">
        <v>2.38</v>
      </c>
      <c r="G209" s="4">
        <v>16</v>
      </c>
      <c r="H209" s="8">
        <v>2.2200000000000002</v>
      </c>
      <c r="I209" s="4">
        <v>0</v>
      </c>
    </row>
    <row r="210" spans="1:9" x14ac:dyDescent="0.2">
      <c r="A210" s="2">
        <v>6</v>
      </c>
      <c r="B210" s="1" t="s">
        <v>132</v>
      </c>
      <c r="C210" s="4">
        <v>36</v>
      </c>
      <c r="D210" s="8">
        <v>2.29</v>
      </c>
      <c r="E210" s="4">
        <v>34</v>
      </c>
      <c r="F210" s="8">
        <v>4.04</v>
      </c>
      <c r="G210" s="4">
        <v>2</v>
      </c>
      <c r="H210" s="8">
        <v>0.28000000000000003</v>
      </c>
      <c r="I210" s="4">
        <v>0</v>
      </c>
    </row>
    <row r="211" spans="1:9" x14ac:dyDescent="0.2">
      <c r="A211" s="2">
        <v>6</v>
      </c>
      <c r="B211" s="1" t="s">
        <v>137</v>
      </c>
      <c r="C211" s="4">
        <v>36</v>
      </c>
      <c r="D211" s="8">
        <v>2.29</v>
      </c>
      <c r="E211" s="4">
        <v>26</v>
      </c>
      <c r="F211" s="8">
        <v>3.09</v>
      </c>
      <c r="G211" s="4">
        <v>10</v>
      </c>
      <c r="H211" s="8">
        <v>1.39</v>
      </c>
      <c r="I211" s="4">
        <v>0</v>
      </c>
    </row>
    <row r="212" spans="1:9" x14ac:dyDescent="0.2">
      <c r="A212" s="2">
        <v>9</v>
      </c>
      <c r="B212" s="1" t="s">
        <v>118</v>
      </c>
      <c r="C212" s="4">
        <v>35</v>
      </c>
      <c r="D212" s="8">
        <v>2.23</v>
      </c>
      <c r="E212" s="4">
        <v>4</v>
      </c>
      <c r="F212" s="8">
        <v>0.48</v>
      </c>
      <c r="G212" s="4">
        <v>31</v>
      </c>
      <c r="H212" s="8">
        <v>4.3</v>
      </c>
      <c r="I212" s="4">
        <v>0</v>
      </c>
    </row>
    <row r="213" spans="1:9" x14ac:dyDescent="0.2">
      <c r="A213" s="2">
        <v>10</v>
      </c>
      <c r="B213" s="1" t="s">
        <v>129</v>
      </c>
      <c r="C213" s="4">
        <v>32</v>
      </c>
      <c r="D213" s="8">
        <v>2.04</v>
      </c>
      <c r="E213" s="4">
        <v>17</v>
      </c>
      <c r="F213" s="8">
        <v>2.02</v>
      </c>
      <c r="G213" s="4">
        <v>14</v>
      </c>
      <c r="H213" s="8">
        <v>1.94</v>
      </c>
      <c r="I213" s="4">
        <v>0</v>
      </c>
    </row>
    <row r="214" spans="1:9" x14ac:dyDescent="0.2">
      <c r="A214" s="2">
        <v>11</v>
      </c>
      <c r="B214" s="1" t="s">
        <v>123</v>
      </c>
      <c r="C214" s="4">
        <v>29</v>
      </c>
      <c r="D214" s="8">
        <v>1.84</v>
      </c>
      <c r="E214" s="4">
        <v>21</v>
      </c>
      <c r="F214" s="8">
        <v>2.5</v>
      </c>
      <c r="G214" s="4">
        <v>8</v>
      </c>
      <c r="H214" s="8">
        <v>1.1100000000000001</v>
      </c>
      <c r="I214" s="4">
        <v>0</v>
      </c>
    </row>
    <row r="215" spans="1:9" x14ac:dyDescent="0.2">
      <c r="A215" s="2">
        <v>12</v>
      </c>
      <c r="B215" s="1" t="s">
        <v>122</v>
      </c>
      <c r="C215" s="4">
        <v>28</v>
      </c>
      <c r="D215" s="8">
        <v>1.78</v>
      </c>
      <c r="E215" s="4">
        <v>11</v>
      </c>
      <c r="F215" s="8">
        <v>1.31</v>
      </c>
      <c r="G215" s="4">
        <v>17</v>
      </c>
      <c r="H215" s="8">
        <v>2.36</v>
      </c>
      <c r="I215" s="4">
        <v>0</v>
      </c>
    </row>
    <row r="216" spans="1:9" x14ac:dyDescent="0.2">
      <c r="A216" s="2">
        <v>12</v>
      </c>
      <c r="B216" s="1" t="s">
        <v>126</v>
      </c>
      <c r="C216" s="4">
        <v>28</v>
      </c>
      <c r="D216" s="8">
        <v>1.78</v>
      </c>
      <c r="E216" s="4">
        <v>13</v>
      </c>
      <c r="F216" s="8">
        <v>1.55</v>
      </c>
      <c r="G216" s="4">
        <v>15</v>
      </c>
      <c r="H216" s="8">
        <v>2.08</v>
      </c>
      <c r="I216" s="4">
        <v>0</v>
      </c>
    </row>
    <row r="217" spans="1:9" x14ac:dyDescent="0.2">
      <c r="A217" s="2">
        <v>12</v>
      </c>
      <c r="B217" s="1" t="s">
        <v>127</v>
      </c>
      <c r="C217" s="4">
        <v>28</v>
      </c>
      <c r="D217" s="8">
        <v>1.78</v>
      </c>
      <c r="E217" s="4">
        <v>19</v>
      </c>
      <c r="F217" s="8">
        <v>2.2599999999999998</v>
      </c>
      <c r="G217" s="4">
        <v>9</v>
      </c>
      <c r="H217" s="8">
        <v>1.25</v>
      </c>
      <c r="I217" s="4">
        <v>0</v>
      </c>
    </row>
    <row r="218" spans="1:9" x14ac:dyDescent="0.2">
      <c r="A218" s="2">
        <v>12</v>
      </c>
      <c r="B218" s="1" t="s">
        <v>136</v>
      </c>
      <c r="C218" s="4">
        <v>28</v>
      </c>
      <c r="D218" s="8">
        <v>1.78</v>
      </c>
      <c r="E218" s="4">
        <v>28</v>
      </c>
      <c r="F218" s="8">
        <v>3.33</v>
      </c>
      <c r="G218" s="4">
        <v>0</v>
      </c>
      <c r="H218" s="8">
        <v>0</v>
      </c>
      <c r="I218" s="4">
        <v>0</v>
      </c>
    </row>
    <row r="219" spans="1:9" x14ac:dyDescent="0.2">
      <c r="A219" s="2">
        <v>16</v>
      </c>
      <c r="B219" s="1" t="s">
        <v>146</v>
      </c>
      <c r="C219" s="4">
        <v>24</v>
      </c>
      <c r="D219" s="8">
        <v>1.53</v>
      </c>
      <c r="E219" s="4">
        <v>11</v>
      </c>
      <c r="F219" s="8">
        <v>1.31</v>
      </c>
      <c r="G219" s="4">
        <v>13</v>
      </c>
      <c r="H219" s="8">
        <v>1.8</v>
      </c>
      <c r="I219" s="4">
        <v>0</v>
      </c>
    </row>
    <row r="220" spans="1:9" x14ac:dyDescent="0.2">
      <c r="A220" s="2">
        <v>17</v>
      </c>
      <c r="B220" s="1" t="s">
        <v>130</v>
      </c>
      <c r="C220" s="4">
        <v>23</v>
      </c>
      <c r="D220" s="8">
        <v>1.46</v>
      </c>
      <c r="E220" s="4">
        <v>10</v>
      </c>
      <c r="F220" s="8">
        <v>1.19</v>
      </c>
      <c r="G220" s="4">
        <v>11</v>
      </c>
      <c r="H220" s="8">
        <v>1.53</v>
      </c>
      <c r="I220" s="4">
        <v>0</v>
      </c>
    </row>
    <row r="221" spans="1:9" x14ac:dyDescent="0.2">
      <c r="A221" s="2">
        <v>18</v>
      </c>
      <c r="B221" s="1" t="s">
        <v>152</v>
      </c>
      <c r="C221" s="4">
        <v>22</v>
      </c>
      <c r="D221" s="8">
        <v>1.4</v>
      </c>
      <c r="E221" s="4">
        <v>17</v>
      </c>
      <c r="F221" s="8">
        <v>2.02</v>
      </c>
      <c r="G221" s="4">
        <v>5</v>
      </c>
      <c r="H221" s="8">
        <v>0.69</v>
      </c>
      <c r="I221" s="4">
        <v>0</v>
      </c>
    </row>
    <row r="222" spans="1:9" x14ac:dyDescent="0.2">
      <c r="A222" s="2">
        <v>19</v>
      </c>
      <c r="B222" s="1" t="s">
        <v>119</v>
      </c>
      <c r="C222" s="4">
        <v>21</v>
      </c>
      <c r="D222" s="8">
        <v>1.34</v>
      </c>
      <c r="E222" s="4">
        <v>4</v>
      </c>
      <c r="F222" s="8">
        <v>0.48</v>
      </c>
      <c r="G222" s="4">
        <v>17</v>
      </c>
      <c r="H222" s="8">
        <v>2.36</v>
      </c>
      <c r="I222" s="4">
        <v>0</v>
      </c>
    </row>
    <row r="223" spans="1:9" x14ac:dyDescent="0.2">
      <c r="A223" s="2">
        <v>20</v>
      </c>
      <c r="B223" s="1" t="s">
        <v>155</v>
      </c>
      <c r="C223" s="4">
        <v>20</v>
      </c>
      <c r="D223" s="8">
        <v>1.27</v>
      </c>
      <c r="E223" s="4">
        <v>4</v>
      </c>
      <c r="F223" s="8">
        <v>0.48</v>
      </c>
      <c r="G223" s="4">
        <v>16</v>
      </c>
      <c r="H223" s="8">
        <v>2.2200000000000002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134</v>
      </c>
      <c r="C226" s="4">
        <v>63</v>
      </c>
      <c r="D226" s="8">
        <v>5.97</v>
      </c>
      <c r="E226" s="4">
        <v>60</v>
      </c>
      <c r="F226" s="8">
        <v>9.02</v>
      </c>
      <c r="G226" s="4">
        <v>3</v>
      </c>
      <c r="H226" s="8">
        <v>0.83</v>
      </c>
      <c r="I226" s="4">
        <v>0</v>
      </c>
    </row>
    <row r="227" spans="1:9" x14ac:dyDescent="0.2">
      <c r="A227" s="2">
        <v>2</v>
      </c>
      <c r="B227" s="1" t="s">
        <v>133</v>
      </c>
      <c r="C227" s="4">
        <v>53</v>
      </c>
      <c r="D227" s="8">
        <v>5.0199999999999996</v>
      </c>
      <c r="E227" s="4">
        <v>52</v>
      </c>
      <c r="F227" s="8">
        <v>7.82</v>
      </c>
      <c r="G227" s="4">
        <v>1</v>
      </c>
      <c r="H227" s="8">
        <v>0.28000000000000003</v>
      </c>
      <c r="I227" s="4">
        <v>0</v>
      </c>
    </row>
    <row r="228" spans="1:9" x14ac:dyDescent="0.2">
      <c r="A228" s="2">
        <v>3</v>
      </c>
      <c r="B228" s="1" t="s">
        <v>120</v>
      </c>
      <c r="C228" s="4">
        <v>44</v>
      </c>
      <c r="D228" s="8">
        <v>4.17</v>
      </c>
      <c r="E228" s="4">
        <v>37</v>
      </c>
      <c r="F228" s="8">
        <v>5.56</v>
      </c>
      <c r="G228" s="4">
        <v>7</v>
      </c>
      <c r="H228" s="8">
        <v>1.94</v>
      </c>
      <c r="I228" s="4">
        <v>0</v>
      </c>
    </row>
    <row r="229" spans="1:9" x14ac:dyDescent="0.2">
      <c r="A229" s="2">
        <v>4</v>
      </c>
      <c r="B229" s="1" t="s">
        <v>118</v>
      </c>
      <c r="C229" s="4">
        <v>36</v>
      </c>
      <c r="D229" s="8">
        <v>3.41</v>
      </c>
      <c r="E229" s="4">
        <v>4</v>
      </c>
      <c r="F229" s="8">
        <v>0.6</v>
      </c>
      <c r="G229" s="4">
        <v>32</v>
      </c>
      <c r="H229" s="8">
        <v>8.89</v>
      </c>
      <c r="I229" s="4">
        <v>0</v>
      </c>
    </row>
    <row r="230" spans="1:9" x14ac:dyDescent="0.2">
      <c r="A230" s="2">
        <v>5</v>
      </c>
      <c r="B230" s="1" t="s">
        <v>137</v>
      </c>
      <c r="C230" s="4">
        <v>30</v>
      </c>
      <c r="D230" s="8">
        <v>2.84</v>
      </c>
      <c r="E230" s="4">
        <v>28</v>
      </c>
      <c r="F230" s="8">
        <v>4.21</v>
      </c>
      <c r="G230" s="4">
        <v>2</v>
      </c>
      <c r="H230" s="8">
        <v>0.56000000000000005</v>
      </c>
      <c r="I230" s="4">
        <v>0</v>
      </c>
    </row>
    <row r="231" spans="1:9" x14ac:dyDescent="0.2">
      <c r="A231" s="2">
        <v>6</v>
      </c>
      <c r="B231" s="1" t="s">
        <v>123</v>
      </c>
      <c r="C231" s="4">
        <v>28</v>
      </c>
      <c r="D231" s="8">
        <v>2.65</v>
      </c>
      <c r="E231" s="4">
        <v>26</v>
      </c>
      <c r="F231" s="8">
        <v>3.91</v>
      </c>
      <c r="G231" s="4">
        <v>2</v>
      </c>
      <c r="H231" s="8">
        <v>0.56000000000000005</v>
      </c>
      <c r="I231" s="4">
        <v>0</v>
      </c>
    </row>
    <row r="232" spans="1:9" x14ac:dyDescent="0.2">
      <c r="A232" s="2">
        <v>6</v>
      </c>
      <c r="B232" s="1" t="s">
        <v>131</v>
      </c>
      <c r="C232" s="4">
        <v>28</v>
      </c>
      <c r="D232" s="8">
        <v>2.65</v>
      </c>
      <c r="E232" s="4">
        <v>27</v>
      </c>
      <c r="F232" s="8">
        <v>4.0599999999999996</v>
      </c>
      <c r="G232" s="4">
        <v>1</v>
      </c>
      <c r="H232" s="8">
        <v>0.28000000000000003</v>
      </c>
      <c r="I232" s="4">
        <v>0</v>
      </c>
    </row>
    <row r="233" spans="1:9" x14ac:dyDescent="0.2">
      <c r="A233" s="2">
        <v>8</v>
      </c>
      <c r="B233" s="1" t="s">
        <v>124</v>
      </c>
      <c r="C233" s="4">
        <v>27</v>
      </c>
      <c r="D233" s="8">
        <v>2.56</v>
      </c>
      <c r="E233" s="4">
        <v>19</v>
      </c>
      <c r="F233" s="8">
        <v>2.86</v>
      </c>
      <c r="G233" s="4">
        <v>8</v>
      </c>
      <c r="H233" s="8">
        <v>2.2200000000000002</v>
      </c>
      <c r="I233" s="4">
        <v>0</v>
      </c>
    </row>
    <row r="234" spans="1:9" x14ac:dyDescent="0.2">
      <c r="A234" s="2">
        <v>9</v>
      </c>
      <c r="B234" s="1" t="s">
        <v>121</v>
      </c>
      <c r="C234" s="4">
        <v>23</v>
      </c>
      <c r="D234" s="8">
        <v>2.1800000000000002</v>
      </c>
      <c r="E234" s="4">
        <v>12</v>
      </c>
      <c r="F234" s="8">
        <v>1.8</v>
      </c>
      <c r="G234" s="4">
        <v>11</v>
      </c>
      <c r="H234" s="8">
        <v>3.06</v>
      </c>
      <c r="I234" s="4">
        <v>0</v>
      </c>
    </row>
    <row r="235" spans="1:9" x14ac:dyDescent="0.2">
      <c r="A235" s="2">
        <v>10</v>
      </c>
      <c r="B235" s="1" t="s">
        <v>147</v>
      </c>
      <c r="C235" s="4">
        <v>22</v>
      </c>
      <c r="D235" s="8">
        <v>2.08</v>
      </c>
      <c r="E235" s="4">
        <v>19</v>
      </c>
      <c r="F235" s="8">
        <v>2.86</v>
      </c>
      <c r="G235" s="4">
        <v>3</v>
      </c>
      <c r="H235" s="8">
        <v>0.83</v>
      </c>
      <c r="I235" s="4">
        <v>0</v>
      </c>
    </row>
    <row r="236" spans="1:9" x14ac:dyDescent="0.2">
      <c r="A236" s="2">
        <v>11</v>
      </c>
      <c r="B236" s="1" t="s">
        <v>129</v>
      </c>
      <c r="C236" s="4">
        <v>19</v>
      </c>
      <c r="D236" s="8">
        <v>1.8</v>
      </c>
      <c r="E236" s="4">
        <v>12</v>
      </c>
      <c r="F236" s="8">
        <v>1.8</v>
      </c>
      <c r="G236" s="4">
        <v>7</v>
      </c>
      <c r="H236" s="8">
        <v>1.94</v>
      </c>
      <c r="I236" s="4">
        <v>0</v>
      </c>
    </row>
    <row r="237" spans="1:9" x14ac:dyDescent="0.2">
      <c r="A237" s="2">
        <v>12</v>
      </c>
      <c r="B237" s="1" t="s">
        <v>127</v>
      </c>
      <c r="C237" s="4">
        <v>16</v>
      </c>
      <c r="D237" s="8">
        <v>1.52</v>
      </c>
      <c r="E237" s="4">
        <v>13</v>
      </c>
      <c r="F237" s="8">
        <v>1.95</v>
      </c>
      <c r="G237" s="4">
        <v>3</v>
      </c>
      <c r="H237" s="8">
        <v>0.83</v>
      </c>
      <c r="I237" s="4">
        <v>0</v>
      </c>
    </row>
    <row r="238" spans="1:9" x14ac:dyDescent="0.2">
      <c r="A238" s="2">
        <v>12</v>
      </c>
      <c r="B238" s="1" t="s">
        <v>130</v>
      </c>
      <c r="C238" s="4">
        <v>16</v>
      </c>
      <c r="D238" s="8">
        <v>1.52</v>
      </c>
      <c r="E238" s="4">
        <v>3</v>
      </c>
      <c r="F238" s="8">
        <v>0.45</v>
      </c>
      <c r="G238" s="4">
        <v>12</v>
      </c>
      <c r="H238" s="8">
        <v>3.33</v>
      </c>
      <c r="I238" s="4">
        <v>0</v>
      </c>
    </row>
    <row r="239" spans="1:9" x14ac:dyDescent="0.2">
      <c r="A239" s="2">
        <v>12</v>
      </c>
      <c r="B239" s="1" t="s">
        <v>136</v>
      </c>
      <c r="C239" s="4">
        <v>16</v>
      </c>
      <c r="D239" s="8">
        <v>1.52</v>
      </c>
      <c r="E239" s="4">
        <v>15</v>
      </c>
      <c r="F239" s="8">
        <v>2.2599999999999998</v>
      </c>
      <c r="G239" s="4">
        <v>1</v>
      </c>
      <c r="H239" s="8">
        <v>0.28000000000000003</v>
      </c>
      <c r="I239" s="4">
        <v>0</v>
      </c>
    </row>
    <row r="240" spans="1:9" x14ac:dyDescent="0.2">
      <c r="A240" s="2">
        <v>15</v>
      </c>
      <c r="B240" s="1" t="s">
        <v>145</v>
      </c>
      <c r="C240" s="4">
        <v>15</v>
      </c>
      <c r="D240" s="8">
        <v>1.42</v>
      </c>
      <c r="E240" s="4">
        <v>14</v>
      </c>
      <c r="F240" s="8">
        <v>2.11</v>
      </c>
      <c r="G240" s="4">
        <v>1</v>
      </c>
      <c r="H240" s="8">
        <v>0.28000000000000003</v>
      </c>
      <c r="I240" s="4">
        <v>0</v>
      </c>
    </row>
    <row r="241" spans="1:9" x14ac:dyDescent="0.2">
      <c r="A241" s="2">
        <v>15</v>
      </c>
      <c r="B241" s="1" t="s">
        <v>132</v>
      </c>
      <c r="C241" s="4">
        <v>15</v>
      </c>
      <c r="D241" s="8">
        <v>1.42</v>
      </c>
      <c r="E241" s="4">
        <v>14</v>
      </c>
      <c r="F241" s="8">
        <v>2.11</v>
      </c>
      <c r="G241" s="4">
        <v>1</v>
      </c>
      <c r="H241" s="8">
        <v>0.28000000000000003</v>
      </c>
      <c r="I241" s="4">
        <v>0</v>
      </c>
    </row>
    <row r="242" spans="1:9" x14ac:dyDescent="0.2">
      <c r="A242" s="2">
        <v>15</v>
      </c>
      <c r="B242" s="1" t="s">
        <v>156</v>
      </c>
      <c r="C242" s="4">
        <v>15</v>
      </c>
      <c r="D242" s="8">
        <v>1.42</v>
      </c>
      <c r="E242" s="4">
        <v>0</v>
      </c>
      <c r="F242" s="8">
        <v>0</v>
      </c>
      <c r="G242" s="4">
        <v>1</v>
      </c>
      <c r="H242" s="8">
        <v>0.28000000000000003</v>
      </c>
      <c r="I242" s="4">
        <v>0</v>
      </c>
    </row>
    <row r="243" spans="1:9" x14ac:dyDescent="0.2">
      <c r="A243" s="2">
        <v>18</v>
      </c>
      <c r="B243" s="1" t="s">
        <v>122</v>
      </c>
      <c r="C243" s="4">
        <v>14</v>
      </c>
      <c r="D243" s="8">
        <v>1.33</v>
      </c>
      <c r="E243" s="4">
        <v>7</v>
      </c>
      <c r="F243" s="8">
        <v>1.05</v>
      </c>
      <c r="G243" s="4">
        <v>7</v>
      </c>
      <c r="H243" s="8">
        <v>1.94</v>
      </c>
      <c r="I243" s="4">
        <v>0</v>
      </c>
    </row>
    <row r="244" spans="1:9" x14ac:dyDescent="0.2">
      <c r="A244" s="2">
        <v>18</v>
      </c>
      <c r="B244" s="1" t="s">
        <v>126</v>
      </c>
      <c r="C244" s="4">
        <v>14</v>
      </c>
      <c r="D244" s="8">
        <v>1.33</v>
      </c>
      <c r="E244" s="4">
        <v>7</v>
      </c>
      <c r="F244" s="8">
        <v>1.05</v>
      </c>
      <c r="G244" s="4">
        <v>7</v>
      </c>
      <c r="H244" s="8">
        <v>1.94</v>
      </c>
      <c r="I244" s="4">
        <v>0</v>
      </c>
    </row>
    <row r="245" spans="1:9" x14ac:dyDescent="0.2">
      <c r="A245" s="2">
        <v>18</v>
      </c>
      <c r="B245" s="1" t="s">
        <v>152</v>
      </c>
      <c r="C245" s="4">
        <v>14</v>
      </c>
      <c r="D245" s="8">
        <v>1.33</v>
      </c>
      <c r="E245" s="4">
        <v>11</v>
      </c>
      <c r="F245" s="8">
        <v>1.65</v>
      </c>
      <c r="G245" s="4">
        <v>3</v>
      </c>
      <c r="H245" s="8">
        <v>0.83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134</v>
      </c>
      <c r="C248" s="4">
        <v>54</v>
      </c>
      <c r="D248" s="8">
        <v>8.06</v>
      </c>
      <c r="E248" s="4">
        <v>51</v>
      </c>
      <c r="F248" s="8">
        <v>11.28</v>
      </c>
      <c r="G248" s="4">
        <v>3</v>
      </c>
      <c r="H248" s="8">
        <v>1.49</v>
      </c>
      <c r="I248" s="4">
        <v>0</v>
      </c>
    </row>
    <row r="249" spans="1:9" x14ac:dyDescent="0.2">
      <c r="A249" s="2">
        <v>2</v>
      </c>
      <c r="B249" s="1" t="s">
        <v>133</v>
      </c>
      <c r="C249" s="4">
        <v>37</v>
      </c>
      <c r="D249" s="8">
        <v>5.52</v>
      </c>
      <c r="E249" s="4">
        <v>36</v>
      </c>
      <c r="F249" s="8">
        <v>7.96</v>
      </c>
      <c r="G249" s="4">
        <v>1</v>
      </c>
      <c r="H249" s="8">
        <v>0.5</v>
      </c>
      <c r="I249" s="4">
        <v>0</v>
      </c>
    </row>
    <row r="250" spans="1:9" x14ac:dyDescent="0.2">
      <c r="A250" s="2">
        <v>3</v>
      </c>
      <c r="B250" s="1" t="s">
        <v>129</v>
      </c>
      <c r="C250" s="4">
        <v>32</v>
      </c>
      <c r="D250" s="8">
        <v>4.78</v>
      </c>
      <c r="E250" s="4">
        <v>22</v>
      </c>
      <c r="F250" s="8">
        <v>4.87</v>
      </c>
      <c r="G250" s="4">
        <v>10</v>
      </c>
      <c r="H250" s="8">
        <v>4.95</v>
      </c>
      <c r="I250" s="4">
        <v>0</v>
      </c>
    </row>
    <row r="251" spans="1:9" x14ac:dyDescent="0.2">
      <c r="A251" s="2">
        <v>4</v>
      </c>
      <c r="B251" s="1" t="s">
        <v>135</v>
      </c>
      <c r="C251" s="4">
        <v>25</v>
      </c>
      <c r="D251" s="8">
        <v>3.73</v>
      </c>
      <c r="E251" s="4">
        <v>22</v>
      </c>
      <c r="F251" s="8">
        <v>4.87</v>
      </c>
      <c r="G251" s="4">
        <v>3</v>
      </c>
      <c r="H251" s="8">
        <v>1.49</v>
      </c>
      <c r="I251" s="4">
        <v>0</v>
      </c>
    </row>
    <row r="252" spans="1:9" x14ac:dyDescent="0.2">
      <c r="A252" s="2">
        <v>5</v>
      </c>
      <c r="B252" s="1" t="s">
        <v>127</v>
      </c>
      <c r="C252" s="4">
        <v>21</v>
      </c>
      <c r="D252" s="8">
        <v>3.13</v>
      </c>
      <c r="E252" s="4">
        <v>18</v>
      </c>
      <c r="F252" s="8">
        <v>3.98</v>
      </c>
      <c r="G252" s="4">
        <v>3</v>
      </c>
      <c r="H252" s="8">
        <v>1.49</v>
      </c>
      <c r="I252" s="4">
        <v>0</v>
      </c>
    </row>
    <row r="253" spans="1:9" x14ac:dyDescent="0.2">
      <c r="A253" s="2">
        <v>6</v>
      </c>
      <c r="B253" s="1" t="s">
        <v>132</v>
      </c>
      <c r="C253" s="4">
        <v>20</v>
      </c>
      <c r="D253" s="8">
        <v>2.99</v>
      </c>
      <c r="E253" s="4">
        <v>19</v>
      </c>
      <c r="F253" s="8">
        <v>4.2</v>
      </c>
      <c r="G253" s="4">
        <v>1</v>
      </c>
      <c r="H253" s="8">
        <v>0.5</v>
      </c>
      <c r="I253" s="4">
        <v>0</v>
      </c>
    </row>
    <row r="254" spans="1:9" x14ac:dyDescent="0.2">
      <c r="A254" s="2">
        <v>6</v>
      </c>
      <c r="B254" s="1" t="s">
        <v>138</v>
      </c>
      <c r="C254" s="4">
        <v>20</v>
      </c>
      <c r="D254" s="8">
        <v>2.99</v>
      </c>
      <c r="E254" s="4">
        <v>20</v>
      </c>
      <c r="F254" s="8">
        <v>4.42</v>
      </c>
      <c r="G254" s="4">
        <v>0</v>
      </c>
      <c r="H254" s="8">
        <v>0</v>
      </c>
      <c r="I254" s="4">
        <v>0</v>
      </c>
    </row>
    <row r="255" spans="1:9" x14ac:dyDescent="0.2">
      <c r="A255" s="2">
        <v>8</v>
      </c>
      <c r="B255" s="1" t="s">
        <v>131</v>
      </c>
      <c r="C255" s="4">
        <v>18</v>
      </c>
      <c r="D255" s="8">
        <v>2.69</v>
      </c>
      <c r="E255" s="4">
        <v>17</v>
      </c>
      <c r="F255" s="8">
        <v>3.76</v>
      </c>
      <c r="G255" s="4">
        <v>1</v>
      </c>
      <c r="H255" s="8">
        <v>0.5</v>
      </c>
      <c r="I255" s="4">
        <v>0</v>
      </c>
    </row>
    <row r="256" spans="1:9" x14ac:dyDescent="0.2">
      <c r="A256" s="2">
        <v>9</v>
      </c>
      <c r="B256" s="1" t="s">
        <v>120</v>
      </c>
      <c r="C256" s="4">
        <v>14</v>
      </c>
      <c r="D256" s="8">
        <v>2.09</v>
      </c>
      <c r="E256" s="4">
        <v>11</v>
      </c>
      <c r="F256" s="8">
        <v>2.4300000000000002</v>
      </c>
      <c r="G256" s="4">
        <v>3</v>
      </c>
      <c r="H256" s="8">
        <v>1.49</v>
      </c>
      <c r="I256" s="4">
        <v>0</v>
      </c>
    </row>
    <row r="257" spans="1:9" x14ac:dyDescent="0.2">
      <c r="A257" s="2">
        <v>9</v>
      </c>
      <c r="B257" s="1" t="s">
        <v>124</v>
      </c>
      <c r="C257" s="4">
        <v>14</v>
      </c>
      <c r="D257" s="8">
        <v>2.09</v>
      </c>
      <c r="E257" s="4">
        <v>9</v>
      </c>
      <c r="F257" s="8">
        <v>1.99</v>
      </c>
      <c r="G257" s="4">
        <v>5</v>
      </c>
      <c r="H257" s="8">
        <v>2.48</v>
      </c>
      <c r="I257" s="4">
        <v>0</v>
      </c>
    </row>
    <row r="258" spans="1:9" x14ac:dyDescent="0.2">
      <c r="A258" s="2">
        <v>11</v>
      </c>
      <c r="B258" s="1" t="s">
        <v>118</v>
      </c>
      <c r="C258" s="4">
        <v>13</v>
      </c>
      <c r="D258" s="8">
        <v>1.94</v>
      </c>
      <c r="E258" s="4">
        <v>2</v>
      </c>
      <c r="F258" s="8">
        <v>0.44</v>
      </c>
      <c r="G258" s="4">
        <v>11</v>
      </c>
      <c r="H258" s="8">
        <v>5.45</v>
      </c>
      <c r="I258" s="4">
        <v>0</v>
      </c>
    </row>
    <row r="259" spans="1:9" x14ac:dyDescent="0.2">
      <c r="A259" s="2">
        <v>12</v>
      </c>
      <c r="B259" s="1" t="s">
        <v>122</v>
      </c>
      <c r="C259" s="4">
        <v>11</v>
      </c>
      <c r="D259" s="8">
        <v>1.64</v>
      </c>
      <c r="E259" s="4">
        <v>2</v>
      </c>
      <c r="F259" s="8">
        <v>0.44</v>
      </c>
      <c r="G259" s="4">
        <v>9</v>
      </c>
      <c r="H259" s="8">
        <v>4.46</v>
      </c>
      <c r="I259" s="4">
        <v>0</v>
      </c>
    </row>
    <row r="260" spans="1:9" x14ac:dyDescent="0.2">
      <c r="A260" s="2">
        <v>12</v>
      </c>
      <c r="B260" s="1" t="s">
        <v>123</v>
      </c>
      <c r="C260" s="4">
        <v>11</v>
      </c>
      <c r="D260" s="8">
        <v>1.64</v>
      </c>
      <c r="E260" s="4">
        <v>6</v>
      </c>
      <c r="F260" s="8">
        <v>1.33</v>
      </c>
      <c r="G260" s="4">
        <v>5</v>
      </c>
      <c r="H260" s="8">
        <v>2.48</v>
      </c>
      <c r="I260" s="4">
        <v>0</v>
      </c>
    </row>
    <row r="261" spans="1:9" x14ac:dyDescent="0.2">
      <c r="A261" s="2">
        <v>12</v>
      </c>
      <c r="B261" s="1" t="s">
        <v>126</v>
      </c>
      <c r="C261" s="4">
        <v>11</v>
      </c>
      <c r="D261" s="8">
        <v>1.64</v>
      </c>
      <c r="E261" s="4">
        <v>3</v>
      </c>
      <c r="F261" s="8">
        <v>0.66</v>
      </c>
      <c r="G261" s="4">
        <v>8</v>
      </c>
      <c r="H261" s="8">
        <v>3.96</v>
      </c>
      <c r="I261" s="4">
        <v>0</v>
      </c>
    </row>
    <row r="262" spans="1:9" x14ac:dyDescent="0.2">
      <c r="A262" s="2">
        <v>12</v>
      </c>
      <c r="B262" s="1" t="s">
        <v>136</v>
      </c>
      <c r="C262" s="4">
        <v>11</v>
      </c>
      <c r="D262" s="8">
        <v>1.64</v>
      </c>
      <c r="E262" s="4">
        <v>11</v>
      </c>
      <c r="F262" s="8">
        <v>2.4300000000000002</v>
      </c>
      <c r="G262" s="4">
        <v>0</v>
      </c>
      <c r="H262" s="8">
        <v>0</v>
      </c>
      <c r="I262" s="4">
        <v>0</v>
      </c>
    </row>
    <row r="263" spans="1:9" x14ac:dyDescent="0.2">
      <c r="A263" s="2">
        <v>16</v>
      </c>
      <c r="B263" s="1" t="s">
        <v>119</v>
      </c>
      <c r="C263" s="4">
        <v>10</v>
      </c>
      <c r="D263" s="8">
        <v>1.49</v>
      </c>
      <c r="E263" s="4">
        <v>4</v>
      </c>
      <c r="F263" s="8">
        <v>0.88</v>
      </c>
      <c r="G263" s="4">
        <v>6</v>
      </c>
      <c r="H263" s="8">
        <v>2.97</v>
      </c>
      <c r="I263" s="4">
        <v>0</v>
      </c>
    </row>
    <row r="264" spans="1:9" x14ac:dyDescent="0.2">
      <c r="A264" s="2">
        <v>16</v>
      </c>
      <c r="B264" s="1" t="s">
        <v>157</v>
      </c>
      <c r="C264" s="4">
        <v>10</v>
      </c>
      <c r="D264" s="8">
        <v>1.49</v>
      </c>
      <c r="E264" s="4">
        <v>8</v>
      </c>
      <c r="F264" s="8">
        <v>1.77</v>
      </c>
      <c r="G264" s="4">
        <v>2</v>
      </c>
      <c r="H264" s="8">
        <v>0.99</v>
      </c>
      <c r="I264" s="4">
        <v>0</v>
      </c>
    </row>
    <row r="265" spans="1:9" x14ac:dyDescent="0.2">
      <c r="A265" s="2">
        <v>16</v>
      </c>
      <c r="B265" s="1" t="s">
        <v>125</v>
      </c>
      <c r="C265" s="4">
        <v>10</v>
      </c>
      <c r="D265" s="8">
        <v>1.49</v>
      </c>
      <c r="E265" s="4">
        <v>7</v>
      </c>
      <c r="F265" s="8">
        <v>1.55</v>
      </c>
      <c r="G265" s="4">
        <v>3</v>
      </c>
      <c r="H265" s="8">
        <v>1.49</v>
      </c>
      <c r="I265" s="4">
        <v>0</v>
      </c>
    </row>
    <row r="266" spans="1:9" x14ac:dyDescent="0.2">
      <c r="A266" s="2">
        <v>16</v>
      </c>
      <c r="B266" s="1" t="s">
        <v>130</v>
      </c>
      <c r="C266" s="4">
        <v>10</v>
      </c>
      <c r="D266" s="8">
        <v>1.49</v>
      </c>
      <c r="E266" s="4">
        <v>7</v>
      </c>
      <c r="F266" s="8">
        <v>1.55</v>
      </c>
      <c r="G266" s="4">
        <v>3</v>
      </c>
      <c r="H266" s="8">
        <v>1.49</v>
      </c>
      <c r="I266" s="4">
        <v>0</v>
      </c>
    </row>
    <row r="267" spans="1:9" x14ac:dyDescent="0.2">
      <c r="A267" s="2">
        <v>20</v>
      </c>
      <c r="B267" s="1" t="s">
        <v>121</v>
      </c>
      <c r="C267" s="4">
        <v>9</v>
      </c>
      <c r="D267" s="8">
        <v>1.34</v>
      </c>
      <c r="E267" s="4">
        <v>6</v>
      </c>
      <c r="F267" s="8">
        <v>1.33</v>
      </c>
      <c r="G267" s="4">
        <v>3</v>
      </c>
      <c r="H267" s="8">
        <v>1.49</v>
      </c>
      <c r="I267" s="4">
        <v>0</v>
      </c>
    </row>
    <row r="268" spans="1:9" x14ac:dyDescent="0.2">
      <c r="A268" s="2">
        <v>20</v>
      </c>
      <c r="B268" s="1" t="s">
        <v>139</v>
      </c>
      <c r="C268" s="4">
        <v>9</v>
      </c>
      <c r="D268" s="8">
        <v>1.34</v>
      </c>
      <c r="E268" s="4">
        <v>6</v>
      </c>
      <c r="F268" s="8">
        <v>1.33</v>
      </c>
      <c r="G268" s="4">
        <v>3</v>
      </c>
      <c r="H268" s="8">
        <v>1.49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134</v>
      </c>
      <c r="C271" s="4">
        <v>49</v>
      </c>
      <c r="D271" s="8">
        <v>5.25</v>
      </c>
      <c r="E271" s="4">
        <v>49</v>
      </c>
      <c r="F271" s="8">
        <v>8.6</v>
      </c>
      <c r="G271" s="4">
        <v>0</v>
      </c>
      <c r="H271" s="8">
        <v>0</v>
      </c>
      <c r="I271" s="4">
        <v>0</v>
      </c>
    </row>
    <row r="272" spans="1:9" x14ac:dyDescent="0.2">
      <c r="A272" s="2">
        <v>2</v>
      </c>
      <c r="B272" s="1" t="s">
        <v>133</v>
      </c>
      <c r="C272" s="4">
        <v>45</v>
      </c>
      <c r="D272" s="8">
        <v>4.82</v>
      </c>
      <c r="E272" s="4">
        <v>43</v>
      </c>
      <c r="F272" s="8">
        <v>7.54</v>
      </c>
      <c r="G272" s="4">
        <v>2</v>
      </c>
      <c r="H272" s="8">
        <v>0.57999999999999996</v>
      </c>
      <c r="I272" s="4">
        <v>0</v>
      </c>
    </row>
    <row r="273" spans="1:9" x14ac:dyDescent="0.2">
      <c r="A273" s="2">
        <v>3</v>
      </c>
      <c r="B273" s="1" t="s">
        <v>129</v>
      </c>
      <c r="C273" s="4">
        <v>40</v>
      </c>
      <c r="D273" s="8">
        <v>4.28</v>
      </c>
      <c r="E273" s="4">
        <v>31</v>
      </c>
      <c r="F273" s="8">
        <v>5.44</v>
      </c>
      <c r="G273" s="4">
        <v>9</v>
      </c>
      <c r="H273" s="8">
        <v>2.62</v>
      </c>
      <c r="I273" s="4">
        <v>0</v>
      </c>
    </row>
    <row r="274" spans="1:9" x14ac:dyDescent="0.2">
      <c r="A274" s="2">
        <v>4</v>
      </c>
      <c r="B274" s="1" t="s">
        <v>118</v>
      </c>
      <c r="C274" s="4">
        <v>29</v>
      </c>
      <c r="D274" s="8">
        <v>3.1</v>
      </c>
      <c r="E274" s="4">
        <v>9</v>
      </c>
      <c r="F274" s="8">
        <v>1.58</v>
      </c>
      <c r="G274" s="4">
        <v>20</v>
      </c>
      <c r="H274" s="8">
        <v>5.81</v>
      </c>
      <c r="I274" s="4">
        <v>0</v>
      </c>
    </row>
    <row r="275" spans="1:9" x14ac:dyDescent="0.2">
      <c r="A275" s="2">
        <v>5</v>
      </c>
      <c r="B275" s="1" t="s">
        <v>136</v>
      </c>
      <c r="C275" s="4">
        <v>27</v>
      </c>
      <c r="D275" s="8">
        <v>2.89</v>
      </c>
      <c r="E275" s="4">
        <v>20</v>
      </c>
      <c r="F275" s="8">
        <v>3.51</v>
      </c>
      <c r="G275" s="4">
        <v>7</v>
      </c>
      <c r="H275" s="8">
        <v>2.0299999999999998</v>
      </c>
      <c r="I275" s="4">
        <v>0</v>
      </c>
    </row>
    <row r="276" spans="1:9" x14ac:dyDescent="0.2">
      <c r="A276" s="2">
        <v>6</v>
      </c>
      <c r="B276" s="1" t="s">
        <v>123</v>
      </c>
      <c r="C276" s="4">
        <v>25</v>
      </c>
      <c r="D276" s="8">
        <v>2.68</v>
      </c>
      <c r="E276" s="4">
        <v>20</v>
      </c>
      <c r="F276" s="8">
        <v>3.51</v>
      </c>
      <c r="G276" s="4">
        <v>5</v>
      </c>
      <c r="H276" s="8">
        <v>1.45</v>
      </c>
      <c r="I276" s="4">
        <v>0</v>
      </c>
    </row>
    <row r="277" spans="1:9" x14ac:dyDescent="0.2">
      <c r="A277" s="2">
        <v>7</v>
      </c>
      <c r="B277" s="1" t="s">
        <v>124</v>
      </c>
      <c r="C277" s="4">
        <v>24</v>
      </c>
      <c r="D277" s="8">
        <v>2.57</v>
      </c>
      <c r="E277" s="4">
        <v>21</v>
      </c>
      <c r="F277" s="8">
        <v>3.68</v>
      </c>
      <c r="G277" s="4">
        <v>3</v>
      </c>
      <c r="H277" s="8">
        <v>0.87</v>
      </c>
      <c r="I277" s="4">
        <v>0</v>
      </c>
    </row>
    <row r="278" spans="1:9" x14ac:dyDescent="0.2">
      <c r="A278" s="2">
        <v>8</v>
      </c>
      <c r="B278" s="1" t="s">
        <v>121</v>
      </c>
      <c r="C278" s="4">
        <v>21</v>
      </c>
      <c r="D278" s="8">
        <v>2.25</v>
      </c>
      <c r="E278" s="4">
        <v>8</v>
      </c>
      <c r="F278" s="8">
        <v>1.4</v>
      </c>
      <c r="G278" s="4">
        <v>13</v>
      </c>
      <c r="H278" s="8">
        <v>3.78</v>
      </c>
      <c r="I278" s="4">
        <v>0</v>
      </c>
    </row>
    <row r="279" spans="1:9" x14ac:dyDescent="0.2">
      <c r="A279" s="2">
        <v>9</v>
      </c>
      <c r="B279" s="1" t="s">
        <v>120</v>
      </c>
      <c r="C279" s="4">
        <v>19</v>
      </c>
      <c r="D279" s="8">
        <v>2.0299999999999998</v>
      </c>
      <c r="E279" s="4">
        <v>14</v>
      </c>
      <c r="F279" s="8">
        <v>2.46</v>
      </c>
      <c r="G279" s="4">
        <v>5</v>
      </c>
      <c r="H279" s="8">
        <v>1.45</v>
      </c>
      <c r="I279" s="4">
        <v>0</v>
      </c>
    </row>
    <row r="280" spans="1:9" x14ac:dyDescent="0.2">
      <c r="A280" s="2">
        <v>9</v>
      </c>
      <c r="B280" s="1" t="s">
        <v>158</v>
      </c>
      <c r="C280" s="4">
        <v>19</v>
      </c>
      <c r="D280" s="8">
        <v>2.0299999999999998</v>
      </c>
      <c r="E280" s="4">
        <v>11</v>
      </c>
      <c r="F280" s="8">
        <v>1.93</v>
      </c>
      <c r="G280" s="4">
        <v>8</v>
      </c>
      <c r="H280" s="8">
        <v>2.33</v>
      </c>
      <c r="I280" s="4">
        <v>0</v>
      </c>
    </row>
    <row r="281" spans="1:9" x14ac:dyDescent="0.2">
      <c r="A281" s="2">
        <v>11</v>
      </c>
      <c r="B281" s="1" t="s">
        <v>122</v>
      </c>
      <c r="C281" s="4">
        <v>17</v>
      </c>
      <c r="D281" s="8">
        <v>1.82</v>
      </c>
      <c r="E281" s="4">
        <v>5</v>
      </c>
      <c r="F281" s="8">
        <v>0.88</v>
      </c>
      <c r="G281" s="4">
        <v>12</v>
      </c>
      <c r="H281" s="8">
        <v>3.49</v>
      </c>
      <c r="I281" s="4">
        <v>0</v>
      </c>
    </row>
    <row r="282" spans="1:9" x14ac:dyDescent="0.2">
      <c r="A282" s="2">
        <v>11</v>
      </c>
      <c r="B282" s="1" t="s">
        <v>132</v>
      </c>
      <c r="C282" s="4">
        <v>17</v>
      </c>
      <c r="D282" s="8">
        <v>1.82</v>
      </c>
      <c r="E282" s="4">
        <v>16</v>
      </c>
      <c r="F282" s="8">
        <v>2.81</v>
      </c>
      <c r="G282" s="4">
        <v>1</v>
      </c>
      <c r="H282" s="8">
        <v>0.28999999999999998</v>
      </c>
      <c r="I282" s="4">
        <v>0</v>
      </c>
    </row>
    <row r="283" spans="1:9" x14ac:dyDescent="0.2">
      <c r="A283" s="2">
        <v>11</v>
      </c>
      <c r="B283" s="1" t="s">
        <v>137</v>
      </c>
      <c r="C283" s="4">
        <v>17</v>
      </c>
      <c r="D283" s="8">
        <v>1.82</v>
      </c>
      <c r="E283" s="4">
        <v>16</v>
      </c>
      <c r="F283" s="8">
        <v>2.81</v>
      </c>
      <c r="G283" s="4">
        <v>1</v>
      </c>
      <c r="H283" s="8">
        <v>0.28999999999999998</v>
      </c>
      <c r="I283" s="4">
        <v>0</v>
      </c>
    </row>
    <row r="284" spans="1:9" x14ac:dyDescent="0.2">
      <c r="A284" s="2">
        <v>14</v>
      </c>
      <c r="B284" s="1" t="s">
        <v>119</v>
      </c>
      <c r="C284" s="4">
        <v>16</v>
      </c>
      <c r="D284" s="8">
        <v>1.71</v>
      </c>
      <c r="E284" s="4">
        <v>6</v>
      </c>
      <c r="F284" s="8">
        <v>1.05</v>
      </c>
      <c r="G284" s="4">
        <v>10</v>
      </c>
      <c r="H284" s="8">
        <v>2.91</v>
      </c>
      <c r="I284" s="4">
        <v>0</v>
      </c>
    </row>
    <row r="285" spans="1:9" x14ac:dyDescent="0.2">
      <c r="A285" s="2">
        <v>14</v>
      </c>
      <c r="B285" s="1" t="s">
        <v>127</v>
      </c>
      <c r="C285" s="4">
        <v>16</v>
      </c>
      <c r="D285" s="8">
        <v>1.71</v>
      </c>
      <c r="E285" s="4">
        <v>10</v>
      </c>
      <c r="F285" s="8">
        <v>1.75</v>
      </c>
      <c r="G285" s="4">
        <v>6</v>
      </c>
      <c r="H285" s="8">
        <v>1.74</v>
      </c>
      <c r="I285" s="4">
        <v>0</v>
      </c>
    </row>
    <row r="286" spans="1:9" x14ac:dyDescent="0.2">
      <c r="A286" s="2">
        <v>14</v>
      </c>
      <c r="B286" s="1" t="s">
        <v>131</v>
      </c>
      <c r="C286" s="4">
        <v>16</v>
      </c>
      <c r="D286" s="8">
        <v>1.71</v>
      </c>
      <c r="E286" s="4">
        <v>12</v>
      </c>
      <c r="F286" s="8">
        <v>2.11</v>
      </c>
      <c r="G286" s="4">
        <v>4</v>
      </c>
      <c r="H286" s="8">
        <v>1.1599999999999999</v>
      </c>
      <c r="I286" s="4">
        <v>0</v>
      </c>
    </row>
    <row r="287" spans="1:9" x14ac:dyDescent="0.2">
      <c r="A287" s="2">
        <v>14</v>
      </c>
      <c r="B287" s="1" t="s">
        <v>141</v>
      </c>
      <c r="C287" s="4">
        <v>16</v>
      </c>
      <c r="D287" s="8">
        <v>1.71</v>
      </c>
      <c r="E287" s="4">
        <v>13</v>
      </c>
      <c r="F287" s="8">
        <v>2.2799999999999998</v>
      </c>
      <c r="G287" s="4">
        <v>3</v>
      </c>
      <c r="H287" s="8">
        <v>0.87</v>
      </c>
      <c r="I287" s="4">
        <v>0</v>
      </c>
    </row>
    <row r="288" spans="1:9" x14ac:dyDescent="0.2">
      <c r="A288" s="2">
        <v>18</v>
      </c>
      <c r="B288" s="1" t="s">
        <v>147</v>
      </c>
      <c r="C288" s="4">
        <v>14</v>
      </c>
      <c r="D288" s="8">
        <v>1.5</v>
      </c>
      <c r="E288" s="4">
        <v>9</v>
      </c>
      <c r="F288" s="8">
        <v>1.58</v>
      </c>
      <c r="G288" s="4">
        <v>5</v>
      </c>
      <c r="H288" s="8">
        <v>1.45</v>
      </c>
      <c r="I288" s="4">
        <v>0</v>
      </c>
    </row>
    <row r="289" spans="1:9" x14ac:dyDescent="0.2">
      <c r="A289" s="2">
        <v>18</v>
      </c>
      <c r="B289" s="1" t="s">
        <v>125</v>
      </c>
      <c r="C289" s="4">
        <v>14</v>
      </c>
      <c r="D289" s="8">
        <v>1.5</v>
      </c>
      <c r="E289" s="4">
        <v>10</v>
      </c>
      <c r="F289" s="8">
        <v>1.75</v>
      </c>
      <c r="G289" s="4">
        <v>4</v>
      </c>
      <c r="H289" s="8">
        <v>1.1599999999999999</v>
      </c>
      <c r="I289" s="4">
        <v>0</v>
      </c>
    </row>
    <row r="290" spans="1:9" x14ac:dyDescent="0.2">
      <c r="A290" s="2">
        <v>20</v>
      </c>
      <c r="B290" s="1" t="s">
        <v>126</v>
      </c>
      <c r="C290" s="4">
        <v>13</v>
      </c>
      <c r="D290" s="8">
        <v>1.39</v>
      </c>
      <c r="E290" s="4">
        <v>4</v>
      </c>
      <c r="F290" s="8">
        <v>0.7</v>
      </c>
      <c r="G290" s="4">
        <v>9</v>
      </c>
      <c r="H290" s="8">
        <v>2.62</v>
      </c>
      <c r="I290" s="4">
        <v>0</v>
      </c>
    </row>
    <row r="291" spans="1:9" x14ac:dyDescent="0.2">
      <c r="A291" s="2">
        <v>20</v>
      </c>
      <c r="B291" s="1" t="s">
        <v>159</v>
      </c>
      <c r="C291" s="4">
        <v>13</v>
      </c>
      <c r="D291" s="8">
        <v>1.39</v>
      </c>
      <c r="E291" s="4">
        <v>13</v>
      </c>
      <c r="F291" s="8">
        <v>2.2799999999999998</v>
      </c>
      <c r="G291" s="4">
        <v>0</v>
      </c>
      <c r="H291" s="8">
        <v>0</v>
      </c>
      <c r="I291" s="4">
        <v>0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134</v>
      </c>
      <c r="C294" s="4">
        <v>111</v>
      </c>
      <c r="D294" s="8">
        <v>5.42</v>
      </c>
      <c r="E294" s="4">
        <v>101</v>
      </c>
      <c r="F294" s="8">
        <v>7.53</v>
      </c>
      <c r="G294" s="4">
        <v>10</v>
      </c>
      <c r="H294" s="8">
        <v>1.43</v>
      </c>
      <c r="I294" s="4">
        <v>0</v>
      </c>
    </row>
    <row r="295" spans="1:9" x14ac:dyDescent="0.2">
      <c r="A295" s="2">
        <v>2</v>
      </c>
      <c r="B295" s="1" t="s">
        <v>160</v>
      </c>
      <c r="C295" s="4">
        <v>95</v>
      </c>
      <c r="D295" s="8">
        <v>4.6399999999999997</v>
      </c>
      <c r="E295" s="4">
        <v>89</v>
      </c>
      <c r="F295" s="8">
        <v>6.63</v>
      </c>
      <c r="G295" s="4">
        <v>6</v>
      </c>
      <c r="H295" s="8">
        <v>0.86</v>
      </c>
      <c r="I295" s="4">
        <v>0</v>
      </c>
    </row>
    <row r="296" spans="1:9" x14ac:dyDescent="0.2">
      <c r="A296" s="2">
        <v>3</v>
      </c>
      <c r="B296" s="1" t="s">
        <v>129</v>
      </c>
      <c r="C296" s="4">
        <v>87</v>
      </c>
      <c r="D296" s="8">
        <v>4.25</v>
      </c>
      <c r="E296" s="4">
        <v>71</v>
      </c>
      <c r="F296" s="8">
        <v>5.29</v>
      </c>
      <c r="G296" s="4">
        <v>16</v>
      </c>
      <c r="H296" s="8">
        <v>2.29</v>
      </c>
      <c r="I296" s="4">
        <v>0</v>
      </c>
    </row>
    <row r="297" spans="1:9" x14ac:dyDescent="0.2">
      <c r="A297" s="2">
        <v>4</v>
      </c>
      <c r="B297" s="1" t="s">
        <v>120</v>
      </c>
      <c r="C297" s="4">
        <v>72</v>
      </c>
      <c r="D297" s="8">
        <v>3.52</v>
      </c>
      <c r="E297" s="4">
        <v>55</v>
      </c>
      <c r="F297" s="8">
        <v>4.0999999999999996</v>
      </c>
      <c r="G297" s="4">
        <v>17</v>
      </c>
      <c r="H297" s="8">
        <v>2.44</v>
      </c>
      <c r="I297" s="4">
        <v>0</v>
      </c>
    </row>
    <row r="298" spans="1:9" x14ac:dyDescent="0.2">
      <c r="A298" s="2">
        <v>4</v>
      </c>
      <c r="B298" s="1" t="s">
        <v>133</v>
      </c>
      <c r="C298" s="4">
        <v>72</v>
      </c>
      <c r="D298" s="8">
        <v>3.52</v>
      </c>
      <c r="E298" s="4">
        <v>67</v>
      </c>
      <c r="F298" s="8">
        <v>4.99</v>
      </c>
      <c r="G298" s="4">
        <v>5</v>
      </c>
      <c r="H298" s="8">
        <v>0.72</v>
      </c>
      <c r="I298" s="4">
        <v>0</v>
      </c>
    </row>
    <row r="299" spans="1:9" x14ac:dyDescent="0.2">
      <c r="A299" s="2">
        <v>6</v>
      </c>
      <c r="B299" s="1" t="s">
        <v>127</v>
      </c>
      <c r="C299" s="4">
        <v>49</v>
      </c>
      <c r="D299" s="8">
        <v>2.39</v>
      </c>
      <c r="E299" s="4">
        <v>35</v>
      </c>
      <c r="F299" s="8">
        <v>2.61</v>
      </c>
      <c r="G299" s="4">
        <v>14</v>
      </c>
      <c r="H299" s="8">
        <v>2.0099999999999998</v>
      </c>
      <c r="I299" s="4">
        <v>0</v>
      </c>
    </row>
    <row r="300" spans="1:9" x14ac:dyDescent="0.2">
      <c r="A300" s="2">
        <v>7</v>
      </c>
      <c r="B300" s="1" t="s">
        <v>137</v>
      </c>
      <c r="C300" s="4">
        <v>48</v>
      </c>
      <c r="D300" s="8">
        <v>2.34</v>
      </c>
      <c r="E300" s="4">
        <v>41</v>
      </c>
      <c r="F300" s="8">
        <v>3.06</v>
      </c>
      <c r="G300" s="4">
        <v>7</v>
      </c>
      <c r="H300" s="8">
        <v>1</v>
      </c>
      <c r="I300" s="4">
        <v>0</v>
      </c>
    </row>
    <row r="301" spans="1:9" x14ac:dyDescent="0.2">
      <c r="A301" s="2">
        <v>8</v>
      </c>
      <c r="B301" s="1" t="s">
        <v>135</v>
      </c>
      <c r="C301" s="4">
        <v>46</v>
      </c>
      <c r="D301" s="8">
        <v>2.25</v>
      </c>
      <c r="E301" s="4">
        <v>37</v>
      </c>
      <c r="F301" s="8">
        <v>2.76</v>
      </c>
      <c r="G301" s="4">
        <v>9</v>
      </c>
      <c r="H301" s="8">
        <v>1.29</v>
      </c>
      <c r="I301" s="4">
        <v>0</v>
      </c>
    </row>
    <row r="302" spans="1:9" x14ac:dyDescent="0.2">
      <c r="A302" s="2">
        <v>9</v>
      </c>
      <c r="B302" s="1" t="s">
        <v>123</v>
      </c>
      <c r="C302" s="4">
        <v>43</v>
      </c>
      <c r="D302" s="8">
        <v>2.1</v>
      </c>
      <c r="E302" s="4">
        <v>38</v>
      </c>
      <c r="F302" s="8">
        <v>2.83</v>
      </c>
      <c r="G302" s="4">
        <v>5</v>
      </c>
      <c r="H302" s="8">
        <v>0.72</v>
      </c>
      <c r="I302" s="4">
        <v>0</v>
      </c>
    </row>
    <row r="303" spans="1:9" x14ac:dyDescent="0.2">
      <c r="A303" s="2">
        <v>10</v>
      </c>
      <c r="B303" s="1" t="s">
        <v>118</v>
      </c>
      <c r="C303" s="4">
        <v>41</v>
      </c>
      <c r="D303" s="8">
        <v>2</v>
      </c>
      <c r="E303" s="4">
        <v>14</v>
      </c>
      <c r="F303" s="8">
        <v>1.04</v>
      </c>
      <c r="G303" s="4">
        <v>27</v>
      </c>
      <c r="H303" s="8">
        <v>3.87</v>
      </c>
      <c r="I303" s="4">
        <v>0</v>
      </c>
    </row>
    <row r="304" spans="1:9" x14ac:dyDescent="0.2">
      <c r="A304" s="2">
        <v>10</v>
      </c>
      <c r="B304" s="1" t="s">
        <v>131</v>
      </c>
      <c r="C304" s="4">
        <v>41</v>
      </c>
      <c r="D304" s="8">
        <v>2</v>
      </c>
      <c r="E304" s="4">
        <v>34</v>
      </c>
      <c r="F304" s="8">
        <v>2.5299999999999998</v>
      </c>
      <c r="G304" s="4">
        <v>7</v>
      </c>
      <c r="H304" s="8">
        <v>1</v>
      </c>
      <c r="I304" s="4">
        <v>0</v>
      </c>
    </row>
    <row r="305" spans="1:9" x14ac:dyDescent="0.2">
      <c r="A305" s="2">
        <v>12</v>
      </c>
      <c r="B305" s="1" t="s">
        <v>161</v>
      </c>
      <c r="C305" s="4">
        <v>40</v>
      </c>
      <c r="D305" s="8">
        <v>1.95</v>
      </c>
      <c r="E305" s="4">
        <v>16</v>
      </c>
      <c r="F305" s="8">
        <v>1.19</v>
      </c>
      <c r="G305" s="4">
        <v>24</v>
      </c>
      <c r="H305" s="8">
        <v>3.44</v>
      </c>
      <c r="I305" s="4">
        <v>0</v>
      </c>
    </row>
    <row r="306" spans="1:9" x14ac:dyDescent="0.2">
      <c r="A306" s="2">
        <v>13</v>
      </c>
      <c r="B306" s="1" t="s">
        <v>124</v>
      </c>
      <c r="C306" s="4">
        <v>38</v>
      </c>
      <c r="D306" s="8">
        <v>1.86</v>
      </c>
      <c r="E306" s="4">
        <v>23</v>
      </c>
      <c r="F306" s="8">
        <v>1.71</v>
      </c>
      <c r="G306" s="4">
        <v>15</v>
      </c>
      <c r="H306" s="8">
        <v>2.15</v>
      </c>
      <c r="I306" s="4">
        <v>0</v>
      </c>
    </row>
    <row r="307" spans="1:9" x14ac:dyDescent="0.2">
      <c r="A307" s="2">
        <v>14</v>
      </c>
      <c r="B307" s="1" t="s">
        <v>132</v>
      </c>
      <c r="C307" s="4">
        <v>36</v>
      </c>
      <c r="D307" s="8">
        <v>1.76</v>
      </c>
      <c r="E307" s="4">
        <v>35</v>
      </c>
      <c r="F307" s="8">
        <v>2.61</v>
      </c>
      <c r="G307" s="4">
        <v>1</v>
      </c>
      <c r="H307" s="8">
        <v>0.14000000000000001</v>
      </c>
      <c r="I307" s="4">
        <v>0</v>
      </c>
    </row>
    <row r="308" spans="1:9" x14ac:dyDescent="0.2">
      <c r="A308" s="2">
        <v>15</v>
      </c>
      <c r="B308" s="1" t="s">
        <v>121</v>
      </c>
      <c r="C308" s="4">
        <v>35</v>
      </c>
      <c r="D308" s="8">
        <v>1.71</v>
      </c>
      <c r="E308" s="4">
        <v>20</v>
      </c>
      <c r="F308" s="8">
        <v>1.49</v>
      </c>
      <c r="G308" s="4">
        <v>15</v>
      </c>
      <c r="H308" s="8">
        <v>2.15</v>
      </c>
      <c r="I308" s="4">
        <v>0</v>
      </c>
    </row>
    <row r="309" spans="1:9" x14ac:dyDescent="0.2">
      <c r="A309" s="2">
        <v>16</v>
      </c>
      <c r="B309" s="1" t="s">
        <v>162</v>
      </c>
      <c r="C309" s="4">
        <v>32</v>
      </c>
      <c r="D309" s="8">
        <v>1.56</v>
      </c>
      <c r="E309" s="4">
        <v>21</v>
      </c>
      <c r="F309" s="8">
        <v>1.56</v>
      </c>
      <c r="G309" s="4">
        <v>10</v>
      </c>
      <c r="H309" s="8">
        <v>1.43</v>
      </c>
      <c r="I309" s="4">
        <v>1</v>
      </c>
    </row>
    <row r="310" spans="1:9" x14ac:dyDescent="0.2">
      <c r="A310" s="2">
        <v>17</v>
      </c>
      <c r="B310" s="1" t="s">
        <v>136</v>
      </c>
      <c r="C310" s="4">
        <v>30</v>
      </c>
      <c r="D310" s="8">
        <v>1.47</v>
      </c>
      <c r="E310" s="4">
        <v>27</v>
      </c>
      <c r="F310" s="8">
        <v>2.0099999999999998</v>
      </c>
      <c r="G310" s="4">
        <v>2</v>
      </c>
      <c r="H310" s="8">
        <v>0.28999999999999998</v>
      </c>
      <c r="I310" s="4">
        <v>1</v>
      </c>
    </row>
    <row r="311" spans="1:9" x14ac:dyDescent="0.2">
      <c r="A311" s="2">
        <v>18</v>
      </c>
      <c r="B311" s="1" t="s">
        <v>146</v>
      </c>
      <c r="C311" s="4">
        <v>28</v>
      </c>
      <c r="D311" s="8">
        <v>1.37</v>
      </c>
      <c r="E311" s="4">
        <v>10</v>
      </c>
      <c r="F311" s="8">
        <v>0.75</v>
      </c>
      <c r="G311" s="4">
        <v>18</v>
      </c>
      <c r="H311" s="8">
        <v>2.58</v>
      </c>
      <c r="I311" s="4">
        <v>0</v>
      </c>
    </row>
    <row r="312" spans="1:9" x14ac:dyDescent="0.2">
      <c r="A312" s="2">
        <v>18</v>
      </c>
      <c r="B312" s="1" t="s">
        <v>154</v>
      </c>
      <c r="C312" s="4">
        <v>28</v>
      </c>
      <c r="D312" s="8">
        <v>1.37</v>
      </c>
      <c r="E312" s="4">
        <v>18</v>
      </c>
      <c r="F312" s="8">
        <v>1.34</v>
      </c>
      <c r="G312" s="4">
        <v>10</v>
      </c>
      <c r="H312" s="8">
        <v>1.43</v>
      </c>
      <c r="I312" s="4">
        <v>0</v>
      </c>
    </row>
    <row r="313" spans="1:9" x14ac:dyDescent="0.2">
      <c r="A313" s="2">
        <v>18</v>
      </c>
      <c r="B313" s="1" t="s">
        <v>130</v>
      </c>
      <c r="C313" s="4">
        <v>28</v>
      </c>
      <c r="D313" s="8">
        <v>1.37</v>
      </c>
      <c r="E313" s="4">
        <v>17</v>
      </c>
      <c r="F313" s="8">
        <v>1.27</v>
      </c>
      <c r="G313" s="4">
        <v>11</v>
      </c>
      <c r="H313" s="8">
        <v>1.58</v>
      </c>
      <c r="I313" s="4">
        <v>0</v>
      </c>
    </row>
    <row r="314" spans="1:9" x14ac:dyDescent="0.2">
      <c r="A314" s="1"/>
      <c r="C314" s="4"/>
      <c r="D314" s="8"/>
      <c r="E314" s="4"/>
      <c r="F314" s="8"/>
      <c r="G314" s="4"/>
      <c r="H314" s="8"/>
      <c r="I314" s="4"/>
    </row>
    <row r="315" spans="1:9" x14ac:dyDescent="0.2">
      <c r="A315" s="1" t="s">
        <v>14</v>
      </c>
      <c r="C315" s="4"/>
      <c r="D315" s="8"/>
      <c r="E315" s="4"/>
      <c r="F315" s="8"/>
      <c r="G315" s="4"/>
      <c r="H315" s="8"/>
      <c r="I315" s="4"/>
    </row>
    <row r="316" spans="1:9" x14ac:dyDescent="0.2">
      <c r="A316" s="2">
        <v>1</v>
      </c>
      <c r="B316" s="1" t="s">
        <v>134</v>
      </c>
      <c r="C316" s="4">
        <v>86</v>
      </c>
      <c r="D316" s="8">
        <v>5.05</v>
      </c>
      <c r="E316" s="4">
        <v>84</v>
      </c>
      <c r="F316" s="8">
        <v>9.39</v>
      </c>
      <c r="G316" s="4">
        <v>2</v>
      </c>
      <c r="H316" s="8">
        <v>0.25</v>
      </c>
      <c r="I316" s="4">
        <v>0</v>
      </c>
    </row>
    <row r="317" spans="1:9" x14ac:dyDescent="0.2">
      <c r="A317" s="2">
        <v>2</v>
      </c>
      <c r="B317" s="1" t="s">
        <v>133</v>
      </c>
      <c r="C317" s="4">
        <v>74</v>
      </c>
      <c r="D317" s="8">
        <v>4.3499999999999996</v>
      </c>
      <c r="E317" s="4">
        <v>65</v>
      </c>
      <c r="F317" s="8">
        <v>7.26</v>
      </c>
      <c r="G317" s="4">
        <v>9</v>
      </c>
      <c r="H317" s="8">
        <v>1.1499999999999999</v>
      </c>
      <c r="I317" s="4">
        <v>0</v>
      </c>
    </row>
    <row r="318" spans="1:9" x14ac:dyDescent="0.2">
      <c r="A318" s="2">
        <v>3</v>
      </c>
      <c r="B318" s="1" t="s">
        <v>136</v>
      </c>
      <c r="C318" s="4">
        <v>58</v>
      </c>
      <c r="D318" s="8">
        <v>3.41</v>
      </c>
      <c r="E318" s="4">
        <v>53</v>
      </c>
      <c r="F318" s="8">
        <v>5.92</v>
      </c>
      <c r="G318" s="4">
        <v>5</v>
      </c>
      <c r="H318" s="8">
        <v>0.64</v>
      </c>
      <c r="I318" s="4">
        <v>0</v>
      </c>
    </row>
    <row r="319" spans="1:9" x14ac:dyDescent="0.2">
      <c r="A319" s="2">
        <v>4</v>
      </c>
      <c r="B319" s="1" t="s">
        <v>135</v>
      </c>
      <c r="C319" s="4">
        <v>51</v>
      </c>
      <c r="D319" s="8">
        <v>2.99</v>
      </c>
      <c r="E319" s="4">
        <v>42</v>
      </c>
      <c r="F319" s="8">
        <v>4.6900000000000004</v>
      </c>
      <c r="G319" s="4">
        <v>9</v>
      </c>
      <c r="H319" s="8">
        <v>1.1499999999999999</v>
      </c>
      <c r="I319" s="4">
        <v>0</v>
      </c>
    </row>
    <row r="320" spans="1:9" x14ac:dyDescent="0.2">
      <c r="A320" s="2">
        <v>5</v>
      </c>
      <c r="B320" s="1" t="s">
        <v>132</v>
      </c>
      <c r="C320" s="4">
        <v>50</v>
      </c>
      <c r="D320" s="8">
        <v>2.94</v>
      </c>
      <c r="E320" s="4">
        <v>45</v>
      </c>
      <c r="F320" s="8">
        <v>5.03</v>
      </c>
      <c r="G320" s="4">
        <v>5</v>
      </c>
      <c r="H320" s="8">
        <v>0.64</v>
      </c>
      <c r="I320" s="4">
        <v>0</v>
      </c>
    </row>
    <row r="321" spans="1:9" x14ac:dyDescent="0.2">
      <c r="A321" s="2">
        <v>6</v>
      </c>
      <c r="B321" s="1" t="s">
        <v>129</v>
      </c>
      <c r="C321" s="4">
        <v>48</v>
      </c>
      <c r="D321" s="8">
        <v>2.82</v>
      </c>
      <c r="E321" s="4">
        <v>26</v>
      </c>
      <c r="F321" s="8">
        <v>2.91</v>
      </c>
      <c r="G321" s="4">
        <v>21</v>
      </c>
      <c r="H321" s="8">
        <v>2.67</v>
      </c>
      <c r="I321" s="4">
        <v>0</v>
      </c>
    </row>
    <row r="322" spans="1:9" x14ac:dyDescent="0.2">
      <c r="A322" s="2">
        <v>7</v>
      </c>
      <c r="B322" s="1" t="s">
        <v>130</v>
      </c>
      <c r="C322" s="4">
        <v>45</v>
      </c>
      <c r="D322" s="8">
        <v>2.64</v>
      </c>
      <c r="E322" s="4">
        <v>6</v>
      </c>
      <c r="F322" s="8">
        <v>0.67</v>
      </c>
      <c r="G322" s="4">
        <v>37</v>
      </c>
      <c r="H322" s="8">
        <v>4.71</v>
      </c>
      <c r="I322" s="4">
        <v>0</v>
      </c>
    </row>
    <row r="323" spans="1:9" x14ac:dyDescent="0.2">
      <c r="A323" s="2">
        <v>7</v>
      </c>
      <c r="B323" s="1" t="s">
        <v>131</v>
      </c>
      <c r="C323" s="4">
        <v>45</v>
      </c>
      <c r="D323" s="8">
        <v>2.64</v>
      </c>
      <c r="E323" s="4">
        <v>36</v>
      </c>
      <c r="F323" s="8">
        <v>4.0199999999999996</v>
      </c>
      <c r="G323" s="4">
        <v>9</v>
      </c>
      <c r="H323" s="8">
        <v>1.1499999999999999</v>
      </c>
      <c r="I323" s="4">
        <v>0</v>
      </c>
    </row>
    <row r="324" spans="1:9" x14ac:dyDescent="0.2">
      <c r="A324" s="2">
        <v>9</v>
      </c>
      <c r="B324" s="1" t="s">
        <v>124</v>
      </c>
      <c r="C324" s="4">
        <v>40</v>
      </c>
      <c r="D324" s="8">
        <v>2.35</v>
      </c>
      <c r="E324" s="4">
        <v>16</v>
      </c>
      <c r="F324" s="8">
        <v>1.79</v>
      </c>
      <c r="G324" s="4">
        <v>24</v>
      </c>
      <c r="H324" s="8">
        <v>3.05</v>
      </c>
      <c r="I324" s="4">
        <v>0</v>
      </c>
    </row>
    <row r="325" spans="1:9" x14ac:dyDescent="0.2">
      <c r="A325" s="2">
        <v>10</v>
      </c>
      <c r="B325" s="1" t="s">
        <v>123</v>
      </c>
      <c r="C325" s="4">
        <v>34</v>
      </c>
      <c r="D325" s="8">
        <v>2</v>
      </c>
      <c r="E325" s="4">
        <v>22</v>
      </c>
      <c r="F325" s="8">
        <v>2.46</v>
      </c>
      <c r="G325" s="4">
        <v>12</v>
      </c>
      <c r="H325" s="8">
        <v>1.53</v>
      </c>
      <c r="I325" s="4">
        <v>0</v>
      </c>
    </row>
    <row r="326" spans="1:9" x14ac:dyDescent="0.2">
      <c r="A326" s="2">
        <v>11</v>
      </c>
      <c r="B326" s="1" t="s">
        <v>127</v>
      </c>
      <c r="C326" s="4">
        <v>32</v>
      </c>
      <c r="D326" s="8">
        <v>1.88</v>
      </c>
      <c r="E326" s="4">
        <v>15</v>
      </c>
      <c r="F326" s="8">
        <v>1.68</v>
      </c>
      <c r="G326" s="4">
        <v>17</v>
      </c>
      <c r="H326" s="8">
        <v>2.16</v>
      </c>
      <c r="I326" s="4">
        <v>0</v>
      </c>
    </row>
    <row r="327" spans="1:9" x14ac:dyDescent="0.2">
      <c r="A327" s="2">
        <v>12</v>
      </c>
      <c r="B327" s="1" t="s">
        <v>125</v>
      </c>
      <c r="C327" s="4">
        <v>30</v>
      </c>
      <c r="D327" s="8">
        <v>1.76</v>
      </c>
      <c r="E327" s="4">
        <v>13</v>
      </c>
      <c r="F327" s="8">
        <v>1.45</v>
      </c>
      <c r="G327" s="4">
        <v>17</v>
      </c>
      <c r="H327" s="8">
        <v>2.16</v>
      </c>
      <c r="I327" s="4">
        <v>0</v>
      </c>
    </row>
    <row r="328" spans="1:9" x14ac:dyDescent="0.2">
      <c r="A328" s="2">
        <v>13</v>
      </c>
      <c r="B328" s="1" t="s">
        <v>141</v>
      </c>
      <c r="C328" s="4">
        <v>29</v>
      </c>
      <c r="D328" s="8">
        <v>1.7</v>
      </c>
      <c r="E328" s="4">
        <v>24</v>
      </c>
      <c r="F328" s="8">
        <v>2.68</v>
      </c>
      <c r="G328" s="4">
        <v>5</v>
      </c>
      <c r="H328" s="8">
        <v>0.64</v>
      </c>
      <c r="I328" s="4">
        <v>0</v>
      </c>
    </row>
    <row r="329" spans="1:9" x14ac:dyDescent="0.2">
      <c r="A329" s="2">
        <v>13</v>
      </c>
      <c r="B329" s="1" t="s">
        <v>137</v>
      </c>
      <c r="C329" s="4">
        <v>29</v>
      </c>
      <c r="D329" s="8">
        <v>1.7</v>
      </c>
      <c r="E329" s="4">
        <v>24</v>
      </c>
      <c r="F329" s="8">
        <v>2.68</v>
      </c>
      <c r="G329" s="4">
        <v>5</v>
      </c>
      <c r="H329" s="8">
        <v>0.64</v>
      </c>
      <c r="I329" s="4">
        <v>0</v>
      </c>
    </row>
    <row r="330" spans="1:9" x14ac:dyDescent="0.2">
      <c r="A330" s="2">
        <v>15</v>
      </c>
      <c r="B330" s="1" t="s">
        <v>118</v>
      </c>
      <c r="C330" s="4">
        <v>28</v>
      </c>
      <c r="D330" s="8">
        <v>1.64</v>
      </c>
      <c r="E330" s="4">
        <v>1</v>
      </c>
      <c r="F330" s="8">
        <v>0.11</v>
      </c>
      <c r="G330" s="4">
        <v>27</v>
      </c>
      <c r="H330" s="8">
        <v>3.44</v>
      </c>
      <c r="I330" s="4">
        <v>0</v>
      </c>
    </row>
    <row r="331" spans="1:9" x14ac:dyDescent="0.2">
      <c r="A331" s="2">
        <v>15</v>
      </c>
      <c r="B331" s="1" t="s">
        <v>119</v>
      </c>
      <c r="C331" s="4">
        <v>28</v>
      </c>
      <c r="D331" s="8">
        <v>1.64</v>
      </c>
      <c r="E331" s="4">
        <v>4</v>
      </c>
      <c r="F331" s="8">
        <v>0.45</v>
      </c>
      <c r="G331" s="4">
        <v>24</v>
      </c>
      <c r="H331" s="8">
        <v>3.05</v>
      </c>
      <c r="I331" s="4">
        <v>0</v>
      </c>
    </row>
    <row r="332" spans="1:9" x14ac:dyDescent="0.2">
      <c r="A332" s="2">
        <v>15</v>
      </c>
      <c r="B332" s="1" t="s">
        <v>128</v>
      </c>
      <c r="C332" s="4">
        <v>28</v>
      </c>
      <c r="D332" s="8">
        <v>1.64</v>
      </c>
      <c r="E332" s="4">
        <v>4</v>
      </c>
      <c r="F332" s="8">
        <v>0.45</v>
      </c>
      <c r="G332" s="4">
        <v>24</v>
      </c>
      <c r="H332" s="8">
        <v>3.05</v>
      </c>
      <c r="I332" s="4">
        <v>0</v>
      </c>
    </row>
    <row r="333" spans="1:9" x14ac:dyDescent="0.2">
      <c r="A333" s="2">
        <v>15</v>
      </c>
      <c r="B333" s="1" t="s">
        <v>138</v>
      </c>
      <c r="C333" s="4">
        <v>28</v>
      </c>
      <c r="D333" s="8">
        <v>1.64</v>
      </c>
      <c r="E333" s="4">
        <v>27</v>
      </c>
      <c r="F333" s="8">
        <v>3.02</v>
      </c>
      <c r="G333" s="4">
        <v>1</v>
      </c>
      <c r="H333" s="8">
        <v>0.13</v>
      </c>
      <c r="I333" s="4">
        <v>0</v>
      </c>
    </row>
    <row r="334" spans="1:9" x14ac:dyDescent="0.2">
      <c r="A334" s="2">
        <v>19</v>
      </c>
      <c r="B334" s="1" t="s">
        <v>151</v>
      </c>
      <c r="C334" s="4">
        <v>26</v>
      </c>
      <c r="D334" s="8">
        <v>1.53</v>
      </c>
      <c r="E334" s="4">
        <v>5</v>
      </c>
      <c r="F334" s="8">
        <v>0.56000000000000005</v>
      </c>
      <c r="G334" s="4">
        <v>21</v>
      </c>
      <c r="H334" s="8">
        <v>2.67</v>
      </c>
      <c r="I334" s="4">
        <v>0</v>
      </c>
    </row>
    <row r="335" spans="1:9" x14ac:dyDescent="0.2">
      <c r="A335" s="2">
        <v>19</v>
      </c>
      <c r="B335" s="1" t="s">
        <v>163</v>
      </c>
      <c r="C335" s="4">
        <v>26</v>
      </c>
      <c r="D335" s="8">
        <v>1.53</v>
      </c>
      <c r="E335" s="4">
        <v>15</v>
      </c>
      <c r="F335" s="8">
        <v>1.68</v>
      </c>
      <c r="G335" s="4">
        <v>11</v>
      </c>
      <c r="H335" s="8">
        <v>1.4</v>
      </c>
      <c r="I335" s="4">
        <v>0</v>
      </c>
    </row>
    <row r="336" spans="1:9" x14ac:dyDescent="0.2">
      <c r="A336" s="2">
        <v>19</v>
      </c>
      <c r="B336" s="1" t="s">
        <v>164</v>
      </c>
      <c r="C336" s="4">
        <v>26</v>
      </c>
      <c r="D336" s="8">
        <v>1.53</v>
      </c>
      <c r="E336" s="4">
        <v>2</v>
      </c>
      <c r="F336" s="8">
        <v>0.22</v>
      </c>
      <c r="G336" s="4">
        <v>24</v>
      </c>
      <c r="H336" s="8">
        <v>3.05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134</v>
      </c>
      <c r="C339" s="4">
        <v>85</v>
      </c>
      <c r="D339" s="8">
        <v>6.14</v>
      </c>
      <c r="E339" s="4">
        <v>79</v>
      </c>
      <c r="F339" s="8">
        <v>10.97</v>
      </c>
      <c r="G339" s="4">
        <v>6</v>
      </c>
      <c r="H339" s="8">
        <v>0.91</v>
      </c>
      <c r="I339" s="4">
        <v>0</v>
      </c>
    </row>
    <row r="340" spans="1:9" x14ac:dyDescent="0.2">
      <c r="A340" s="2">
        <v>2</v>
      </c>
      <c r="B340" s="1" t="s">
        <v>129</v>
      </c>
      <c r="C340" s="4">
        <v>63</v>
      </c>
      <c r="D340" s="8">
        <v>4.55</v>
      </c>
      <c r="E340" s="4">
        <v>29</v>
      </c>
      <c r="F340" s="8">
        <v>4.03</v>
      </c>
      <c r="G340" s="4">
        <v>33</v>
      </c>
      <c r="H340" s="8">
        <v>4.9800000000000004</v>
      </c>
      <c r="I340" s="4">
        <v>0</v>
      </c>
    </row>
    <row r="341" spans="1:9" x14ac:dyDescent="0.2">
      <c r="A341" s="2">
        <v>3</v>
      </c>
      <c r="B341" s="1" t="s">
        <v>133</v>
      </c>
      <c r="C341" s="4">
        <v>53</v>
      </c>
      <c r="D341" s="8">
        <v>3.83</v>
      </c>
      <c r="E341" s="4">
        <v>48</v>
      </c>
      <c r="F341" s="8">
        <v>6.67</v>
      </c>
      <c r="G341" s="4">
        <v>5</v>
      </c>
      <c r="H341" s="8">
        <v>0.76</v>
      </c>
      <c r="I341" s="4">
        <v>0</v>
      </c>
    </row>
    <row r="342" spans="1:9" x14ac:dyDescent="0.2">
      <c r="A342" s="2">
        <v>4</v>
      </c>
      <c r="B342" s="1" t="s">
        <v>136</v>
      </c>
      <c r="C342" s="4">
        <v>48</v>
      </c>
      <c r="D342" s="8">
        <v>3.47</v>
      </c>
      <c r="E342" s="4">
        <v>38</v>
      </c>
      <c r="F342" s="8">
        <v>5.28</v>
      </c>
      <c r="G342" s="4">
        <v>10</v>
      </c>
      <c r="H342" s="8">
        <v>1.51</v>
      </c>
      <c r="I342" s="4">
        <v>0</v>
      </c>
    </row>
    <row r="343" spans="1:9" x14ac:dyDescent="0.2">
      <c r="A343" s="2">
        <v>5</v>
      </c>
      <c r="B343" s="1" t="s">
        <v>135</v>
      </c>
      <c r="C343" s="4">
        <v>42</v>
      </c>
      <c r="D343" s="8">
        <v>3.03</v>
      </c>
      <c r="E343" s="4">
        <v>34</v>
      </c>
      <c r="F343" s="8">
        <v>4.72</v>
      </c>
      <c r="G343" s="4">
        <v>8</v>
      </c>
      <c r="H343" s="8">
        <v>1.21</v>
      </c>
      <c r="I343" s="4">
        <v>0</v>
      </c>
    </row>
    <row r="344" spans="1:9" x14ac:dyDescent="0.2">
      <c r="A344" s="2">
        <v>6</v>
      </c>
      <c r="B344" s="1" t="s">
        <v>132</v>
      </c>
      <c r="C344" s="4">
        <v>41</v>
      </c>
      <c r="D344" s="8">
        <v>2.96</v>
      </c>
      <c r="E344" s="4">
        <v>37</v>
      </c>
      <c r="F344" s="8">
        <v>5.14</v>
      </c>
      <c r="G344" s="4">
        <v>4</v>
      </c>
      <c r="H344" s="8">
        <v>0.6</v>
      </c>
      <c r="I344" s="4">
        <v>0</v>
      </c>
    </row>
    <row r="345" spans="1:9" x14ac:dyDescent="0.2">
      <c r="A345" s="2">
        <v>7</v>
      </c>
      <c r="B345" s="1" t="s">
        <v>131</v>
      </c>
      <c r="C345" s="4">
        <v>35</v>
      </c>
      <c r="D345" s="8">
        <v>2.5299999999999998</v>
      </c>
      <c r="E345" s="4">
        <v>25</v>
      </c>
      <c r="F345" s="8">
        <v>3.47</v>
      </c>
      <c r="G345" s="4">
        <v>10</v>
      </c>
      <c r="H345" s="8">
        <v>1.51</v>
      </c>
      <c r="I345" s="4">
        <v>0</v>
      </c>
    </row>
    <row r="346" spans="1:9" x14ac:dyDescent="0.2">
      <c r="A346" s="2">
        <v>8</v>
      </c>
      <c r="B346" s="1" t="s">
        <v>124</v>
      </c>
      <c r="C346" s="4">
        <v>32</v>
      </c>
      <c r="D346" s="8">
        <v>2.31</v>
      </c>
      <c r="E346" s="4">
        <v>20</v>
      </c>
      <c r="F346" s="8">
        <v>2.78</v>
      </c>
      <c r="G346" s="4">
        <v>12</v>
      </c>
      <c r="H346" s="8">
        <v>1.81</v>
      </c>
      <c r="I346" s="4">
        <v>0</v>
      </c>
    </row>
    <row r="347" spans="1:9" x14ac:dyDescent="0.2">
      <c r="A347" s="2">
        <v>9</v>
      </c>
      <c r="B347" s="1" t="s">
        <v>118</v>
      </c>
      <c r="C347" s="4">
        <v>30</v>
      </c>
      <c r="D347" s="8">
        <v>2.17</v>
      </c>
      <c r="E347" s="4">
        <v>4</v>
      </c>
      <c r="F347" s="8">
        <v>0.56000000000000005</v>
      </c>
      <c r="G347" s="4">
        <v>26</v>
      </c>
      <c r="H347" s="8">
        <v>3.93</v>
      </c>
      <c r="I347" s="4">
        <v>0</v>
      </c>
    </row>
    <row r="348" spans="1:9" x14ac:dyDescent="0.2">
      <c r="A348" s="2">
        <v>10</v>
      </c>
      <c r="B348" s="1" t="s">
        <v>123</v>
      </c>
      <c r="C348" s="4">
        <v>28</v>
      </c>
      <c r="D348" s="8">
        <v>2.02</v>
      </c>
      <c r="E348" s="4">
        <v>17</v>
      </c>
      <c r="F348" s="8">
        <v>2.36</v>
      </c>
      <c r="G348" s="4">
        <v>11</v>
      </c>
      <c r="H348" s="8">
        <v>1.66</v>
      </c>
      <c r="I348" s="4">
        <v>0</v>
      </c>
    </row>
    <row r="349" spans="1:9" x14ac:dyDescent="0.2">
      <c r="A349" s="2">
        <v>10</v>
      </c>
      <c r="B349" s="1" t="s">
        <v>125</v>
      </c>
      <c r="C349" s="4">
        <v>28</v>
      </c>
      <c r="D349" s="8">
        <v>2.02</v>
      </c>
      <c r="E349" s="4">
        <v>13</v>
      </c>
      <c r="F349" s="8">
        <v>1.81</v>
      </c>
      <c r="G349" s="4">
        <v>15</v>
      </c>
      <c r="H349" s="8">
        <v>2.27</v>
      </c>
      <c r="I349" s="4">
        <v>0</v>
      </c>
    </row>
    <row r="350" spans="1:9" x14ac:dyDescent="0.2">
      <c r="A350" s="2">
        <v>10</v>
      </c>
      <c r="B350" s="1" t="s">
        <v>127</v>
      </c>
      <c r="C350" s="4">
        <v>28</v>
      </c>
      <c r="D350" s="8">
        <v>2.02</v>
      </c>
      <c r="E350" s="4">
        <v>18</v>
      </c>
      <c r="F350" s="8">
        <v>2.5</v>
      </c>
      <c r="G350" s="4">
        <v>10</v>
      </c>
      <c r="H350" s="8">
        <v>1.51</v>
      </c>
      <c r="I350" s="4">
        <v>0</v>
      </c>
    </row>
    <row r="351" spans="1:9" x14ac:dyDescent="0.2">
      <c r="A351" s="2">
        <v>13</v>
      </c>
      <c r="B351" s="1" t="s">
        <v>164</v>
      </c>
      <c r="C351" s="4">
        <v>25</v>
      </c>
      <c r="D351" s="8">
        <v>1.81</v>
      </c>
      <c r="E351" s="4">
        <v>2</v>
      </c>
      <c r="F351" s="8">
        <v>0.28000000000000003</v>
      </c>
      <c r="G351" s="4">
        <v>23</v>
      </c>
      <c r="H351" s="8">
        <v>3.47</v>
      </c>
      <c r="I351" s="4">
        <v>0</v>
      </c>
    </row>
    <row r="352" spans="1:9" x14ac:dyDescent="0.2">
      <c r="A352" s="2">
        <v>14</v>
      </c>
      <c r="B352" s="1" t="s">
        <v>120</v>
      </c>
      <c r="C352" s="4">
        <v>24</v>
      </c>
      <c r="D352" s="8">
        <v>1.73</v>
      </c>
      <c r="E352" s="4">
        <v>10</v>
      </c>
      <c r="F352" s="8">
        <v>1.39</v>
      </c>
      <c r="G352" s="4">
        <v>14</v>
      </c>
      <c r="H352" s="8">
        <v>2.11</v>
      </c>
      <c r="I352" s="4">
        <v>0</v>
      </c>
    </row>
    <row r="353" spans="1:9" x14ac:dyDescent="0.2">
      <c r="A353" s="2">
        <v>15</v>
      </c>
      <c r="B353" s="1" t="s">
        <v>121</v>
      </c>
      <c r="C353" s="4">
        <v>23</v>
      </c>
      <c r="D353" s="8">
        <v>1.66</v>
      </c>
      <c r="E353" s="4">
        <v>9</v>
      </c>
      <c r="F353" s="8">
        <v>1.25</v>
      </c>
      <c r="G353" s="4">
        <v>14</v>
      </c>
      <c r="H353" s="8">
        <v>2.11</v>
      </c>
      <c r="I353" s="4">
        <v>0</v>
      </c>
    </row>
    <row r="354" spans="1:9" x14ac:dyDescent="0.2">
      <c r="A354" s="2">
        <v>16</v>
      </c>
      <c r="B354" s="1" t="s">
        <v>147</v>
      </c>
      <c r="C354" s="4">
        <v>22</v>
      </c>
      <c r="D354" s="8">
        <v>1.59</v>
      </c>
      <c r="E354" s="4">
        <v>15</v>
      </c>
      <c r="F354" s="8">
        <v>2.08</v>
      </c>
      <c r="G354" s="4">
        <v>7</v>
      </c>
      <c r="H354" s="8">
        <v>1.06</v>
      </c>
      <c r="I354" s="4">
        <v>0</v>
      </c>
    </row>
    <row r="355" spans="1:9" x14ac:dyDescent="0.2">
      <c r="A355" s="2">
        <v>16</v>
      </c>
      <c r="B355" s="1" t="s">
        <v>139</v>
      </c>
      <c r="C355" s="4">
        <v>22</v>
      </c>
      <c r="D355" s="8">
        <v>1.59</v>
      </c>
      <c r="E355" s="4">
        <v>13</v>
      </c>
      <c r="F355" s="8">
        <v>1.81</v>
      </c>
      <c r="G355" s="4">
        <v>9</v>
      </c>
      <c r="H355" s="8">
        <v>1.36</v>
      </c>
      <c r="I355" s="4">
        <v>0</v>
      </c>
    </row>
    <row r="356" spans="1:9" x14ac:dyDescent="0.2">
      <c r="A356" s="2">
        <v>18</v>
      </c>
      <c r="B356" s="1" t="s">
        <v>128</v>
      </c>
      <c r="C356" s="4">
        <v>20</v>
      </c>
      <c r="D356" s="8">
        <v>1.45</v>
      </c>
      <c r="E356" s="4">
        <v>5</v>
      </c>
      <c r="F356" s="8">
        <v>0.69</v>
      </c>
      <c r="G356" s="4">
        <v>15</v>
      </c>
      <c r="H356" s="8">
        <v>2.27</v>
      </c>
      <c r="I356" s="4">
        <v>0</v>
      </c>
    </row>
    <row r="357" spans="1:9" x14ac:dyDescent="0.2">
      <c r="A357" s="2">
        <v>19</v>
      </c>
      <c r="B357" s="1" t="s">
        <v>165</v>
      </c>
      <c r="C357" s="4">
        <v>18</v>
      </c>
      <c r="D357" s="8">
        <v>1.3</v>
      </c>
      <c r="E357" s="4">
        <v>11</v>
      </c>
      <c r="F357" s="8">
        <v>1.53</v>
      </c>
      <c r="G357" s="4">
        <v>7</v>
      </c>
      <c r="H357" s="8">
        <v>1.06</v>
      </c>
      <c r="I357" s="4">
        <v>0</v>
      </c>
    </row>
    <row r="358" spans="1:9" x14ac:dyDescent="0.2">
      <c r="A358" s="2">
        <v>20</v>
      </c>
      <c r="B358" s="1" t="s">
        <v>151</v>
      </c>
      <c r="C358" s="4">
        <v>17</v>
      </c>
      <c r="D358" s="8">
        <v>1.23</v>
      </c>
      <c r="E358" s="4">
        <v>3</v>
      </c>
      <c r="F358" s="8">
        <v>0.42</v>
      </c>
      <c r="G358" s="4">
        <v>14</v>
      </c>
      <c r="H358" s="8">
        <v>2.11</v>
      </c>
      <c r="I358" s="4">
        <v>0</v>
      </c>
    </row>
    <row r="359" spans="1:9" x14ac:dyDescent="0.2">
      <c r="A359" s="2">
        <v>20</v>
      </c>
      <c r="B359" s="1" t="s">
        <v>130</v>
      </c>
      <c r="C359" s="4">
        <v>17</v>
      </c>
      <c r="D359" s="8">
        <v>1.23</v>
      </c>
      <c r="E359" s="4">
        <v>6</v>
      </c>
      <c r="F359" s="8">
        <v>0.83</v>
      </c>
      <c r="G359" s="4">
        <v>11</v>
      </c>
      <c r="H359" s="8">
        <v>1.66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134</v>
      </c>
      <c r="C362" s="4">
        <v>216</v>
      </c>
      <c r="D362" s="8">
        <v>5.2</v>
      </c>
      <c r="E362" s="4">
        <v>189</v>
      </c>
      <c r="F362" s="8">
        <v>11.34</v>
      </c>
      <c r="G362" s="4">
        <v>27</v>
      </c>
      <c r="H362" s="8">
        <v>1.1000000000000001</v>
      </c>
      <c r="I362" s="4">
        <v>0</v>
      </c>
    </row>
    <row r="363" spans="1:9" x14ac:dyDescent="0.2">
      <c r="A363" s="2">
        <v>2</v>
      </c>
      <c r="B363" s="1" t="s">
        <v>129</v>
      </c>
      <c r="C363" s="4">
        <v>147</v>
      </c>
      <c r="D363" s="8">
        <v>3.54</v>
      </c>
      <c r="E363" s="4">
        <v>33</v>
      </c>
      <c r="F363" s="8">
        <v>1.98</v>
      </c>
      <c r="G363" s="4">
        <v>114</v>
      </c>
      <c r="H363" s="8">
        <v>4.6500000000000004</v>
      </c>
      <c r="I363" s="4">
        <v>0</v>
      </c>
    </row>
    <row r="364" spans="1:9" x14ac:dyDescent="0.2">
      <c r="A364" s="2">
        <v>3</v>
      </c>
      <c r="B364" s="1" t="s">
        <v>133</v>
      </c>
      <c r="C364" s="4">
        <v>142</v>
      </c>
      <c r="D364" s="8">
        <v>3.42</v>
      </c>
      <c r="E364" s="4">
        <v>135</v>
      </c>
      <c r="F364" s="8">
        <v>8.1</v>
      </c>
      <c r="G364" s="4">
        <v>7</v>
      </c>
      <c r="H364" s="8">
        <v>0.28999999999999998</v>
      </c>
      <c r="I364" s="4">
        <v>0</v>
      </c>
    </row>
    <row r="365" spans="1:9" x14ac:dyDescent="0.2">
      <c r="A365" s="2">
        <v>4</v>
      </c>
      <c r="B365" s="1" t="s">
        <v>118</v>
      </c>
      <c r="C365" s="4">
        <v>118</v>
      </c>
      <c r="D365" s="8">
        <v>2.84</v>
      </c>
      <c r="E365" s="4">
        <v>17</v>
      </c>
      <c r="F365" s="8">
        <v>1.02</v>
      </c>
      <c r="G365" s="4">
        <v>101</v>
      </c>
      <c r="H365" s="8">
        <v>4.12</v>
      </c>
      <c r="I365" s="4">
        <v>0</v>
      </c>
    </row>
    <row r="366" spans="1:9" x14ac:dyDescent="0.2">
      <c r="A366" s="2">
        <v>5</v>
      </c>
      <c r="B366" s="1" t="s">
        <v>131</v>
      </c>
      <c r="C366" s="4">
        <v>110</v>
      </c>
      <c r="D366" s="8">
        <v>2.65</v>
      </c>
      <c r="E366" s="4">
        <v>79</v>
      </c>
      <c r="F366" s="8">
        <v>4.74</v>
      </c>
      <c r="G366" s="4">
        <v>31</v>
      </c>
      <c r="H366" s="8">
        <v>1.27</v>
      </c>
      <c r="I366" s="4">
        <v>0</v>
      </c>
    </row>
    <row r="367" spans="1:9" x14ac:dyDescent="0.2">
      <c r="A367" s="2">
        <v>6</v>
      </c>
      <c r="B367" s="1" t="s">
        <v>137</v>
      </c>
      <c r="C367" s="4">
        <v>99</v>
      </c>
      <c r="D367" s="8">
        <v>2.38</v>
      </c>
      <c r="E367" s="4">
        <v>73</v>
      </c>
      <c r="F367" s="8">
        <v>4.38</v>
      </c>
      <c r="G367" s="4">
        <v>26</v>
      </c>
      <c r="H367" s="8">
        <v>1.06</v>
      </c>
      <c r="I367" s="4">
        <v>0</v>
      </c>
    </row>
    <row r="368" spans="1:9" x14ac:dyDescent="0.2">
      <c r="A368" s="2">
        <v>7</v>
      </c>
      <c r="B368" s="1" t="s">
        <v>136</v>
      </c>
      <c r="C368" s="4">
        <v>97</v>
      </c>
      <c r="D368" s="8">
        <v>2.34</v>
      </c>
      <c r="E368" s="4">
        <v>83</v>
      </c>
      <c r="F368" s="8">
        <v>4.9800000000000004</v>
      </c>
      <c r="G368" s="4">
        <v>14</v>
      </c>
      <c r="H368" s="8">
        <v>0.56999999999999995</v>
      </c>
      <c r="I368" s="4">
        <v>0</v>
      </c>
    </row>
    <row r="369" spans="1:9" x14ac:dyDescent="0.2">
      <c r="A369" s="2">
        <v>8</v>
      </c>
      <c r="B369" s="1" t="s">
        <v>120</v>
      </c>
      <c r="C369" s="4">
        <v>92</v>
      </c>
      <c r="D369" s="8">
        <v>2.2200000000000002</v>
      </c>
      <c r="E369" s="4">
        <v>36</v>
      </c>
      <c r="F369" s="8">
        <v>2.16</v>
      </c>
      <c r="G369" s="4">
        <v>56</v>
      </c>
      <c r="H369" s="8">
        <v>2.29</v>
      </c>
      <c r="I369" s="4">
        <v>0</v>
      </c>
    </row>
    <row r="370" spans="1:9" x14ac:dyDescent="0.2">
      <c r="A370" s="2">
        <v>9</v>
      </c>
      <c r="B370" s="1" t="s">
        <v>124</v>
      </c>
      <c r="C370" s="4">
        <v>91</v>
      </c>
      <c r="D370" s="8">
        <v>2.19</v>
      </c>
      <c r="E370" s="4">
        <v>42</v>
      </c>
      <c r="F370" s="8">
        <v>2.52</v>
      </c>
      <c r="G370" s="4">
        <v>49</v>
      </c>
      <c r="H370" s="8">
        <v>2</v>
      </c>
      <c r="I370" s="4">
        <v>0</v>
      </c>
    </row>
    <row r="371" spans="1:9" x14ac:dyDescent="0.2">
      <c r="A371" s="2">
        <v>10</v>
      </c>
      <c r="B371" s="1" t="s">
        <v>132</v>
      </c>
      <c r="C371" s="4">
        <v>79</v>
      </c>
      <c r="D371" s="8">
        <v>1.9</v>
      </c>
      <c r="E371" s="4">
        <v>66</v>
      </c>
      <c r="F371" s="8">
        <v>3.96</v>
      </c>
      <c r="G371" s="4">
        <v>13</v>
      </c>
      <c r="H371" s="8">
        <v>0.53</v>
      </c>
      <c r="I371" s="4">
        <v>0</v>
      </c>
    </row>
    <row r="372" spans="1:9" x14ac:dyDescent="0.2">
      <c r="A372" s="2">
        <v>11</v>
      </c>
      <c r="B372" s="1" t="s">
        <v>121</v>
      </c>
      <c r="C372" s="4">
        <v>77</v>
      </c>
      <c r="D372" s="8">
        <v>1.85</v>
      </c>
      <c r="E372" s="4">
        <v>20</v>
      </c>
      <c r="F372" s="8">
        <v>1.2</v>
      </c>
      <c r="G372" s="4">
        <v>57</v>
      </c>
      <c r="H372" s="8">
        <v>2.33</v>
      </c>
      <c r="I372" s="4">
        <v>0</v>
      </c>
    </row>
    <row r="373" spans="1:9" x14ac:dyDescent="0.2">
      <c r="A373" s="2">
        <v>11</v>
      </c>
      <c r="B373" s="1" t="s">
        <v>135</v>
      </c>
      <c r="C373" s="4">
        <v>77</v>
      </c>
      <c r="D373" s="8">
        <v>1.85</v>
      </c>
      <c r="E373" s="4">
        <v>46</v>
      </c>
      <c r="F373" s="8">
        <v>2.76</v>
      </c>
      <c r="G373" s="4">
        <v>31</v>
      </c>
      <c r="H373" s="8">
        <v>1.27</v>
      </c>
      <c r="I373" s="4">
        <v>0</v>
      </c>
    </row>
    <row r="374" spans="1:9" x14ac:dyDescent="0.2">
      <c r="A374" s="2">
        <v>13</v>
      </c>
      <c r="B374" s="1" t="s">
        <v>122</v>
      </c>
      <c r="C374" s="4">
        <v>67</v>
      </c>
      <c r="D374" s="8">
        <v>1.61</v>
      </c>
      <c r="E374" s="4">
        <v>15</v>
      </c>
      <c r="F374" s="8">
        <v>0.9</v>
      </c>
      <c r="G374" s="4">
        <v>52</v>
      </c>
      <c r="H374" s="8">
        <v>2.12</v>
      </c>
      <c r="I374" s="4">
        <v>0</v>
      </c>
    </row>
    <row r="375" spans="1:9" x14ac:dyDescent="0.2">
      <c r="A375" s="2">
        <v>14</v>
      </c>
      <c r="B375" s="1" t="s">
        <v>127</v>
      </c>
      <c r="C375" s="4">
        <v>66</v>
      </c>
      <c r="D375" s="8">
        <v>1.59</v>
      </c>
      <c r="E375" s="4">
        <v>33</v>
      </c>
      <c r="F375" s="8">
        <v>1.98</v>
      </c>
      <c r="G375" s="4">
        <v>33</v>
      </c>
      <c r="H375" s="8">
        <v>1.35</v>
      </c>
      <c r="I375" s="4">
        <v>0</v>
      </c>
    </row>
    <row r="376" spans="1:9" x14ac:dyDescent="0.2">
      <c r="A376" s="2">
        <v>15</v>
      </c>
      <c r="B376" s="1" t="s">
        <v>130</v>
      </c>
      <c r="C376" s="4">
        <v>63</v>
      </c>
      <c r="D376" s="8">
        <v>1.52</v>
      </c>
      <c r="E376" s="4">
        <v>11</v>
      </c>
      <c r="F376" s="8">
        <v>0.66</v>
      </c>
      <c r="G376" s="4">
        <v>52</v>
      </c>
      <c r="H376" s="8">
        <v>2.12</v>
      </c>
      <c r="I376" s="4">
        <v>0</v>
      </c>
    </row>
    <row r="377" spans="1:9" x14ac:dyDescent="0.2">
      <c r="A377" s="2">
        <v>16</v>
      </c>
      <c r="B377" s="1" t="s">
        <v>123</v>
      </c>
      <c r="C377" s="4">
        <v>60</v>
      </c>
      <c r="D377" s="8">
        <v>1.44</v>
      </c>
      <c r="E377" s="4">
        <v>36</v>
      </c>
      <c r="F377" s="8">
        <v>2.16</v>
      </c>
      <c r="G377" s="4">
        <v>24</v>
      </c>
      <c r="H377" s="8">
        <v>0.98</v>
      </c>
      <c r="I377" s="4">
        <v>0</v>
      </c>
    </row>
    <row r="378" spans="1:9" x14ac:dyDescent="0.2">
      <c r="A378" s="2">
        <v>17</v>
      </c>
      <c r="B378" s="1" t="s">
        <v>128</v>
      </c>
      <c r="C378" s="4">
        <v>59</v>
      </c>
      <c r="D378" s="8">
        <v>1.42</v>
      </c>
      <c r="E378" s="4">
        <v>8</v>
      </c>
      <c r="F378" s="8">
        <v>0.48</v>
      </c>
      <c r="G378" s="4">
        <v>51</v>
      </c>
      <c r="H378" s="8">
        <v>2.08</v>
      </c>
      <c r="I378" s="4">
        <v>0</v>
      </c>
    </row>
    <row r="379" spans="1:9" x14ac:dyDescent="0.2">
      <c r="A379" s="2">
        <v>18</v>
      </c>
      <c r="B379" s="1" t="s">
        <v>164</v>
      </c>
      <c r="C379" s="4">
        <v>58</v>
      </c>
      <c r="D379" s="8">
        <v>1.4</v>
      </c>
      <c r="E379" s="4">
        <v>4</v>
      </c>
      <c r="F379" s="8">
        <v>0.24</v>
      </c>
      <c r="G379" s="4">
        <v>54</v>
      </c>
      <c r="H379" s="8">
        <v>2.2000000000000002</v>
      </c>
      <c r="I379" s="4">
        <v>0</v>
      </c>
    </row>
    <row r="380" spans="1:9" x14ac:dyDescent="0.2">
      <c r="A380" s="2">
        <v>19</v>
      </c>
      <c r="B380" s="1" t="s">
        <v>119</v>
      </c>
      <c r="C380" s="4">
        <v>57</v>
      </c>
      <c r="D380" s="8">
        <v>1.37</v>
      </c>
      <c r="E380" s="4">
        <v>5</v>
      </c>
      <c r="F380" s="8">
        <v>0.3</v>
      </c>
      <c r="G380" s="4">
        <v>52</v>
      </c>
      <c r="H380" s="8">
        <v>2.12</v>
      </c>
      <c r="I380" s="4">
        <v>0</v>
      </c>
    </row>
    <row r="381" spans="1:9" x14ac:dyDescent="0.2">
      <c r="A381" s="2">
        <v>20</v>
      </c>
      <c r="B381" s="1" t="s">
        <v>154</v>
      </c>
      <c r="C381" s="4">
        <v>55</v>
      </c>
      <c r="D381" s="8">
        <v>1.32</v>
      </c>
      <c r="E381" s="4">
        <v>20</v>
      </c>
      <c r="F381" s="8">
        <v>1.2</v>
      </c>
      <c r="G381" s="4">
        <v>35</v>
      </c>
      <c r="H381" s="8">
        <v>1.43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134</v>
      </c>
      <c r="C384" s="4">
        <v>202</v>
      </c>
      <c r="D384" s="8">
        <v>6.99</v>
      </c>
      <c r="E384" s="4">
        <v>186</v>
      </c>
      <c r="F384" s="8">
        <v>11.56</v>
      </c>
      <c r="G384" s="4">
        <v>16</v>
      </c>
      <c r="H384" s="8">
        <v>1.26</v>
      </c>
      <c r="I384" s="4">
        <v>0</v>
      </c>
    </row>
    <row r="385" spans="1:9" x14ac:dyDescent="0.2">
      <c r="A385" s="2">
        <v>2</v>
      </c>
      <c r="B385" s="1" t="s">
        <v>133</v>
      </c>
      <c r="C385" s="4">
        <v>118</v>
      </c>
      <c r="D385" s="8">
        <v>4.09</v>
      </c>
      <c r="E385" s="4">
        <v>112</v>
      </c>
      <c r="F385" s="8">
        <v>6.96</v>
      </c>
      <c r="G385" s="4">
        <v>6</v>
      </c>
      <c r="H385" s="8">
        <v>0.47</v>
      </c>
      <c r="I385" s="4">
        <v>0</v>
      </c>
    </row>
    <row r="386" spans="1:9" x14ac:dyDescent="0.2">
      <c r="A386" s="2">
        <v>3</v>
      </c>
      <c r="B386" s="1" t="s">
        <v>129</v>
      </c>
      <c r="C386" s="4">
        <v>94</v>
      </c>
      <c r="D386" s="8">
        <v>3.25</v>
      </c>
      <c r="E386" s="4">
        <v>53</v>
      </c>
      <c r="F386" s="8">
        <v>3.29</v>
      </c>
      <c r="G386" s="4">
        <v>41</v>
      </c>
      <c r="H386" s="8">
        <v>3.22</v>
      </c>
      <c r="I386" s="4">
        <v>0</v>
      </c>
    </row>
    <row r="387" spans="1:9" x14ac:dyDescent="0.2">
      <c r="A387" s="2">
        <v>4</v>
      </c>
      <c r="B387" s="1" t="s">
        <v>131</v>
      </c>
      <c r="C387" s="4">
        <v>93</v>
      </c>
      <c r="D387" s="8">
        <v>3.22</v>
      </c>
      <c r="E387" s="4">
        <v>78</v>
      </c>
      <c r="F387" s="8">
        <v>4.8499999999999996</v>
      </c>
      <c r="G387" s="4">
        <v>15</v>
      </c>
      <c r="H387" s="8">
        <v>1.18</v>
      </c>
      <c r="I387" s="4">
        <v>0</v>
      </c>
    </row>
    <row r="388" spans="1:9" x14ac:dyDescent="0.2">
      <c r="A388" s="2">
        <v>5</v>
      </c>
      <c r="B388" s="1" t="s">
        <v>132</v>
      </c>
      <c r="C388" s="4">
        <v>90</v>
      </c>
      <c r="D388" s="8">
        <v>3.12</v>
      </c>
      <c r="E388" s="4">
        <v>74</v>
      </c>
      <c r="F388" s="8">
        <v>4.5999999999999996</v>
      </c>
      <c r="G388" s="4">
        <v>16</v>
      </c>
      <c r="H388" s="8">
        <v>1.26</v>
      </c>
      <c r="I388" s="4">
        <v>0</v>
      </c>
    </row>
    <row r="389" spans="1:9" x14ac:dyDescent="0.2">
      <c r="A389" s="2">
        <v>6</v>
      </c>
      <c r="B389" s="1" t="s">
        <v>135</v>
      </c>
      <c r="C389" s="4">
        <v>85</v>
      </c>
      <c r="D389" s="8">
        <v>2.94</v>
      </c>
      <c r="E389" s="4">
        <v>72</v>
      </c>
      <c r="F389" s="8">
        <v>4.47</v>
      </c>
      <c r="G389" s="4">
        <v>13</v>
      </c>
      <c r="H389" s="8">
        <v>1.02</v>
      </c>
      <c r="I389" s="4">
        <v>0</v>
      </c>
    </row>
    <row r="390" spans="1:9" x14ac:dyDescent="0.2">
      <c r="A390" s="2">
        <v>7</v>
      </c>
      <c r="B390" s="1" t="s">
        <v>136</v>
      </c>
      <c r="C390" s="4">
        <v>70</v>
      </c>
      <c r="D390" s="8">
        <v>2.42</v>
      </c>
      <c r="E390" s="4">
        <v>62</v>
      </c>
      <c r="F390" s="8">
        <v>3.85</v>
      </c>
      <c r="G390" s="4">
        <v>8</v>
      </c>
      <c r="H390" s="8">
        <v>0.63</v>
      </c>
      <c r="I390" s="4">
        <v>0</v>
      </c>
    </row>
    <row r="391" spans="1:9" x14ac:dyDescent="0.2">
      <c r="A391" s="2">
        <v>8</v>
      </c>
      <c r="B391" s="1" t="s">
        <v>124</v>
      </c>
      <c r="C391" s="4">
        <v>64</v>
      </c>
      <c r="D391" s="8">
        <v>2.2200000000000002</v>
      </c>
      <c r="E391" s="4">
        <v>34</v>
      </c>
      <c r="F391" s="8">
        <v>2.11</v>
      </c>
      <c r="G391" s="4">
        <v>30</v>
      </c>
      <c r="H391" s="8">
        <v>2.35</v>
      </c>
      <c r="I391" s="4">
        <v>0</v>
      </c>
    </row>
    <row r="392" spans="1:9" x14ac:dyDescent="0.2">
      <c r="A392" s="2">
        <v>9</v>
      </c>
      <c r="B392" s="1" t="s">
        <v>119</v>
      </c>
      <c r="C392" s="4">
        <v>60</v>
      </c>
      <c r="D392" s="8">
        <v>2.08</v>
      </c>
      <c r="E392" s="4">
        <v>8</v>
      </c>
      <c r="F392" s="8">
        <v>0.5</v>
      </c>
      <c r="G392" s="4">
        <v>52</v>
      </c>
      <c r="H392" s="8">
        <v>4.08</v>
      </c>
      <c r="I392" s="4">
        <v>0</v>
      </c>
    </row>
    <row r="393" spans="1:9" x14ac:dyDescent="0.2">
      <c r="A393" s="2">
        <v>9</v>
      </c>
      <c r="B393" s="1" t="s">
        <v>120</v>
      </c>
      <c r="C393" s="4">
        <v>60</v>
      </c>
      <c r="D393" s="8">
        <v>2.08</v>
      </c>
      <c r="E393" s="4">
        <v>34</v>
      </c>
      <c r="F393" s="8">
        <v>2.11</v>
      </c>
      <c r="G393" s="4">
        <v>26</v>
      </c>
      <c r="H393" s="8">
        <v>2.04</v>
      </c>
      <c r="I393" s="4">
        <v>0</v>
      </c>
    </row>
    <row r="394" spans="1:9" x14ac:dyDescent="0.2">
      <c r="A394" s="2">
        <v>11</v>
      </c>
      <c r="B394" s="1" t="s">
        <v>118</v>
      </c>
      <c r="C394" s="4">
        <v>58</v>
      </c>
      <c r="D394" s="8">
        <v>2.0099999999999998</v>
      </c>
      <c r="E394" s="4">
        <v>11</v>
      </c>
      <c r="F394" s="8">
        <v>0.68</v>
      </c>
      <c r="G394" s="4">
        <v>47</v>
      </c>
      <c r="H394" s="8">
        <v>3.69</v>
      </c>
      <c r="I394" s="4">
        <v>0</v>
      </c>
    </row>
    <row r="395" spans="1:9" x14ac:dyDescent="0.2">
      <c r="A395" s="2">
        <v>12</v>
      </c>
      <c r="B395" s="1" t="s">
        <v>127</v>
      </c>
      <c r="C395" s="4">
        <v>56</v>
      </c>
      <c r="D395" s="8">
        <v>1.94</v>
      </c>
      <c r="E395" s="4">
        <v>40</v>
      </c>
      <c r="F395" s="8">
        <v>2.4900000000000002</v>
      </c>
      <c r="G395" s="4">
        <v>16</v>
      </c>
      <c r="H395" s="8">
        <v>1.26</v>
      </c>
      <c r="I395" s="4">
        <v>0</v>
      </c>
    </row>
    <row r="396" spans="1:9" x14ac:dyDescent="0.2">
      <c r="A396" s="2">
        <v>13</v>
      </c>
      <c r="B396" s="1" t="s">
        <v>138</v>
      </c>
      <c r="C396" s="4">
        <v>55</v>
      </c>
      <c r="D396" s="8">
        <v>1.9</v>
      </c>
      <c r="E396" s="4">
        <v>53</v>
      </c>
      <c r="F396" s="8">
        <v>3.29</v>
      </c>
      <c r="G396" s="4">
        <v>2</v>
      </c>
      <c r="H396" s="8">
        <v>0.16</v>
      </c>
      <c r="I396" s="4">
        <v>0</v>
      </c>
    </row>
    <row r="397" spans="1:9" x14ac:dyDescent="0.2">
      <c r="A397" s="2">
        <v>14</v>
      </c>
      <c r="B397" s="1" t="s">
        <v>123</v>
      </c>
      <c r="C397" s="4">
        <v>47</v>
      </c>
      <c r="D397" s="8">
        <v>1.63</v>
      </c>
      <c r="E397" s="4">
        <v>36</v>
      </c>
      <c r="F397" s="8">
        <v>2.2400000000000002</v>
      </c>
      <c r="G397" s="4">
        <v>11</v>
      </c>
      <c r="H397" s="8">
        <v>0.86</v>
      </c>
      <c r="I397" s="4">
        <v>0</v>
      </c>
    </row>
    <row r="398" spans="1:9" x14ac:dyDescent="0.2">
      <c r="A398" s="2">
        <v>15</v>
      </c>
      <c r="B398" s="1" t="s">
        <v>139</v>
      </c>
      <c r="C398" s="4">
        <v>46</v>
      </c>
      <c r="D398" s="8">
        <v>1.59</v>
      </c>
      <c r="E398" s="4">
        <v>29</v>
      </c>
      <c r="F398" s="8">
        <v>1.8</v>
      </c>
      <c r="G398" s="4">
        <v>17</v>
      </c>
      <c r="H398" s="8">
        <v>1.33</v>
      </c>
      <c r="I398" s="4">
        <v>0</v>
      </c>
    </row>
    <row r="399" spans="1:9" x14ac:dyDescent="0.2">
      <c r="A399" s="2">
        <v>15</v>
      </c>
      <c r="B399" s="1" t="s">
        <v>141</v>
      </c>
      <c r="C399" s="4">
        <v>46</v>
      </c>
      <c r="D399" s="8">
        <v>1.59</v>
      </c>
      <c r="E399" s="4">
        <v>36</v>
      </c>
      <c r="F399" s="8">
        <v>2.2400000000000002</v>
      </c>
      <c r="G399" s="4">
        <v>10</v>
      </c>
      <c r="H399" s="8">
        <v>0.78</v>
      </c>
      <c r="I399" s="4">
        <v>0</v>
      </c>
    </row>
    <row r="400" spans="1:9" x14ac:dyDescent="0.2">
      <c r="A400" s="2">
        <v>17</v>
      </c>
      <c r="B400" s="1" t="s">
        <v>147</v>
      </c>
      <c r="C400" s="4">
        <v>43</v>
      </c>
      <c r="D400" s="8">
        <v>1.49</v>
      </c>
      <c r="E400" s="4">
        <v>34</v>
      </c>
      <c r="F400" s="8">
        <v>2.11</v>
      </c>
      <c r="G400" s="4">
        <v>9</v>
      </c>
      <c r="H400" s="8">
        <v>0.71</v>
      </c>
      <c r="I400" s="4">
        <v>0</v>
      </c>
    </row>
    <row r="401" spans="1:9" x14ac:dyDescent="0.2">
      <c r="A401" s="2">
        <v>18</v>
      </c>
      <c r="B401" s="1" t="s">
        <v>125</v>
      </c>
      <c r="C401" s="4">
        <v>42</v>
      </c>
      <c r="D401" s="8">
        <v>1.45</v>
      </c>
      <c r="E401" s="4">
        <v>14</v>
      </c>
      <c r="F401" s="8">
        <v>0.87</v>
      </c>
      <c r="G401" s="4">
        <v>28</v>
      </c>
      <c r="H401" s="8">
        <v>2.2000000000000002</v>
      </c>
      <c r="I401" s="4">
        <v>0</v>
      </c>
    </row>
    <row r="402" spans="1:9" x14ac:dyDescent="0.2">
      <c r="A402" s="2">
        <v>19</v>
      </c>
      <c r="B402" s="1" t="s">
        <v>122</v>
      </c>
      <c r="C402" s="4">
        <v>41</v>
      </c>
      <c r="D402" s="8">
        <v>1.42</v>
      </c>
      <c r="E402" s="4">
        <v>10</v>
      </c>
      <c r="F402" s="8">
        <v>0.62</v>
      </c>
      <c r="G402" s="4">
        <v>31</v>
      </c>
      <c r="H402" s="8">
        <v>2.4300000000000002</v>
      </c>
      <c r="I402" s="4">
        <v>0</v>
      </c>
    </row>
    <row r="403" spans="1:9" x14ac:dyDescent="0.2">
      <c r="A403" s="2">
        <v>19</v>
      </c>
      <c r="B403" s="1" t="s">
        <v>137</v>
      </c>
      <c r="C403" s="4">
        <v>41</v>
      </c>
      <c r="D403" s="8">
        <v>1.42</v>
      </c>
      <c r="E403" s="4">
        <v>30</v>
      </c>
      <c r="F403" s="8">
        <v>1.86</v>
      </c>
      <c r="G403" s="4">
        <v>11</v>
      </c>
      <c r="H403" s="8">
        <v>0.86</v>
      </c>
      <c r="I403" s="4">
        <v>0</v>
      </c>
    </row>
    <row r="404" spans="1:9" x14ac:dyDescent="0.2">
      <c r="A404" s="1"/>
      <c r="C404" s="4"/>
      <c r="D404" s="8"/>
      <c r="E404" s="4"/>
      <c r="F404" s="8"/>
      <c r="G404" s="4"/>
      <c r="H404" s="8"/>
      <c r="I404" s="4"/>
    </row>
    <row r="405" spans="1:9" x14ac:dyDescent="0.2">
      <c r="A405" s="1" t="s">
        <v>18</v>
      </c>
      <c r="C405" s="4"/>
      <c r="D405" s="8"/>
      <c r="E405" s="4"/>
      <c r="F405" s="8"/>
      <c r="G405" s="4"/>
      <c r="H405" s="8"/>
      <c r="I405" s="4"/>
    </row>
    <row r="406" spans="1:9" x14ac:dyDescent="0.2">
      <c r="A406" s="2">
        <v>1</v>
      </c>
      <c r="B406" s="1" t="s">
        <v>134</v>
      </c>
      <c r="C406" s="4">
        <v>63</v>
      </c>
      <c r="D406" s="8">
        <v>4.97</v>
      </c>
      <c r="E406" s="4">
        <v>60</v>
      </c>
      <c r="F406" s="8">
        <v>9.49</v>
      </c>
      <c r="G406" s="4">
        <v>3</v>
      </c>
      <c r="H406" s="8">
        <v>0.48</v>
      </c>
      <c r="I406" s="4">
        <v>0</v>
      </c>
    </row>
    <row r="407" spans="1:9" x14ac:dyDescent="0.2">
      <c r="A407" s="2">
        <v>2</v>
      </c>
      <c r="B407" s="1" t="s">
        <v>129</v>
      </c>
      <c r="C407" s="4">
        <v>59</v>
      </c>
      <c r="D407" s="8">
        <v>4.6500000000000004</v>
      </c>
      <c r="E407" s="4">
        <v>38</v>
      </c>
      <c r="F407" s="8">
        <v>6.01</v>
      </c>
      <c r="G407" s="4">
        <v>20</v>
      </c>
      <c r="H407" s="8">
        <v>3.18</v>
      </c>
      <c r="I407" s="4">
        <v>0</v>
      </c>
    </row>
    <row r="408" spans="1:9" x14ac:dyDescent="0.2">
      <c r="A408" s="2">
        <v>3</v>
      </c>
      <c r="B408" s="1" t="s">
        <v>133</v>
      </c>
      <c r="C408" s="4">
        <v>58</v>
      </c>
      <c r="D408" s="8">
        <v>4.57</v>
      </c>
      <c r="E408" s="4">
        <v>53</v>
      </c>
      <c r="F408" s="8">
        <v>8.39</v>
      </c>
      <c r="G408" s="4">
        <v>5</v>
      </c>
      <c r="H408" s="8">
        <v>0.79</v>
      </c>
      <c r="I408" s="4">
        <v>0</v>
      </c>
    </row>
    <row r="409" spans="1:9" x14ac:dyDescent="0.2">
      <c r="A409" s="2">
        <v>4</v>
      </c>
      <c r="B409" s="1" t="s">
        <v>131</v>
      </c>
      <c r="C409" s="4">
        <v>42</v>
      </c>
      <c r="D409" s="8">
        <v>3.31</v>
      </c>
      <c r="E409" s="4">
        <v>36</v>
      </c>
      <c r="F409" s="8">
        <v>5.7</v>
      </c>
      <c r="G409" s="4">
        <v>6</v>
      </c>
      <c r="H409" s="8">
        <v>0.95</v>
      </c>
      <c r="I409" s="4">
        <v>0</v>
      </c>
    </row>
    <row r="410" spans="1:9" x14ac:dyDescent="0.2">
      <c r="A410" s="2">
        <v>5</v>
      </c>
      <c r="B410" s="1" t="s">
        <v>121</v>
      </c>
      <c r="C410" s="4">
        <v>37</v>
      </c>
      <c r="D410" s="8">
        <v>2.92</v>
      </c>
      <c r="E410" s="4">
        <v>12</v>
      </c>
      <c r="F410" s="8">
        <v>1.9</v>
      </c>
      <c r="G410" s="4">
        <v>25</v>
      </c>
      <c r="H410" s="8">
        <v>3.97</v>
      </c>
      <c r="I410" s="4">
        <v>0</v>
      </c>
    </row>
    <row r="411" spans="1:9" x14ac:dyDescent="0.2">
      <c r="A411" s="2">
        <v>6</v>
      </c>
      <c r="B411" s="1" t="s">
        <v>118</v>
      </c>
      <c r="C411" s="4">
        <v>33</v>
      </c>
      <c r="D411" s="8">
        <v>2.6</v>
      </c>
      <c r="E411" s="4">
        <v>4</v>
      </c>
      <c r="F411" s="8">
        <v>0.63</v>
      </c>
      <c r="G411" s="4">
        <v>29</v>
      </c>
      <c r="H411" s="8">
        <v>4.6100000000000003</v>
      </c>
      <c r="I411" s="4">
        <v>0</v>
      </c>
    </row>
    <row r="412" spans="1:9" x14ac:dyDescent="0.2">
      <c r="A412" s="2">
        <v>6</v>
      </c>
      <c r="B412" s="1" t="s">
        <v>122</v>
      </c>
      <c r="C412" s="4">
        <v>33</v>
      </c>
      <c r="D412" s="8">
        <v>2.6</v>
      </c>
      <c r="E412" s="4">
        <v>6</v>
      </c>
      <c r="F412" s="8">
        <v>0.95</v>
      </c>
      <c r="G412" s="4">
        <v>27</v>
      </c>
      <c r="H412" s="8">
        <v>4.29</v>
      </c>
      <c r="I412" s="4">
        <v>0</v>
      </c>
    </row>
    <row r="413" spans="1:9" x14ac:dyDescent="0.2">
      <c r="A413" s="2">
        <v>8</v>
      </c>
      <c r="B413" s="1" t="s">
        <v>132</v>
      </c>
      <c r="C413" s="4">
        <v>32</v>
      </c>
      <c r="D413" s="8">
        <v>2.52</v>
      </c>
      <c r="E413" s="4">
        <v>31</v>
      </c>
      <c r="F413" s="8">
        <v>4.91</v>
      </c>
      <c r="G413" s="4">
        <v>1</v>
      </c>
      <c r="H413" s="8">
        <v>0.16</v>
      </c>
      <c r="I413" s="4">
        <v>0</v>
      </c>
    </row>
    <row r="414" spans="1:9" x14ac:dyDescent="0.2">
      <c r="A414" s="2">
        <v>9</v>
      </c>
      <c r="B414" s="1" t="s">
        <v>123</v>
      </c>
      <c r="C414" s="4">
        <v>30</v>
      </c>
      <c r="D414" s="8">
        <v>2.37</v>
      </c>
      <c r="E414" s="4">
        <v>22</v>
      </c>
      <c r="F414" s="8">
        <v>3.48</v>
      </c>
      <c r="G414" s="4">
        <v>8</v>
      </c>
      <c r="H414" s="8">
        <v>1.27</v>
      </c>
      <c r="I414" s="4">
        <v>0</v>
      </c>
    </row>
    <row r="415" spans="1:9" x14ac:dyDescent="0.2">
      <c r="A415" s="2">
        <v>10</v>
      </c>
      <c r="B415" s="1" t="s">
        <v>127</v>
      </c>
      <c r="C415" s="4">
        <v>27</v>
      </c>
      <c r="D415" s="8">
        <v>2.13</v>
      </c>
      <c r="E415" s="4">
        <v>11</v>
      </c>
      <c r="F415" s="8">
        <v>1.74</v>
      </c>
      <c r="G415" s="4">
        <v>16</v>
      </c>
      <c r="H415" s="8">
        <v>2.54</v>
      </c>
      <c r="I415" s="4">
        <v>0</v>
      </c>
    </row>
    <row r="416" spans="1:9" x14ac:dyDescent="0.2">
      <c r="A416" s="2">
        <v>10</v>
      </c>
      <c r="B416" s="1" t="s">
        <v>137</v>
      </c>
      <c r="C416" s="4">
        <v>27</v>
      </c>
      <c r="D416" s="8">
        <v>2.13</v>
      </c>
      <c r="E416" s="4">
        <v>24</v>
      </c>
      <c r="F416" s="8">
        <v>3.8</v>
      </c>
      <c r="G416" s="4">
        <v>3</v>
      </c>
      <c r="H416" s="8">
        <v>0.48</v>
      </c>
      <c r="I416" s="4">
        <v>0</v>
      </c>
    </row>
    <row r="417" spans="1:9" x14ac:dyDescent="0.2">
      <c r="A417" s="2">
        <v>12</v>
      </c>
      <c r="B417" s="1" t="s">
        <v>120</v>
      </c>
      <c r="C417" s="4">
        <v>25</v>
      </c>
      <c r="D417" s="8">
        <v>1.97</v>
      </c>
      <c r="E417" s="4">
        <v>16</v>
      </c>
      <c r="F417" s="8">
        <v>2.5299999999999998</v>
      </c>
      <c r="G417" s="4">
        <v>9</v>
      </c>
      <c r="H417" s="8">
        <v>1.43</v>
      </c>
      <c r="I417" s="4">
        <v>0</v>
      </c>
    </row>
    <row r="418" spans="1:9" x14ac:dyDescent="0.2">
      <c r="A418" s="2">
        <v>13</v>
      </c>
      <c r="B418" s="1" t="s">
        <v>119</v>
      </c>
      <c r="C418" s="4">
        <v>22</v>
      </c>
      <c r="D418" s="8">
        <v>1.74</v>
      </c>
      <c r="E418" s="4">
        <v>4</v>
      </c>
      <c r="F418" s="8">
        <v>0.63</v>
      </c>
      <c r="G418" s="4">
        <v>18</v>
      </c>
      <c r="H418" s="8">
        <v>2.86</v>
      </c>
      <c r="I418" s="4">
        <v>0</v>
      </c>
    </row>
    <row r="419" spans="1:9" x14ac:dyDescent="0.2">
      <c r="A419" s="2">
        <v>13</v>
      </c>
      <c r="B419" s="1" t="s">
        <v>136</v>
      </c>
      <c r="C419" s="4">
        <v>22</v>
      </c>
      <c r="D419" s="8">
        <v>1.74</v>
      </c>
      <c r="E419" s="4">
        <v>20</v>
      </c>
      <c r="F419" s="8">
        <v>3.16</v>
      </c>
      <c r="G419" s="4">
        <v>2</v>
      </c>
      <c r="H419" s="8">
        <v>0.32</v>
      </c>
      <c r="I419" s="4">
        <v>0</v>
      </c>
    </row>
    <row r="420" spans="1:9" x14ac:dyDescent="0.2">
      <c r="A420" s="2">
        <v>15</v>
      </c>
      <c r="B420" s="1" t="s">
        <v>153</v>
      </c>
      <c r="C420" s="4">
        <v>21</v>
      </c>
      <c r="D420" s="8">
        <v>1.66</v>
      </c>
      <c r="E420" s="4">
        <v>6</v>
      </c>
      <c r="F420" s="8">
        <v>0.95</v>
      </c>
      <c r="G420" s="4">
        <v>15</v>
      </c>
      <c r="H420" s="8">
        <v>2.38</v>
      </c>
      <c r="I420" s="4">
        <v>0</v>
      </c>
    </row>
    <row r="421" spans="1:9" x14ac:dyDescent="0.2">
      <c r="A421" s="2">
        <v>16</v>
      </c>
      <c r="B421" s="1" t="s">
        <v>124</v>
      </c>
      <c r="C421" s="4">
        <v>20</v>
      </c>
      <c r="D421" s="8">
        <v>1.58</v>
      </c>
      <c r="E421" s="4">
        <v>8</v>
      </c>
      <c r="F421" s="8">
        <v>1.27</v>
      </c>
      <c r="G421" s="4">
        <v>12</v>
      </c>
      <c r="H421" s="8">
        <v>1.91</v>
      </c>
      <c r="I421" s="4">
        <v>0</v>
      </c>
    </row>
    <row r="422" spans="1:9" x14ac:dyDescent="0.2">
      <c r="A422" s="2">
        <v>17</v>
      </c>
      <c r="B422" s="1" t="s">
        <v>152</v>
      </c>
      <c r="C422" s="4">
        <v>19</v>
      </c>
      <c r="D422" s="8">
        <v>1.5</v>
      </c>
      <c r="E422" s="4">
        <v>13</v>
      </c>
      <c r="F422" s="8">
        <v>2.06</v>
      </c>
      <c r="G422" s="4">
        <v>6</v>
      </c>
      <c r="H422" s="8">
        <v>0.95</v>
      </c>
      <c r="I422" s="4">
        <v>0</v>
      </c>
    </row>
    <row r="423" spans="1:9" x14ac:dyDescent="0.2">
      <c r="A423" s="2">
        <v>18</v>
      </c>
      <c r="B423" s="1" t="s">
        <v>166</v>
      </c>
      <c r="C423" s="4">
        <v>16</v>
      </c>
      <c r="D423" s="8">
        <v>1.26</v>
      </c>
      <c r="E423" s="4">
        <v>2</v>
      </c>
      <c r="F423" s="8">
        <v>0.32</v>
      </c>
      <c r="G423" s="4">
        <v>14</v>
      </c>
      <c r="H423" s="8">
        <v>2.23</v>
      </c>
      <c r="I423" s="4">
        <v>0</v>
      </c>
    </row>
    <row r="424" spans="1:9" x14ac:dyDescent="0.2">
      <c r="A424" s="2">
        <v>18</v>
      </c>
      <c r="B424" s="1" t="s">
        <v>144</v>
      </c>
      <c r="C424" s="4">
        <v>16</v>
      </c>
      <c r="D424" s="8">
        <v>1.26</v>
      </c>
      <c r="E424" s="4">
        <v>7</v>
      </c>
      <c r="F424" s="8">
        <v>1.1100000000000001</v>
      </c>
      <c r="G424" s="4">
        <v>9</v>
      </c>
      <c r="H424" s="8">
        <v>1.43</v>
      </c>
      <c r="I424" s="4">
        <v>0</v>
      </c>
    </row>
    <row r="425" spans="1:9" x14ac:dyDescent="0.2">
      <c r="A425" s="2">
        <v>18</v>
      </c>
      <c r="B425" s="1" t="s">
        <v>125</v>
      </c>
      <c r="C425" s="4">
        <v>16</v>
      </c>
      <c r="D425" s="8">
        <v>1.26</v>
      </c>
      <c r="E425" s="4">
        <v>6</v>
      </c>
      <c r="F425" s="8">
        <v>0.95</v>
      </c>
      <c r="G425" s="4">
        <v>10</v>
      </c>
      <c r="H425" s="8">
        <v>1.59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134</v>
      </c>
      <c r="C428" s="4">
        <v>43</v>
      </c>
      <c r="D428" s="8">
        <v>5.84</v>
      </c>
      <c r="E428" s="4">
        <v>41</v>
      </c>
      <c r="F428" s="8">
        <v>8.1</v>
      </c>
      <c r="G428" s="4">
        <v>2</v>
      </c>
      <c r="H428" s="8">
        <v>0.88</v>
      </c>
      <c r="I428" s="4">
        <v>0</v>
      </c>
    </row>
    <row r="429" spans="1:9" x14ac:dyDescent="0.2">
      <c r="A429" s="2">
        <v>2</v>
      </c>
      <c r="B429" s="1" t="s">
        <v>132</v>
      </c>
      <c r="C429" s="4">
        <v>41</v>
      </c>
      <c r="D429" s="8">
        <v>5.57</v>
      </c>
      <c r="E429" s="4">
        <v>40</v>
      </c>
      <c r="F429" s="8">
        <v>7.91</v>
      </c>
      <c r="G429" s="4">
        <v>1</v>
      </c>
      <c r="H429" s="8">
        <v>0.44</v>
      </c>
      <c r="I429" s="4">
        <v>0</v>
      </c>
    </row>
    <row r="430" spans="1:9" x14ac:dyDescent="0.2">
      <c r="A430" s="2">
        <v>3</v>
      </c>
      <c r="B430" s="1" t="s">
        <v>133</v>
      </c>
      <c r="C430" s="4">
        <v>35</v>
      </c>
      <c r="D430" s="8">
        <v>4.76</v>
      </c>
      <c r="E430" s="4">
        <v>33</v>
      </c>
      <c r="F430" s="8">
        <v>6.52</v>
      </c>
      <c r="G430" s="4">
        <v>2</v>
      </c>
      <c r="H430" s="8">
        <v>0.88</v>
      </c>
      <c r="I430" s="4">
        <v>0</v>
      </c>
    </row>
    <row r="431" spans="1:9" x14ac:dyDescent="0.2">
      <c r="A431" s="2">
        <v>4</v>
      </c>
      <c r="B431" s="1" t="s">
        <v>129</v>
      </c>
      <c r="C431" s="4">
        <v>27</v>
      </c>
      <c r="D431" s="8">
        <v>3.67</v>
      </c>
      <c r="E431" s="4">
        <v>24</v>
      </c>
      <c r="F431" s="8">
        <v>4.74</v>
      </c>
      <c r="G431" s="4">
        <v>3</v>
      </c>
      <c r="H431" s="8">
        <v>1.32</v>
      </c>
      <c r="I431" s="4">
        <v>0</v>
      </c>
    </row>
    <row r="432" spans="1:9" x14ac:dyDescent="0.2">
      <c r="A432" s="2">
        <v>5</v>
      </c>
      <c r="B432" s="1" t="s">
        <v>118</v>
      </c>
      <c r="C432" s="4">
        <v>23</v>
      </c>
      <c r="D432" s="8">
        <v>3.13</v>
      </c>
      <c r="E432" s="4">
        <v>2</v>
      </c>
      <c r="F432" s="8">
        <v>0.4</v>
      </c>
      <c r="G432" s="4">
        <v>21</v>
      </c>
      <c r="H432" s="8">
        <v>9.25</v>
      </c>
      <c r="I432" s="4">
        <v>0</v>
      </c>
    </row>
    <row r="433" spans="1:9" x14ac:dyDescent="0.2">
      <c r="A433" s="2">
        <v>5</v>
      </c>
      <c r="B433" s="1" t="s">
        <v>120</v>
      </c>
      <c r="C433" s="4">
        <v>23</v>
      </c>
      <c r="D433" s="8">
        <v>3.13</v>
      </c>
      <c r="E433" s="4">
        <v>20</v>
      </c>
      <c r="F433" s="8">
        <v>3.95</v>
      </c>
      <c r="G433" s="4">
        <v>3</v>
      </c>
      <c r="H433" s="8">
        <v>1.32</v>
      </c>
      <c r="I433" s="4">
        <v>0</v>
      </c>
    </row>
    <row r="434" spans="1:9" x14ac:dyDescent="0.2">
      <c r="A434" s="2">
        <v>5</v>
      </c>
      <c r="B434" s="1" t="s">
        <v>137</v>
      </c>
      <c r="C434" s="4">
        <v>23</v>
      </c>
      <c r="D434" s="8">
        <v>3.13</v>
      </c>
      <c r="E434" s="4">
        <v>22</v>
      </c>
      <c r="F434" s="8">
        <v>4.3499999999999996</v>
      </c>
      <c r="G434" s="4">
        <v>1</v>
      </c>
      <c r="H434" s="8">
        <v>0.44</v>
      </c>
      <c r="I434" s="4">
        <v>0</v>
      </c>
    </row>
    <row r="435" spans="1:9" x14ac:dyDescent="0.2">
      <c r="A435" s="2">
        <v>8</v>
      </c>
      <c r="B435" s="1" t="s">
        <v>131</v>
      </c>
      <c r="C435" s="4">
        <v>22</v>
      </c>
      <c r="D435" s="8">
        <v>2.99</v>
      </c>
      <c r="E435" s="4">
        <v>22</v>
      </c>
      <c r="F435" s="8">
        <v>4.3499999999999996</v>
      </c>
      <c r="G435" s="4">
        <v>0</v>
      </c>
      <c r="H435" s="8">
        <v>0</v>
      </c>
      <c r="I435" s="4">
        <v>0</v>
      </c>
    </row>
    <row r="436" spans="1:9" x14ac:dyDescent="0.2">
      <c r="A436" s="2">
        <v>9</v>
      </c>
      <c r="B436" s="1" t="s">
        <v>126</v>
      </c>
      <c r="C436" s="4">
        <v>19</v>
      </c>
      <c r="D436" s="8">
        <v>2.58</v>
      </c>
      <c r="E436" s="4">
        <v>11</v>
      </c>
      <c r="F436" s="8">
        <v>2.17</v>
      </c>
      <c r="G436" s="4">
        <v>8</v>
      </c>
      <c r="H436" s="8">
        <v>3.52</v>
      </c>
      <c r="I436" s="4">
        <v>0</v>
      </c>
    </row>
    <row r="437" spans="1:9" x14ac:dyDescent="0.2">
      <c r="A437" s="2">
        <v>10</v>
      </c>
      <c r="B437" s="1" t="s">
        <v>123</v>
      </c>
      <c r="C437" s="4">
        <v>17</v>
      </c>
      <c r="D437" s="8">
        <v>2.31</v>
      </c>
      <c r="E437" s="4">
        <v>14</v>
      </c>
      <c r="F437" s="8">
        <v>2.77</v>
      </c>
      <c r="G437" s="4">
        <v>3</v>
      </c>
      <c r="H437" s="8">
        <v>1.32</v>
      </c>
      <c r="I437" s="4">
        <v>0</v>
      </c>
    </row>
    <row r="438" spans="1:9" x14ac:dyDescent="0.2">
      <c r="A438" s="2">
        <v>11</v>
      </c>
      <c r="B438" s="1" t="s">
        <v>122</v>
      </c>
      <c r="C438" s="4">
        <v>16</v>
      </c>
      <c r="D438" s="8">
        <v>2.17</v>
      </c>
      <c r="E438" s="4">
        <v>8</v>
      </c>
      <c r="F438" s="8">
        <v>1.58</v>
      </c>
      <c r="G438" s="4">
        <v>8</v>
      </c>
      <c r="H438" s="8">
        <v>3.52</v>
      </c>
      <c r="I438" s="4">
        <v>0</v>
      </c>
    </row>
    <row r="439" spans="1:9" x14ac:dyDescent="0.2">
      <c r="A439" s="2">
        <v>12</v>
      </c>
      <c r="B439" s="1" t="s">
        <v>136</v>
      </c>
      <c r="C439" s="4">
        <v>15</v>
      </c>
      <c r="D439" s="8">
        <v>2.04</v>
      </c>
      <c r="E439" s="4">
        <v>14</v>
      </c>
      <c r="F439" s="8">
        <v>2.77</v>
      </c>
      <c r="G439" s="4">
        <v>1</v>
      </c>
      <c r="H439" s="8">
        <v>0.44</v>
      </c>
      <c r="I439" s="4">
        <v>0</v>
      </c>
    </row>
    <row r="440" spans="1:9" x14ac:dyDescent="0.2">
      <c r="A440" s="2">
        <v>13</v>
      </c>
      <c r="B440" s="1" t="s">
        <v>124</v>
      </c>
      <c r="C440" s="4">
        <v>14</v>
      </c>
      <c r="D440" s="8">
        <v>1.9</v>
      </c>
      <c r="E440" s="4">
        <v>9</v>
      </c>
      <c r="F440" s="8">
        <v>1.78</v>
      </c>
      <c r="G440" s="4">
        <v>5</v>
      </c>
      <c r="H440" s="8">
        <v>2.2000000000000002</v>
      </c>
      <c r="I440" s="4">
        <v>0</v>
      </c>
    </row>
    <row r="441" spans="1:9" x14ac:dyDescent="0.2">
      <c r="A441" s="2">
        <v>14</v>
      </c>
      <c r="B441" s="1" t="s">
        <v>127</v>
      </c>
      <c r="C441" s="4">
        <v>13</v>
      </c>
      <c r="D441" s="8">
        <v>1.77</v>
      </c>
      <c r="E441" s="4">
        <v>13</v>
      </c>
      <c r="F441" s="8">
        <v>2.57</v>
      </c>
      <c r="G441" s="4">
        <v>0</v>
      </c>
      <c r="H441" s="8">
        <v>0</v>
      </c>
      <c r="I441" s="4">
        <v>0</v>
      </c>
    </row>
    <row r="442" spans="1:9" x14ac:dyDescent="0.2">
      <c r="A442" s="2">
        <v>15</v>
      </c>
      <c r="B442" s="1" t="s">
        <v>152</v>
      </c>
      <c r="C442" s="4">
        <v>12</v>
      </c>
      <c r="D442" s="8">
        <v>1.63</v>
      </c>
      <c r="E442" s="4">
        <v>12</v>
      </c>
      <c r="F442" s="8">
        <v>2.37</v>
      </c>
      <c r="G442" s="4">
        <v>0</v>
      </c>
      <c r="H442" s="8">
        <v>0</v>
      </c>
      <c r="I442" s="4">
        <v>0</v>
      </c>
    </row>
    <row r="443" spans="1:9" x14ac:dyDescent="0.2">
      <c r="A443" s="2">
        <v>16</v>
      </c>
      <c r="B443" s="1" t="s">
        <v>119</v>
      </c>
      <c r="C443" s="4">
        <v>10</v>
      </c>
      <c r="D443" s="8">
        <v>1.36</v>
      </c>
      <c r="E443" s="4">
        <v>4</v>
      </c>
      <c r="F443" s="8">
        <v>0.79</v>
      </c>
      <c r="G443" s="4">
        <v>6</v>
      </c>
      <c r="H443" s="8">
        <v>2.64</v>
      </c>
      <c r="I443" s="4">
        <v>0</v>
      </c>
    </row>
    <row r="444" spans="1:9" x14ac:dyDescent="0.2">
      <c r="A444" s="2">
        <v>16</v>
      </c>
      <c r="B444" s="1" t="s">
        <v>121</v>
      </c>
      <c r="C444" s="4">
        <v>10</v>
      </c>
      <c r="D444" s="8">
        <v>1.36</v>
      </c>
      <c r="E444" s="4">
        <v>3</v>
      </c>
      <c r="F444" s="8">
        <v>0.59</v>
      </c>
      <c r="G444" s="4">
        <v>7</v>
      </c>
      <c r="H444" s="8">
        <v>3.08</v>
      </c>
      <c r="I444" s="4">
        <v>0</v>
      </c>
    </row>
    <row r="445" spans="1:9" x14ac:dyDescent="0.2">
      <c r="A445" s="2">
        <v>16</v>
      </c>
      <c r="B445" s="1" t="s">
        <v>140</v>
      </c>
      <c r="C445" s="4">
        <v>10</v>
      </c>
      <c r="D445" s="8">
        <v>1.36</v>
      </c>
      <c r="E445" s="4">
        <v>8</v>
      </c>
      <c r="F445" s="8">
        <v>1.58</v>
      </c>
      <c r="G445" s="4">
        <v>2</v>
      </c>
      <c r="H445" s="8">
        <v>0.88</v>
      </c>
      <c r="I445" s="4">
        <v>0</v>
      </c>
    </row>
    <row r="446" spans="1:9" x14ac:dyDescent="0.2">
      <c r="A446" s="2">
        <v>16</v>
      </c>
      <c r="B446" s="1" t="s">
        <v>130</v>
      </c>
      <c r="C446" s="4">
        <v>10</v>
      </c>
      <c r="D446" s="8">
        <v>1.36</v>
      </c>
      <c r="E446" s="4">
        <v>1</v>
      </c>
      <c r="F446" s="8">
        <v>0.2</v>
      </c>
      <c r="G446" s="4">
        <v>9</v>
      </c>
      <c r="H446" s="8">
        <v>3.96</v>
      </c>
      <c r="I446" s="4">
        <v>0</v>
      </c>
    </row>
    <row r="447" spans="1:9" x14ac:dyDescent="0.2">
      <c r="A447" s="2">
        <v>20</v>
      </c>
      <c r="B447" s="1" t="s">
        <v>167</v>
      </c>
      <c r="C447" s="4">
        <v>9</v>
      </c>
      <c r="D447" s="8">
        <v>1.22</v>
      </c>
      <c r="E447" s="4">
        <v>7</v>
      </c>
      <c r="F447" s="8">
        <v>1.38</v>
      </c>
      <c r="G447" s="4">
        <v>2</v>
      </c>
      <c r="H447" s="8">
        <v>0.88</v>
      </c>
      <c r="I447" s="4">
        <v>0</v>
      </c>
    </row>
    <row r="448" spans="1:9" x14ac:dyDescent="0.2">
      <c r="A448" s="2">
        <v>20</v>
      </c>
      <c r="B448" s="1" t="s">
        <v>147</v>
      </c>
      <c r="C448" s="4">
        <v>9</v>
      </c>
      <c r="D448" s="8">
        <v>1.22</v>
      </c>
      <c r="E448" s="4">
        <v>9</v>
      </c>
      <c r="F448" s="8">
        <v>1.78</v>
      </c>
      <c r="G448" s="4">
        <v>0</v>
      </c>
      <c r="H448" s="8">
        <v>0</v>
      </c>
      <c r="I448" s="4">
        <v>0</v>
      </c>
    </row>
    <row r="449" spans="1:9" x14ac:dyDescent="0.2">
      <c r="A449" s="2">
        <v>20</v>
      </c>
      <c r="B449" s="1" t="s">
        <v>135</v>
      </c>
      <c r="C449" s="4">
        <v>9</v>
      </c>
      <c r="D449" s="8">
        <v>1.22</v>
      </c>
      <c r="E449" s="4">
        <v>8</v>
      </c>
      <c r="F449" s="8">
        <v>1.58</v>
      </c>
      <c r="G449" s="4">
        <v>1</v>
      </c>
      <c r="H449" s="8">
        <v>0.44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134</v>
      </c>
      <c r="C452" s="4">
        <v>93</v>
      </c>
      <c r="D452" s="8">
        <v>7.65</v>
      </c>
      <c r="E452" s="4">
        <v>74</v>
      </c>
      <c r="F452" s="8">
        <v>12.33</v>
      </c>
      <c r="G452" s="4">
        <v>19</v>
      </c>
      <c r="H452" s="8">
        <v>3.1</v>
      </c>
      <c r="I452" s="4">
        <v>0</v>
      </c>
    </row>
    <row r="453" spans="1:9" x14ac:dyDescent="0.2">
      <c r="A453" s="2">
        <v>2</v>
      </c>
      <c r="B453" s="1" t="s">
        <v>135</v>
      </c>
      <c r="C453" s="4">
        <v>82</v>
      </c>
      <c r="D453" s="8">
        <v>6.74</v>
      </c>
      <c r="E453" s="4">
        <v>64</v>
      </c>
      <c r="F453" s="8">
        <v>10.67</v>
      </c>
      <c r="G453" s="4">
        <v>17</v>
      </c>
      <c r="H453" s="8">
        <v>2.77</v>
      </c>
      <c r="I453" s="4">
        <v>1</v>
      </c>
    </row>
    <row r="454" spans="1:9" x14ac:dyDescent="0.2">
      <c r="A454" s="2">
        <v>3</v>
      </c>
      <c r="B454" s="1" t="s">
        <v>136</v>
      </c>
      <c r="C454" s="4">
        <v>45</v>
      </c>
      <c r="D454" s="8">
        <v>3.7</v>
      </c>
      <c r="E454" s="4">
        <v>41</v>
      </c>
      <c r="F454" s="8">
        <v>6.83</v>
      </c>
      <c r="G454" s="4">
        <v>4</v>
      </c>
      <c r="H454" s="8">
        <v>0.65</v>
      </c>
      <c r="I454" s="4">
        <v>0</v>
      </c>
    </row>
    <row r="455" spans="1:9" x14ac:dyDescent="0.2">
      <c r="A455" s="2">
        <v>4</v>
      </c>
      <c r="B455" s="1" t="s">
        <v>129</v>
      </c>
      <c r="C455" s="4">
        <v>41</v>
      </c>
      <c r="D455" s="8">
        <v>3.37</v>
      </c>
      <c r="E455" s="4">
        <v>7</v>
      </c>
      <c r="F455" s="8">
        <v>1.17</v>
      </c>
      <c r="G455" s="4">
        <v>34</v>
      </c>
      <c r="H455" s="8">
        <v>5.55</v>
      </c>
      <c r="I455" s="4">
        <v>0</v>
      </c>
    </row>
    <row r="456" spans="1:9" x14ac:dyDescent="0.2">
      <c r="A456" s="2">
        <v>5</v>
      </c>
      <c r="B456" s="1" t="s">
        <v>133</v>
      </c>
      <c r="C456" s="4">
        <v>36</v>
      </c>
      <c r="D456" s="8">
        <v>2.96</v>
      </c>
      <c r="E456" s="4">
        <v>33</v>
      </c>
      <c r="F456" s="8">
        <v>5.5</v>
      </c>
      <c r="G456" s="4">
        <v>3</v>
      </c>
      <c r="H456" s="8">
        <v>0.49</v>
      </c>
      <c r="I456" s="4">
        <v>0</v>
      </c>
    </row>
    <row r="457" spans="1:9" x14ac:dyDescent="0.2">
      <c r="A457" s="2">
        <v>6</v>
      </c>
      <c r="B457" s="1" t="s">
        <v>131</v>
      </c>
      <c r="C457" s="4">
        <v>34</v>
      </c>
      <c r="D457" s="8">
        <v>2.8</v>
      </c>
      <c r="E457" s="4">
        <v>27</v>
      </c>
      <c r="F457" s="8">
        <v>4.5</v>
      </c>
      <c r="G457" s="4">
        <v>7</v>
      </c>
      <c r="H457" s="8">
        <v>1.1399999999999999</v>
      </c>
      <c r="I457" s="4">
        <v>0</v>
      </c>
    </row>
    <row r="458" spans="1:9" x14ac:dyDescent="0.2">
      <c r="A458" s="2">
        <v>7</v>
      </c>
      <c r="B458" s="1" t="s">
        <v>119</v>
      </c>
      <c r="C458" s="4">
        <v>26</v>
      </c>
      <c r="D458" s="8">
        <v>2.14</v>
      </c>
      <c r="E458" s="4">
        <v>4</v>
      </c>
      <c r="F458" s="8">
        <v>0.67</v>
      </c>
      <c r="G458" s="4">
        <v>22</v>
      </c>
      <c r="H458" s="8">
        <v>3.59</v>
      </c>
      <c r="I458" s="4">
        <v>0</v>
      </c>
    </row>
    <row r="459" spans="1:9" x14ac:dyDescent="0.2">
      <c r="A459" s="2">
        <v>7</v>
      </c>
      <c r="B459" s="1" t="s">
        <v>164</v>
      </c>
      <c r="C459" s="4">
        <v>26</v>
      </c>
      <c r="D459" s="8">
        <v>2.14</v>
      </c>
      <c r="E459" s="4">
        <v>4</v>
      </c>
      <c r="F459" s="8">
        <v>0.67</v>
      </c>
      <c r="G459" s="4">
        <v>22</v>
      </c>
      <c r="H459" s="8">
        <v>3.59</v>
      </c>
      <c r="I459" s="4">
        <v>0</v>
      </c>
    </row>
    <row r="460" spans="1:9" x14ac:dyDescent="0.2">
      <c r="A460" s="2">
        <v>7</v>
      </c>
      <c r="B460" s="1" t="s">
        <v>141</v>
      </c>
      <c r="C460" s="4">
        <v>26</v>
      </c>
      <c r="D460" s="8">
        <v>2.14</v>
      </c>
      <c r="E460" s="4">
        <v>21</v>
      </c>
      <c r="F460" s="8">
        <v>3.5</v>
      </c>
      <c r="G460" s="4">
        <v>5</v>
      </c>
      <c r="H460" s="8">
        <v>0.82</v>
      </c>
      <c r="I460" s="4">
        <v>0</v>
      </c>
    </row>
    <row r="461" spans="1:9" x14ac:dyDescent="0.2">
      <c r="A461" s="2">
        <v>10</v>
      </c>
      <c r="B461" s="1" t="s">
        <v>132</v>
      </c>
      <c r="C461" s="4">
        <v>25</v>
      </c>
      <c r="D461" s="8">
        <v>2.06</v>
      </c>
      <c r="E461" s="4">
        <v>19</v>
      </c>
      <c r="F461" s="8">
        <v>3.17</v>
      </c>
      <c r="G461" s="4">
        <v>6</v>
      </c>
      <c r="H461" s="8">
        <v>0.98</v>
      </c>
      <c r="I461" s="4">
        <v>0</v>
      </c>
    </row>
    <row r="462" spans="1:9" x14ac:dyDescent="0.2">
      <c r="A462" s="2">
        <v>11</v>
      </c>
      <c r="B462" s="1" t="s">
        <v>120</v>
      </c>
      <c r="C462" s="4">
        <v>23</v>
      </c>
      <c r="D462" s="8">
        <v>1.89</v>
      </c>
      <c r="E462" s="4">
        <v>8</v>
      </c>
      <c r="F462" s="8">
        <v>1.33</v>
      </c>
      <c r="G462" s="4">
        <v>15</v>
      </c>
      <c r="H462" s="8">
        <v>2.4500000000000002</v>
      </c>
      <c r="I462" s="4">
        <v>0</v>
      </c>
    </row>
    <row r="463" spans="1:9" x14ac:dyDescent="0.2">
      <c r="A463" s="2">
        <v>12</v>
      </c>
      <c r="B463" s="1" t="s">
        <v>127</v>
      </c>
      <c r="C463" s="4">
        <v>22</v>
      </c>
      <c r="D463" s="8">
        <v>1.81</v>
      </c>
      <c r="E463" s="4">
        <v>14</v>
      </c>
      <c r="F463" s="8">
        <v>2.33</v>
      </c>
      <c r="G463" s="4">
        <v>8</v>
      </c>
      <c r="H463" s="8">
        <v>1.31</v>
      </c>
      <c r="I463" s="4">
        <v>0</v>
      </c>
    </row>
    <row r="464" spans="1:9" x14ac:dyDescent="0.2">
      <c r="A464" s="2">
        <v>12</v>
      </c>
      <c r="B464" s="1" t="s">
        <v>128</v>
      </c>
      <c r="C464" s="4">
        <v>22</v>
      </c>
      <c r="D464" s="8">
        <v>1.81</v>
      </c>
      <c r="E464" s="4">
        <v>3</v>
      </c>
      <c r="F464" s="8">
        <v>0.5</v>
      </c>
      <c r="G464" s="4">
        <v>19</v>
      </c>
      <c r="H464" s="8">
        <v>3.1</v>
      </c>
      <c r="I464" s="4">
        <v>0</v>
      </c>
    </row>
    <row r="465" spans="1:9" x14ac:dyDescent="0.2">
      <c r="A465" s="2">
        <v>12</v>
      </c>
      <c r="B465" s="1" t="s">
        <v>130</v>
      </c>
      <c r="C465" s="4">
        <v>22</v>
      </c>
      <c r="D465" s="8">
        <v>1.81</v>
      </c>
      <c r="E465" s="4">
        <v>11</v>
      </c>
      <c r="F465" s="8">
        <v>1.83</v>
      </c>
      <c r="G465" s="4">
        <v>10</v>
      </c>
      <c r="H465" s="8">
        <v>1.63</v>
      </c>
      <c r="I465" s="4">
        <v>0</v>
      </c>
    </row>
    <row r="466" spans="1:9" x14ac:dyDescent="0.2">
      <c r="A466" s="2">
        <v>15</v>
      </c>
      <c r="B466" s="1" t="s">
        <v>163</v>
      </c>
      <c r="C466" s="4">
        <v>21</v>
      </c>
      <c r="D466" s="8">
        <v>1.73</v>
      </c>
      <c r="E466" s="4">
        <v>12</v>
      </c>
      <c r="F466" s="8">
        <v>2</v>
      </c>
      <c r="G466" s="4">
        <v>9</v>
      </c>
      <c r="H466" s="8">
        <v>1.47</v>
      </c>
      <c r="I466" s="4">
        <v>0</v>
      </c>
    </row>
    <row r="467" spans="1:9" x14ac:dyDescent="0.2">
      <c r="A467" s="2">
        <v>16</v>
      </c>
      <c r="B467" s="1" t="s">
        <v>118</v>
      </c>
      <c r="C467" s="4">
        <v>20</v>
      </c>
      <c r="D467" s="8">
        <v>1.64</v>
      </c>
      <c r="E467" s="4">
        <v>4</v>
      </c>
      <c r="F467" s="8">
        <v>0.67</v>
      </c>
      <c r="G467" s="4">
        <v>16</v>
      </c>
      <c r="H467" s="8">
        <v>2.61</v>
      </c>
      <c r="I467" s="4">
        <v>0</v>
      </c>
    </row>
    <row r="468" spans="1:9" x14ac:dyDescent="0.2">
      <c r="A468" s="2">
        <v>17</v>
      </c>
      <c r="B468" s="1" t="s">
        <v>124</v>
      </c>
      <c r="C468" s="4">
        <v>19</v>
      </c>
      <c r="D468" s="8">
        <v>1.56</v>
      </c>
      <c r="E468" s="4">
        <v>13</v>
      </c>
      <c r="F468" s="8">
        <v>2.17</v>
      </c>
      <c r="G468" s="4">
        <v>6</v>
      </c>
      <c r="H468" s="8">
        <v>0.98</v>
      </c>
      <c r="I468" s="4">
        <v>0</v>
      </c>
    </row>
    <row r="469" spans="1:9" x14ac:dyDescent="0.2">
      <c r="A469" s="2">
        <v>18</v>
      </c>
      <c r="B469" s="1" t="s">
        <v>121</v>
      </c>
      <c r="C469" s="4">
        <v>18</v>
      </c>
      <c r="D469" s="8">
        <v>1.48</v>
      </c>
      <c r="E469" s="4">
        <v>5</v>
      </c>
      <c r="F469" s="8">
        <v>0.83</v>
      </c>
      <c r="G469" s="4">
        <v>13</v>
      </c>
      <c r="H469" s="8">
        <v>2.12</v>
      </c>
      <c r="I469" s="4">
        <v>0</v>
      </c>
    </row>
    <row r="470" spans="1:9" x14ac:dyDescent="0.2">
      <c r="A470" s="2">
        <v>19</v>
      </c>
      <c r="B470" s="1" t="s">
        <v>146</v>
      </c>
      <c r="C470" s="4">
        <v>15</v>
      </c>
      <c r="D470" s="8">
        <v>1.23</v>
      </c>
      <c r="E470" s="4">
        <v>5</v>
      </c>
      <c r="F470" s="8">
        <v>0.83</v>
      </c>
      <c r="G470" s="4">
        <v>10</v>
      </c>
      <c r="H470" s="8">
        <v>1.63</v>
      </c>
      <c r="I470" s="4">
        <v>0</v>
      </c>
    </row>
    <row r="471" spans="1:9" x14ac:dyDescent="0.2">
      <c r="A471" s="2">
        <v>19</v>
      </c>
      <c r="B471" s="1" t="s">
        <v>122</v>
      </c>
      <c r="C471" s="4">
        <v>15</v>
      </c>
      <c r="D471" s="8">
        <v>1.23</v>
      </c>
      <c r="E471" s="4">
        <v>3</v>
      </c>
      <c r="F471" s="8">
        <v>0.5</v>
      </c>
      <c r="G471" s="4">
        <v>12</v>
      </c>
      <c r="H471" s="8">
        <v>1.96</v>
      </c>
      <c r="I471" s="4">
        <v>0</v>
      </c>
    </row>
    <row r="472" spans="1:9" x14ac:dyDescent="0.2">
      <c r="A472" s="2">
        <v>19</v>
      </c>
      <c r="B472" s="1" t="s">
        <v>154</v>
      </c>
      <c r="C472" s="4">
        <v>15</v>
      </c>
      <c r="D472" s="8">
        <v>1.23</v>
      </c>
      <c r="E472" s="4">
        <v>5</v>
      </c>
      <c r="F472" s="8">
        <v>0.83</v>
      </c>
      <c r="G472" s="4">
        <v>10</v>
      </c>
      <c r="H472" s="8">
        <v>1.63</v>
      </c>
      <c r="I472" s="4">
        <v>0</v>
      </c>
    </row>
    <row r="473" spans="1:9" x14ac:dyDescent="0.2">
      <c r="A473" s="2">
        <v>19</v>
      </c>
      <c r="B473" s="1" t="s">
        <v>125</v>
      </c>
      <c r="C473" s="4">
        <v>15</v>
      </c>
      <c r="D473" s="8">
        <v>1.23</v>
      </c>
      <c r="E473" s="4">
        <v>5</v>
      </c>
      <c r="F473" s="8">
        <v>0.83</v>
      </c>
      <c r="G473" s="4">
        <v>10</v>
      </c>
      <c r="H473" s="8">
        <v>1.63</v>
      </c>
      <c r="I473" s="4">
        <v>0</v>
      </c>
    </row>
    <row r="474" spans="1:9" x14ac:dyDescent="0.2">
      <c r="A474" s="1"/>
      <c r="C474" s="4"/>
      <c r="D474" s="8"/>
      <c r="E474" s="4"/>
      <c r="F474" s="8"/>
      <c r="G474" s="4"/>
      <c r="H474" s="8"/>
      <c r="I474" s="4"/>
    </row>
    <row r="475" spans="1:9" x14ac:dyDescent="0.2">
      <c r="A475" s="1" t="s">
        <v>21</v>
      </c>
      <c r="C475" s="4"/>
      <c r="D475" s="8"/>
      <c r="E475" s="4"/>
      <c r="F475" s="8"/>
      <c r="G475" s="4"/>
      <c r="H475" s="8"/>
      <c r="I475" s="4"/>
    </row>
    <row r="476" spans="1:9" x14ac:dyDescent="0.2">
      <c r="A476" s="2">
        <v>1</v>
      </c>
      <c r="B476" s="1" t="s">
        <v>133</v>
      </c>
      <c r="C476" s="4">
        <v>49</v>
      </c>
      <c r="D476" s="8">
        <v>5.07</v>
      </c>
      <c r="E476" s="4">
        <v>47</v>
      </c>
      <c r="F476" s="8">
        <v>7.39</v>
      </c>
      <c r="G476" s="4">
        <v>2</v>
      </c>
      <c r="H476" s="8">
        <v>0.62</v>
      </c>
      <c r="I476" s="4">
        <v>0</v>
      </c>
    </row>
    <row r="477" spans="1:9" x14ac:dyDescent="0.2">
      <c r="A477" s="2">
        <v>2</v>
      </c>
      <c r="B477" s="1" t="s">
        <v>134</v>
      </c>
      <c r="C477" s="4">
        <v>48</v>
      </c>
      <c r="D477" s="8">
        <v>4.97</v>
      </c>
      <c r="E477" s="4">
        <v>47</v>
      </c>
      <c r="F477" s="8">
        <v>7.39</v>
      </c>
      <c r="G477" s="4">
        <v>1</v>
      </c>
      <c r="H477" s="8">
        <v>0.31</v>
      </c>
      <c r="I477" s="4">
        <v>0</v>
      </c>
    </row>
    <row r="478" spans="1:9" x14ac:dyDescent="0.2">
      <c r="A478" s="2">
        <v>3</v>
      </c>
      <c r="B478" s="1" t="s">
        <v>118</v>
      </c>
      <c r="C478" s="4">
        <v>40</v>
      </c>
      <c r="D478" s="8">
        <v>4.1399999999999997</v>
      </c>
      <c r="E478" s="4">
        <v>9</v>
      </c>
      <c r="F478" s="8">
        <v>1.42</v>
      </c>
      <c r="G478" s="4">
        <v>31</v>
      </c>
      <c r="H478" s="8">
        <v>9.66</v>
      </c>
      <c r="I478" s="4">
        <v>0</v>
      </c>
    </row>
    <row r="479" spans="1:9" x14ac:dyDescent="0.2">
      <c r="A479" s="2">
        <v>4</v>
      </c>
      <c r="B479" s="1" t="s">
        <v>120</v>
      </c>
      <c r="C479" s="4">
        <v>38</v>
      </c>
      <c r="D479" s="8">
        <v>3.93</v>
      </c>
      <c r="E479" s="4">
        <v>30</v>
      </c>
      <c r="F479" s="8">
        <v>4.72</v>
      </c>
      <c r="G479" s="4">
        <v>8</v>
      </c>
      <c r="H479" s="8">
        <v>2.4900000000000002</v>
      </c>
      <c r="I479" s="4">
        <v>0</v>
      </c>
    </row>
    <row r="480" spans="1:9" x14ac:dyDescent="0.2">
      <c r="A480" s="2">
        <v>5</v>
      </c>
      <c r="B480" s="1" t="s">
        <v>137</v>
      </c>
      <c r="C480" s="4">
        <v>28</v>
      </c>
      <c r="D480" s="8">
        <v>2.9</v>
      </c>
      <c r="E480" s="4">
        <v>25</v>
      </c>
      <c r="F480" s="8">
        <v>3.93</v>
      </c>
      <c r="G480" s="4">
        <v>3</v>
      </c>
      <c r="H480" s="8">
        <v>0.93</v>
      </c>
      <c r="I480" s="4">
        <v>0</v>
      </c>
    </row>
    <row r="481" spans="1:9" x14ac:dyDescent="0.2">
      <c r="A481" s="2">
        <v>6</v>
      </c>
      <c r="B481" s="1" t="s">
        <v>124</v>
      </c>
      <c r="C481" s="4">
        <v>27</v>
      </c>
      <c r="D481" s="8">
        <v>2.8</v>
      </c>
      <c r="E481" s="4">
        <v>20</v>
      </c>
      <c r="F481" s="8">
        <v>3.14</v>
      </c>
      <c r="G481" s="4">
        <v>7</v>
      </c>
      <c r="H481" s="8">
        <v>2.1800000000000002</v>
      </c>
      <c r="I481" s="4">
        <v>0</v>
      </c>
    </row>
    <row r="482" spans="1:9" x14ac:dyDescent="0.2">
      <c r="A482" s="2">
        <v>7</v>
      </c>
      <c r="B482" s="1" t="s">
        <v>122</v>
      </c>
      <c r="C482" s="4">
        <v>24</v>
      </c>
      <c r="D482" s="8">
        <v>2.48</v>
      </c>
      <c r="E482" s="4">
        <v>13</v>
      </c>
      <c r="F482" s="8">
        <v>2.04</v>
      </c>
      <c r="G482" s="4">
        <v>11</v>
      </c>
      <c r="H482" s="8">
        <v>3.43</v>
      </c>
      <c r="I482" s="4">
        <v>0</v>
      </c>
    </row>
    <row r="483" spans="1:9" x14ac:dyDescent="0.2">
      <c r="A483" s="2">
        <v>8</v>
      </c>
      <c r="B483" s="1" t="s">
        <v>123</v>
      </c>
      <c r="C483" s="4">
        <v>23</v>
      </c>
      <c r="D483" s="8">
        <v>2.38</v>
      </c>
      <c r="E483" s="4">
        <v>21</v>
      </c>
      <c r="F483" s="8">
        <v>3.3</v>
      </c>
      <c r="G483" s="4">
        <v>1</v>
      </c>
      <c r="H483" s="8">
        <v>0.31</v>
      </c>
      <c r="I483" s="4">
        <v>1</v>
      </c>
    </row>
    <row r="484" spans="1:9" x14ac:dyDescent="0.2">
      <c r="A484" s="2">
        <v>8</v>
      </c>
      <c r="B484" s="1" t="s">
        <v>127</v>
      </c>
      <c r="C484" s="4">
        <v>23</v>
      </c>
      <c r="D484" s="8">
        <v>2.38</v>
      </c>
      <c r="E484" s="4">
        <v>16</v>
      </c>
      <c r="F484" s="8">
        <v>2.52</v>
      </c>
      <c r="G484" s="4">
        <v>7</v>
      </c>
      <c r="H484" s="8">
        <v>2.1800000000000002</v>
      </c>
      <c r="I484" s="4">
        <v>0</v>
      </c>
    </row>
    <row r="485" spans="1:9" x14ac:dyDescent="0.2">
      <c r="A485" s="2">
        <v>8</v>
      </c>
      <c r="B485" s="1" t="s">
        <v>129</v>
      </c>
      <c r="C485" s="4">
        <v>23</v>
      </c>
      <c r="D485" s="8">
        <v>2.38</v>
      </c>
      <c r="E485" s="4">
        <v>17</v>
      </c>
      <c r="F485" s="8">
        <v>2.67</v>
      </c>
      <c r="G485" s="4">
        <v>6</v>
      </c>
      <c r="H485" s="8">
        <v>1.87</v>
      </c>
      <c r="I485" s="4">
        <v>0</v>
      </c>
    </row>
    <row r="486" spans="1:9" x14ac:dyDescent="0.2">
      <c r="A486" s="2">
        <v>11</v>
      </c>
      <c r="B486" s="1" t="s">
        <v>131</v>
      </c>
      <c r="C486" s="4">
        <v>22</v>
      </c>
      <c r="D486" s="8">
        <v>2.2799999999999998</v>
      </c>
      <c r="E486" s="4">
        <v>20</v>
      </c>
      <c r="F486" s="8">
        <v>3.14</v>
      </c>
      <c r="G486" s="4">
        <v>2</v>
      </c>
      <c r="H486" s="8">
        <v>0.62</v>
      </c>
      <c r="I486" s="4">
        <v>0</v>
      </c>
    </row>
    <row r="487" spans="1:9" x14ac:dyDescent="0.2">
      <c r="A487" s="2">
        <v>12</v>
      </c>
      <c r="B487" s="1" t="s">
        <v>121</v>
      </c>
      <c r="C487" s="4">
        <v>21</v>
      </c>
      <c r="D487" s="8">
        <v>2.17</v>
      </c>
      <c r="E487" s="4">
        <v>13</v>
      </c>
      <c r="F487" s="8">
        <v>2.04</v>
      </c>
      <c r="G487" s="4">
        <v>8</v>
      </c>
      <c r="H487" s="8">
        <v>2.4900000000000002</v>
      </c>
      <c r="I487" s="4">
        <v>0</v>
      </c>
    </row>
    <row r="488" spans="1:9" x14ac:dyDescent="0.2">
      <c r="A488" s="2">
        <v>13</v>
      </c>
      <c r="B488" s="1" t="s">
        <v>119</v>
      </c>
      <c r="C488" s="4">
        <v>18</v>
      </c>
      <c r="D488" s="8">
        <v>1.86</v>
      </c>
      <c r="E488" s="4">
        <v>11</v>
      </c>
      <c r="F488" s="8">
        <v>1.73</v>
      </c>
      <c r="G488" s="4">
        <v>7</v>
      </c>
      <c r="H488" s="8">
        <v>2.1800000000000002</v>
      </c>
      <c r="I488" s="4">
        <v>0</v>
      </c>
    </row>
    <row r="489" spans="1:9" x14ac:dyDescent="0.2">
      <c r="A489" s="2">
        <v>14</v>
      </c>
      <c r="B489" s="1" t="s">
        <v>136</v>
      </c>
      <c r="C489" s="4">
        <v>17</v>
      </c>
      <c r="D489" s="8">
        <v>1.76</v>
      </c>
      <c r="E489" s="4">
        <v>17</v>
      </c>
      <c r="F489" s="8">
        <v>2.67</v>
      </c>
      <c r="G489" s="4">
        <v>0</v>
      </c>
      <c r="H489" s="8">
        <v>0</v>
      </c>
      <c r="I489" s="4">
        <v>0</v>
      </c>
    </row>
    <row r="490" spans="1:9" x14ac:dyDescent="0.2">
      <c r="A490" s="2">
        <v>15</v>
      </c>
      <c r="B490" s="1" t="s">
        <v>157</v>
      </c>
      <c r="C490" s="4">
        <v>15</v>
      </c>
      <c r="D490" s="8">
        <v>1.55</v>
      </c>
      <c r="E490" s="4">
        <v>14</v>
      </c>
      <c r="F490" s="8">
        <v>2.2000000000000002</v>
      </c>
      <c r="G490" s="4">
        <v>1</v>
      </c>
      <c r="H490" s="8">
        <v>0.31</v>
      </c>
      <c r="I490" s="4">
        <v>0</v>
      </c>
    </row>
    <row r="491" spans="1:9" x14ac:dyDescent="0.2">
      <c r="A491" s="2">
        <v>15</v>
      </c>
      <c r="B491" s="1" t="s">
        <v>147</v>
      </c>
      <c r="C491" s="4">
        <v>15</v>
      </c>
      <c r="D491" s="8">
        <v>1.55</v>
      </c>
      <c r="E491" s="4">
        <v>15</v>
      </c>
      <c r="F491" s="8">
        <v>2.36</v>
      </c>
      <c r="G491" s="4">
        <v>0</v>
      </c>
      <c r="H491" s="8">
        <v>0</v>
      </c>
      <c r="I491" s="4">
        <v>0</v>
      </c>
    </row>
    <row r="492" spans="1:9" x14ac:dyDescent="0.2">
      <c r="A492" s="2">
        <v>15</v>
      </c>
      <c r="B492" s="1" t="s">
        <v>152</v>
      </c>
      <c r="C492" s="4">
        <v>15</v>
      </c>
      <c r="D492" s="8">
        <v>1.55</v>
      </c>
      <c r="E492" s="4">
        <v>12</v>
      </c>
      <c r="F492" s="8">
        <v>1.89</v>
      </c>
      <c r="G492" s="4">
        <v>3</v>
      </c>
      <c r="H492" s="8">
        <v>0.93</v>
      </c>
      <c r="I492" s="4">
        <v>0</v>
      </c>
    </row>
    <row r="493" spans="1:9" x14ac:dyDescent="0.2">
      <c r="A493" s="2">
        <v>18</v>
      </c>
      <c r="B493" s="1" t="s">
        <v>126</v>
      </c>
      <c r="C493" s="4">
        <v>14</v>
      </c>
      <c r="D493" s="8">
        <v>1.45</v>
      </c>
      <c r="E493" s="4">
        <v>6</v>
      </c>
      <c r="F493" s="8">
        <v>0.94</v>
      </c>
      <c r="G493" s="4">
        <v>8</v>
      </c>
      <c r="H493" s="8">
        <v>2.4900000000000002</v>
      </c>
      <c r="I493" s="4">
        <v>0</v>
      </c>
    </row>
    <row r="494" spans="1:9" x14ac:dyDescent="0.2">
      <c r="A494" s="2">
        <v>19</v>
      </c>
      <c r="B494" s="1" t="s">
        <v>167</v>
      </c>
      <c r="C494" s="4">
        <v>12</v>
      </c>
      <c r="D494" s="8">
        <v>1.24</v>
      </c>
      <c r="E494" s="4">
        <v>9</v>
      </c>
      <c r="F494" s="8">
        <v>1.42</v>
      </c>
      <c r="G494" s="4">
        <v>3</v>
      </c>
      <c r="H494" s="8">
        <v>0.93</v>
      </c>
      <c r="I494" s="4">
        <v>0</v>
      </c>
    </row>
    <row r="495" spans="1:9" x14ac:dyDescent="0.2">
      <c r="A495" s="2">
        <v>19</v>
      </c>
      <c r="B495" s="1" t="s">
        <v>125</v>
      </c>
      <c r="C495" s="4">
        <v>12</v>
      </c>
      <c r="D495" s="8">
        <v>1.24</v>
      </c>
      <c r="E495" s="4">
        <v>6</v>
      </c>
      <c r="F495" s="8">
        <v>0.94</v>
      </c>
      <c r="G495" s="4">
        <v>6</v>
      </c>
      <c r="H495" s="8">
        <v>1.87</v>
      </c>
      <c r="I495" s="4">
        <v>0</v>
      </c>
    </row>
    <row r="496" spans="1:9" x14ac:dyDescent="0.2">
      <c r="A496" s="2">
        <v>19</v>
      </c>
      <c r="B496" s="1" t="s">
        <v>132</v>
      </c>
      <c r="C496" s="4">
        <v>12</v>
      </c>
      <c r="D496" s="8">
        <v>1.24</v>
      </c>
      <c r="E496" s="4">
        <v>11</v>
      </c>
      <c r="F496" s="8">
        <v>1.73</v>
      </c>
      <c r="G496" s="4">
        <v>1</v>
      </c>
      <c r="H496" s="8">
        <v>0.31</v>
      </c>
      <c r="I496" s="4">
        <v>0</v>
      </c>
    </row>
    <row r="497" spans="1:9" x14ac:dyDescent="0.2">
      <c r="A497" s="1"/>
      <c r="C497" s="4"/>
      <c r="D497" s="8"/>
      <c r="E497" s="4"/>
      <c r="F497" s="8"/>
      <c r="G497" s="4"/>
      <c r="H497" s="8"/>
      <c r="I497" s="4"/>
    </row>
    <row r="498" spans="1:9" x14ac:dyDescent="0.2">
      <c r="A498" s="1" t="s">
        <v>22</v>
      </c>
      <c r="C498" s="4"/>
      <c r="D498" s="8"/>
      <c r="E498" s="4"/>
      <c r="F498" s="8"/>
      <c r="G498" s="4"/>
      <c r="H498" s="8"/>
      <c r="I498" s="4"/>
    </row>
    <row r="499" spans="1:9" x14ac:dyDescent="0.2">
      <c r="A499" s="2">
        <v>1</v>
      </c>
      <c r="B499" s="1" t="s">
        <v>134</v>
      </c>
      <c r="C499" s="4">
        <v>67</v>
      </c>
      <c r="D499" s="8">
        <v>6.18</v>
      </c>
      <c r="E499" s="4">
        <v>62</v>
      </c>
      <c r="F499" s="8">
        <v>9.35</v>
      </c>
      <c r="G499" s="4">
        <v>5</v>
      </c>
      <c r="H499" s="8">
        <v>1.22</v>
      </c>
      <c r="I499" s="4">
        <v>0</v>
      </c>
    </row>
    <row r="500" spans="1:9" x14ac:dyDescent="0.2">
      <c r="A500" s="2">
        <v>2</v>
      </c>
      <c r="B500" s="1" t="s">
        <v>124</v>
      </c>
      <c r="C500" s="4">
        <v>48</v>
      </c>
      <c r="D500" s="8">
        <v>4.43</v>
      </c>
      <c r="E500" s="4">
        <v>32</v>
      </c>
      <c r="F500" s="8">
        <v>4.83</v>
      </c>
      <c r="G500" s="4">
        <v>16</v>
      </c>
      <c r="H500" s="8">
        <v>3.89</v>
      </c>
      <c r="I500" s="4">
        <v>0</v>
      </c>
    </row>
    <row r="501" spans="1:9" x14ac:dyDescent="0.2">
      <c r="A501" s="2">
        <v>3</v>
      </c>
      <c r="B501" s="1" t="s">
        <v>133</v>
      </c>
      <c r="C501" s="4">
        <v>43</v>
      </c>
      <c r="D501" s="8">
        <v>3.97</v>
      </c>
      <c r="E501" s="4">
        <v>41</v>
      </c>
      <c r="F501" s="8">
        <v>6.18</v>
      </c>
      <c r="G501" s="4">
        <v>2</v>
      </c>
      <c r="H501" s="8">
        <v>0.49</v>
      </c>
      <c r="I501" s="4">
        <v>0</v>
      </c>
    </row>
    <row r="502" spans="1:9" x14ac:dyDescent="0.2">
      <c r="A502" s="2">
        <v>4</v>
      </c>
      <c r="B502" s="1" t="s">
        <v>137</v>
      </c>
      <c r="C502" s="4">
        <v>38</v>
      </c>
      <c r="D502" s="8">
        <v>3.51</v>
      </c>
      <c r="E502" s="4">
        <v>32</v>
      </c>
      <c r="F502" s="8">
        <v>4.83</v>
      </c>
      <c r="G502" s="4">
        <v>6</v>
      </c>
      <c r="H502" s="8">
        <v>1.46</v>
      </c>
      <c r="I502" s="4">
        <v>0</v>
      </c>
    </row>
    <row r="503" spans="1:9" x14ac:dyDescent="0.2">
      <c r="A503" s="2">
        <v>5</v>
      </c>
      <c r="B503" s="1" t="s">
        <v>129</v>
      </c>
      <c r="C503" s="4">
        <v>35</v>
      </c>
      <c r="D503" s="8">
        <v>3.23</v>
      </c>
      <c r="E503" s="4">
        <v>31</v>
      </c>
      <c r="F503" s="8">
        <v>4.68</v>
      </c>
      <c r="G503" s="4">
        <v>4</v>
      </c>
      <c r="H503" s="8">
        <v>0.97</v>
      </c>
      <c r="I503" s="4">
        <v>0</v>
      </c>
    </row>
    <row r="504" spans="1:9" x14ac:dyDescent="0.2">
      <c r="A504" s="2">
        <v>6</v>
      </c>
      <c r="B504" s="1" t="s">
        <v>136</v>
      </c>
      <c r="C504" s="4">
        <v>34</v>
      </c>
      <c r="D504" s="8">
        <v>3.14</v>
      </c>
      <c r="E504" s="4">
        <v>33</v>
      </c>
      <c r="F504" s="8">
        <v>4.9800000000000004</v>
      </c>
      <c r="G504" s="4">
        <v>1</v>
      </c>
      <c r="H504" s="8">
        <v>0.24</v>
      </c>
      <c r="I504" s="4">
        <v>0</v>
      </c>
    </row>
    <row r="505" spans="1:9" x14ac:dyDescent="0.2">
      <c r="A505" s="2">
        <v>7</v>
      </c>
      <c r="B505" s="1" t="s">
        <v>131</v>
      </c>
      <c r="C505" s="4">
        <v>32</v>
      </c>
      <c r="D505" s="8">
        <v>2.95</v>
      </c>
      <c r="E505" s="4">
        <v>28</v>
      </c>
      <c r="F505" s="8">
        <v>4.22</v>
      </c>
      <c r="G505" s="4">
        <v>4</v>
      </c>
      <c r="H505" s="8">
        <v>0.97</v>
      </c>
      <c r="I505" s="4">
        <v>0</v>
      </c>
    </row>
    <row r="506" spans="1:9" x14ac:dyDescent="0.2">
      <c r="A506" s="2">
        <v>8</v>
      </c>
      <c r="B506" s="1" t="s">
        <v>120</v>
      </c>
      <c r="C506" s="4">
        <v>29</v>
      </c>
      <c r="D506" s="8">
        <v>2.68</v>
      </c>
      <c r="E506" s="4">
        <v>23</v>
      </c>
      <c r="F506" s="8">
        <v>3.47</v>
      </c>
      <c r="G506" s="4">
        <v>6</v>
      </c>
      <c r="H506" s="8">
        <v>1.46</v>
      </c>
      <c r="I506" s="4">
        <v>0</v>
      </c>
    </row>
    <row r="507" spans="1:9" x14ac:dyDescent="0.2">
      <c r="A507" s="2">
        <v>9</v>
      </c>
      <c r="B507" s="1" t="s">
        <v>118</v>
      </c>
      <c r="C507" s="4">
        <v>27</v>
      </c>
      <c r="D507" s="8">
        <v>2.4900000000000002</v>
      </c>
      <c r="E507" s="4">
        <v>8</v>
      </c>
      <c r="F507" s="8">
        <v>1.21</v>
      </c>
      <c r="G507" s="4">
        <v>19</v>
      </c>
      <c r="H507" s="8">
        <v>4.62</v>
      </c>
      <c r="I507" s="4">
        <v>0</v>
      </c>
    </row>
    <row r="508" spans="1:9" x14ac:dyDescent="0.2">
      <c r="A508" s="2">
        <v>10</v>
      </c>
      <c r="B508" s="1" t="s">
        <v>132</v>
      </c>
      <c r="C508" s="4">
        <v>25</v>
      </c>
      <c r="D508" s="8">
        <v>2.31</v>
      </c>
      <c r="E508" s="4">
        <v>25</v>
      </c>
      <c r="F508" s="8">
        <v>3.77</v>
      </c>
      <c r="G508" s="4">
        <v>0</v>
      </c>
      <c r="H508" s="8">
        <v>0</v>
      </c>
      <c r="I508" s="4">
        <v>0</v>
      </c>
    </row>
    <row r="509" spans="1:9" x14ac:dyDescent="0.2">
      <c r="A509" s="2">
        <v>11</v>
      </c>
      <c r="B509" s="1" t="s">
        <v>121</v>
      </c>
      <c r="C509" s="4">
        <v>24</v>
      </c>
      <c r="D509" s="8">
        <v>2.21</v>
      </c>
      <c r="E509" s="4">
        <v>14</v>
      </c>
      <c r="F509" s="8">
        <v>2.11</v>
      </c>
      <c r="G509" s="4">
        <v>10</v>
      </c>
      <c r="H509" s="8">
        <v>2.4300000000000002</v>
      </c>
      <c r="I509" s="4">
        <v>0</v>
      </c>
    </row>
    <row r="510" spans="1:9" x14ac:dyDescent="0.2">
      <c r="A510" s="2">
        <v>12</v>
      </c>
      <c r="B510" s="1" t="s">
        <v>146</v>
      </c>
      <c r="C510" s="4">
        <v>22</v>
      </c>
      <c r="D510" s="8">
        <v>2.0299999999999998</v>
      </c>
      <c r="E510" s="4">
        <v>6</v>
      </c>
      <c r="F510" s="8">
        <v>0.9</v>
      </c>
      <c r="G510" s="4">
        <v>16</v>
      </c>
      <c r="H510" s="8">
        <v>3.89</v>
      </c>
      <c r="I510" s="4">
        <v>0</v>
      </c>
    </row>
    <row r="511" spans="1:9" x14ac:dyDescent="0.2">
      <c r="A511" s="2">
        <v>12</v>
      </c>
      <c r="B511" s="1" t="s">
        <v>122</v>
      </c>
      <c r="C511" s="4">
        <v>22</v>
      </c>
      <c r="D511" s="8">
        <v>2.0299999999999998</v>
      </c>
      <c r="E511" s="4">
        <v>8</v>
      </c>
      <c r="F511" s="8">
        <v>1.21</v>
      </c>
      <c r="G511" s="4">
        <v>14</v>
      </c>
      <c r="H511" s="8">
        <v>3.41</v>
      </c>
      <c r="I511" s="4">
        <v>0</v>
      </c>
    </row>
    <row r="512" spans="1:9" x14ac:dyDescent="0.2">
      <c r="A512" s="2">
        <v>14</v>
      </c>
      <c r="B512" s="1" t="s">
        <v>155</v>
      </c>
      <c r="C512" s="4">
        <v>21</v>
      </c>
      <c r="D512" s="8">
        <v>1.94</v>
      </c>
      <c r="E512" s="4">
        <v>10</v>
      </c>
      <c r="F512" s="8">
        <v>1.51</v>
      </c>
      <c r="G512" s="4">
        <v>11</v>
      </c>
      <c r="H512" s="8">
        <v>2.68</v>
      </c>
      <c r="I512" s="4">
        <v>0</v>
      </c>
    </row>
    <row r="513" spans="1:9" x14ac:dyDescent="0.2">
      <c r="A513" s="2">
        <v>15</v>
      </c>
      <c r="B513" s="1" t="s">
        <v>123</v>
      </c>
      <c r="C513" s="4">
        <v>20</v>
      </c>
      <c r="D513" s="8">
        <v>1.85</v>
      </c>
      <c r="E513" s="4">
        <v>13</v>
      </c>
      <c r="F513" s="8">
        <v>1.96</v>
      </c>
      <c r="G513" s="4">
        <v>7</v>
      </c>
      <c r="H513" s="8">
        <v>1.7</v>
      </c>
      <c r="I513" s="4">
        <v>0</v>
      </c>
    </row>
    <row r="514" spans="1:9" x14ac:dyDescent="0.2">
      <c r="A514" s="2">
        <v>16</v>
      </c>
      <c r="B514" s="1" t="s">
        <v>127</v>
      </c>
      <c r="C514" s="4">
        <v>18</v>
      </c>
      <c r="D514" s="8">
        <v>1.66</v>
      </c>
      <c r="E514" s="4">
        <v>11</v>
      </c>
      <c r="F514" s="8">
        <v>1.66</v>
      </c>
      <c r="G514" s="4">
        <v>7</v>
      </c>
      <c r="H514" s="8">
        <v>1.7</v>
      </c>
      <c r="I514" s="4">
        <v>0</v>
      </c>
    </row>
    <row r="515" spans="1:9" x14ac:dyDescent="0.2">
      <c r="A515" s="2">
        <v>17</v>
      </c>
      <c r="B515" s="1" t="s">
        <v>119</v>
      </c>
      <c r="C515" s="4">
        <v>17</v>
      </c>
      <c r="D515" s="8">
        <v>1.57</v>
      </c>
      <c r="E515" s="4">
        <v>1</v>
      </c>
      <c r="F515" s="8">
        <v>0.15</v>
      </c>
      <c r="G515" s="4">
        <v>16</v>
      </c>
      <c r="H515" s="8">
        <v>3.89</v>
      </c>
      <c r="I515" s="4">
        <v>0</v>
      </c>
    </row>
    <row r="516" spans="1:9" x14ac:dyDescent="0.2">
      <c r="A516" s="2">
        <v>17</v>
      </c>
      <c r="B516" s="1" t="s">
        <v>125</v>
      </c>
      <c r="C516" s="4">
        <v>17</v>
      </c>
      <c r="D516" s="8">
        <v>1.57</v>
      </c>
      <c r="E516" s="4">
        <v>9</v>
      </c>
      <c r="F516" s="8">
        <v>1.36</v>
      </c>
      <c r="G516" s="4">
        <v>8</v>
      </c>
      <c r="H516" s="8">
        <v>1.95</v>
      </c>
      <c r="I516" s="4">
        <v>0</v>
      </c>
    </row>
    <row r="517" spans="1:9" x14ac:dyDescent="0.2">
      <c r="A517" s="2">
        <v>19</v>
      </c>
      <c r="B517" s="1" t="s">
        <v>126</v>
      </c>
      <c r="C517" s="4">
        <v>16</v>
      </c>
      <c r="D517" s="8">
        <v>1.48</v>
      </c>
      <c r="E517" s="4">
        <v>7</v>
      </c>
      <c r="F517" s="8">
        <v>1.06</v>
      </c>
      <c r="G517" s="4">
        <v>9</v>
      </c>
      <c r="H517" s="8">
        <v>2.19</v>
      </c>
      <c r="I517" s="4">
        <v>0</v>
      </c>
    </row>
    <row r="518" spans="1:9" x14ac:dyDescent="0.2">
      <c r="A518" s="2">
        <v>19</v>
      </c>
      <c r="B518" s="1" t="s">
        <v>130</v>
      </c>
      <c r="C518" s="4">
        <v>16</v>
      </c>
      <c r="D518" s="8">
        <v>1.48</v>
      </c>
      <c r="E518" s="4">
        <v>7</v>
      </c>
      <c r="F518" s="8">
        <v>1.06</v>
      </c>
      <c r="G518" s="4">
        <v>9</v>
      </c>
      <c r="H518" s="8">
        <v>2.19</v>
      </c>
      <c r="I518" s="4">
        <v>0</v>
      </c>
    </row>
    <row r="519" spans="1:9" x14ac:dyDescent="0.2">
      <c r="A519" s="1"/>
      <c r="C519" s="4"/>
      <c r="D519" s="8"/>
      <c r="E519" s="4"/>
      <c r="F519" s="8"/>
      <c r="G519" s="4"/>
      <c r="H519" s="8"/>
      <c r="I519" s="4"/>
    </row>
    <row r="520" spans="1:9" x14ac:dyDescent="0.2">
      <c r="A520" s="1" t="s">
        <v>23</v>
      </c>
      <c r="C520" s="4"/>
      <c r="D520" s="8"/>
      <c r="E520" s="4"/>
      <c r="F520" s="8"/>
      <c r="G520" s="4"/>
      <c r="H520" s="8"/>
      <c r="I520" s="4"/>
    </row>
    <row r="521" spans="1:9" x14ac:dyDescent="0.2">
      <c r="A521" s="2">
        <v>1</v>
      </c>
      <c r="B521" s="1" t="s">
        <v>134</v>
      </c>
      <c r="C521" s="4">
        <v>142</v>
      </c>
      <c r="D521" s="8">
        <v>5.21</v>
      </c>
      <c r="E521" s="4">
        <v>135</v>
      </c>
      <c r="F521" s="8">
        <v>8.5299999999999994</v>
      </c>
      <c r="G521" s="4">
        <v>7</v>
      </c>
      <c r="H521" s="8">
        <v>0.63</v>
      </c>
      <c r="I521" s="4">
        <v>0</v>
      </c>
    </row>
    <row r="522" spans="1:9" x14ac:dyDescent="0.2">
      <c r="A522" s="2">
        <v>2</v>
      </c>
      <c r="B522" s="1" t="s">
        <v>133</v>
      </c>
      <c r="C522" s="4">
        <v>125</v>
      </c>
      <c r="D522" s="8">
        <v>4.59</v>
      </c>
      <c r="E522" s="4">
        <v>122</v>
      </c>
      <c r="F522" s="8">
        <v>7.71</v>
      </c>
      <c r="G522" s="4">
        <v>3</v>
      </c>
      <c r="H522" s="8">
        <v>0.27</v>
      </c>
      <c r="I522" s="4">
        <v>0</v>
      </c>
    </row>
    <row r="523" spans="1:9" x14ac:dyDescent="0.2">
      <c r="A523" s="2">
        <v>3</v>
      </c>
      <c r="B523" s="1" t="s">
        <v>129</v>
      </c>
      <c r="C523" s="4">
        <v>96</v>
      </c>
      <c r="D523" s="8">
        <v>3.52</v>
      </c>
      <c r="E523" s="4">
        <v>76</v>
      </c>
      <c r="F523" s="8">
        <v>4.8</v>
      </c>
      <c r="G523" s="4">
        <v>20</v>
      </c>
      <c r="H523" s="8">
        <v>1.79</v>
      </c>
      <c r="I523" s="4">
        <v>0</v>
      </c>
    </row>
    <row r="524" spans="1:9" x14ac:dyDescent="0.2">
      <c r="A524" s="2">
        <v>4</v>
      </c>
      <c r="B524" s="1" t="s">
        <v>120</v>
      </c>
      <c r="C524" s="4">
        <v>81</v>
      </c>
      <c r="D524" s="8">
        <v>2.97</v>
      </c>
      <c r="E524" s="4">
        <v>59</v>
      </c>
      <c r="F524" s="8">
        <v>3.73</v>
      </c>
      <c r="G524" s="4">
        <v>22</v>
      </c>
      <c r="H524" s="8">
        <v>1.97</v>
      </c>
      <c r="I524" s="4">
        <v>0</v>
      </c>
    </row>
    <row r="525" spans="1:9" x14ac:dyDescent="0.2">
      <c r="A525" s="2">
        <v>5</v>
      </c>
      <c r="B525" s="1" t="s">
        <v>137</v>
      </c>
      <c r="C525" s="4">
        <v>78</v>
      </c>
      <c r="D525" s="8">
        <v>2.86</v>
      </c>
      <c r="E525" s="4">
        <v>69</v>
      </c>
      <c r="F525" s="8">
        <v>4.3600000000000003</v>
      </c>
      <c r="G525" s="4">
        <v>9</v>
      </c>
      <c r="H525" s="8">
        <v>0.81</v>
      </c>
      <c r="I525" s="4">
        <v>0</v>
      </c>
    </row>
    <row r="526" spans="1:9" x14ac:dyDescent="0.2">
      <c r="A526" s="2">
        <v>6</v>
      </c>
      <c r="B526" s="1" t="s">
        <v>124</v>
      </c>
      <c r="C526" s="4">
        <v>77</v>
      </c>
      <c r="D526" s="8">
        <v>2.83</v>
      </c>
      <c r="E526" s="4">
        <v>50</v>
      </c>
      <c r="F526" s="8">
        <v>3.16</v>
      </c>
      <c r="G526" s="4">
        <v>27</v>
      </c>
      <c r="H526" s="8">
        <v>2.42</v>
      </c>
      <c r="I526" s="4">
        <v>0</v>
      </c>
    </row>
    <row r="527" spans="1:9" x14ac:dyDescent="0.2">
      <c r="A527" s="2">
        <v>7</v>
      </c>
      <c r="B527" s="1" t="s">
        <v>121</v>
      </c>
      <c r="C527" s="4">
        <v>72</v>
      </c>
      <c r="D527" s="8">
        <v>2.64</v>
      </c>
      <c r="E527" s="4">
        <v>20</v>
      </c>
      <c r="F527" s="8">
        <v>1.26</v>
      </c>
      <c r="G527" s="4">
        <v>52</v>
      </c>
      <c r="H527" s="8">
        <v>4.6500000000000004</v>
      </c>
      <c r="I527" s="4">
        <v>0</v>
      </c>
    </row>
    <row r="528" spans="1:9" x14ac:dyDescent="0.2">
      <c r="A528" s="2">
        <v>8</v>
      </c>
      <c r="B528" s="1" t="s">
        <v>118</v>
      </c>
      <c r="C528" s="4">
        <v>68</v>
      </c>
      <c r="D528" s="8">
        <v>2.5</v>
      </c>
      <c r="E528" s="4">
        <v>10</v>
      </c>
      <c r="F528" s="8">
        <v>0.63</v>
      </c>
      <c r="G528" s="4">
        <v>58</v>
      </c>
      <c r="H528" s="8">
        <v>5.19</v>
      </c>
      <c r="I528" s="4">
        <v>0</v>
      </c>
    </row>
    <row r="529" spans="1:9" x14ac:dyDescent="0.2">
      <c r="A529" s="2">
        <v>9</v>
      </c>
      <c r="B529" s="1" t="s">
        <v>131</v>
      </c>
      <c r="C529" s="4">
        <v>66</v>
      </c>
      <c r="D529" s="8">
        <v>2.42</v>
      </c>
      <c r="E529" s="4">
        <v>52</v>
      </c>
      <c r="F529" s="8">
        <v>3.28</v>
      </c>
      <c r="G529" s="4">
        <v>14</v>
      </c>
      <c r="H529" s="8">
        <v>1.25</v>
      </c>
      <c r="I529" s="4">
        <v>0</v>
      </c>
    </row>
    <row r="530" spans="1:9" x14ac:dyDescent="0.2">
      <c r="A530" s="2">
        <v>10</v>
      </c>
      <c r="B530" s="1" t="s">
        <v>132</v>
      </c>
      <c r="C530" s="4">
        <v>57</v>
      </c>
      <c r="D530" s="8">
        <v>2.09</v>
      </c>
      <c r="E530" s="4">
        <v>52</v>
      </c>
      <c r="F530" s="8">
        <v>3.28</v>
      </c>
      <c r="G530" s="4">
        <v>5</v>
      </c>
      <c r="H530" s="8">
        <v>0.45</v>
      </c>
      <c r="I530" s="4">
        <v>0</v>
      </c>
    </row>
    <row r="531" spans="1:9" x14ac:dyDescent="0.2">
      <c r="A531" s="2">
        <v>11</v>
      </c>
      <c r="B531" s="1" t="s">
        <v>119</v>
      </c>
      <c r="C531" s="4">
        <v>54</v>
      </c>
      <c r="D531" s="8">
        <v>1.98</v>
      </c>
      <c r="E531" s="4">
        <v>16</v>
      </c>
      <c r="F531" s="8">
        <v>1.01</v>
      </c>
      <c r="G531" s="4">
        <v>38</v>
      </c>
      <c r="H531" s="8">
        <v>3.4</v>
      </c>
      <c r="I531" s="4">
        <v>0</v>
      </c>
    </row>
    <row r="532" spans="1:9" x14ac:dyDescent="0.2">
      <c r="A532" s="2">
        <v>12</v>
      </c>
      <c r="B532" s="1" t="s">
        <v>123</v>
      </c>
      <c r="C532" s="4">
        <v>47</v>
      </c>
      <c r="D532" s="8">
        <v>1.72</v>
      </c>
      <c r="E532" s="4">
        <v>33</v>
      </c>
      <c r="F532" s="8">
        <v>2.08</v>
      </c>
      <c r="G532" s="4">
        <v>14</v>
      </c>
      <c r="H532" s="8">
        <v>1.25</v>
      </c>
      <c r="I532" s="4">
        <v>0</v>
      </c>
    </row>
    <row r="533" spans="1:9" x14ac:dyDescent="0.2">
      <c r="A533" s="2">
        <v>12</v>
      </c>
      <c r="B533" s="1" t="s">
        <v>126</v>
      </c>
      <c r="C533" s="4">
        <v>47</v>
      </c>
      <c r="D533" s="8">
        <v>1.72</v>
      </c>
      <c r="E533" s="4">
        <v>22</v>
      </c>
      <c r="F533" s="8">
        <v>1.39</v>
      </c>
      <c r="G533" s="4">
        <v>25</v>
      </c>
      <c r="H533" s="8">
        <v>2.2400000000000002</v>
      </c>
      <c r="I533" s="4">
        <v>0</v>
      </c>
    </row>
    <row r="534" spans="1:9" x14ac:dyDescent="0.2">
      <c r="A534" s="2">
        <v>14</v>
      </c>
      <c r="B534" s="1" t="s">
        <v>136</v>
      </c>
      <c r="C534" s="4">
        <v>46</v>
      </c>
      <c r="D534" s="8">
        <v>1.69</v>
      </c>
      <c r="E534" s="4">
        <v>44</v>
      </c>
      <c r="F534" s="8">
        <v>2.78</v>
      </c>
      <c r="G534" s="4">
        <v>2</v>
      </c>
      <c r="H534" s="8">
        <v>0.18</v>
      </c>
      <c r="I534" s="4">
        <v>0</v>
      </c>
    </row>
    <row r="535" spans="1:9" x14ac:dyDescent="0.2">
      <c r="A535" s="2">
        <v>15</v>
      </c>
      <c r="B535" s="1" t="s">
        <v>127</v>
      </c>
      <c r="C535" s="4">
        <v>44</v>
      </c>
      <c r="D535" s="8">
        <v>1.61</v>
      </c>
      <c r="E535" s="4">
        <v>35</v>
      </c>
      <c r="F535" s="8">
        <v>2.21</v>
      </c>
      <c r="G535" s="4">
        <v>9</v>
      </c>
      <c r="H535" s="8">
        <v>0.81</v>
      </c>
      <c r="I535" s="4">
        <v>0</v>
      </c>
    </row>
    <row r="536" spans="1:9" x14ac:dyDescent="0.2">
      <c r="A536" s="2">
        <v>16</v>
      </c>
      <c r="B536" s="1" t="s">
        <v>150</v>
      </c>
      <c r="C536" s="4">
        <v>36</v>
      </c>
      <c r="D536" s="8">
        <v>1.32</v>
      </c>
      <c r="E536" s="4">
        <v>17</v>
      </c>
      <c r="F536" s="8">
        <v>1.07</v>
      </c>
      <c r="G536" s="4">
        <v>19</v>
      </c>
      <c r="H536" s="8">
        <v>1.7</v>
      </c>
      <c r="I536" s="4">
        <v>0</v>
      </c>
    </row>
    <row r="537" spans="1:9" x14ac:dyDescent="0.2">
      <c r="A537" s="2">
        <v>17</v>
      </c>
      <c r="B537" s="1" t="s">
        <v>135</v>
      </c>
      <c r="C537" s="4">
        <v>35</v>
      </c>
      <c r="D537" s="8">
        <v>1.28</v>
      </c>
      <c r="E537" s="4">
        <v>32</v>
      </c>
      <c r="F537" s="8">
        <v>2.02</v>
      </c>
      <c r="G537" s="4">
        <v>3</v>
      </c>
      <c r="H537" s="8">
        <v>0.27</v>
      </c>
      <c r="I537" s="4">
        <v>0</v>
      </c>
    </row>
    <row r="538" spans="1:9" x14ac:dyDescent="0.2">
      <c r="A538" s="2">
        <v>18</v>
      </c>
      <c r="B538" s="1" t="s">
        <v>122</v>
      </c>
      <c r="C538" s="4">
        <v>34</v>
      </c>
      <c r="D538" s="8">
        <v>1.25</v>
      </c>
      <c r="E538" s="4">
        <v>11</v>
      </c>
      <c r="F538" s="8">
        <v>0.69</v>
      </c>
      <c r="G538" s="4">
        <v>23</v>
      </c>
      <c r="H538" s="8">
        <v>2.06</v>
      </c>
      <c r="I538" s="4">
        <v>0</v>
      </c>
    </row>
    <row r="539" spans="1:9" x14ac:dyDescent="0.2">
      <c r="A539" s="2">
        <v>19</v>
      </c>
      <c r="B539" s="1" t="s">
        <v>125</v>
      </c>
      <c r="C539" s="4">
        <v>32</v>
      </c>
      <c r="D539" s="8">
        <v>1.17</v>
      </c>
      <c r="E539" s="4">
        <v>8</v>
      </c>
      <c r="F539" s="8">
        <v>0.51</v>
      </c>
      <c r="G539" s="4">
        <v>24</v>
      </c>
      <c r="H539" s="8">
        <v>2.15</v>
      </c>
      <c r="I539" s="4">
        <v>0</v>
      </c>
    </row>
    <row r="540" spans="1:9" x14ac:dyDescent="0.2">
      <c r="A540" s="2">
        <v>20</v>
      </c>
      <c r="B540" s="1" t="s">
        <v>163</v>
      </c>
      <c r="C540" s="4">
        <v>30</v>
      </c>
      <c r="D540" s="8">
        <v>1.1000000000000001</v>
      </c>
      <c r="E540" s="4">
        <v>21</v>
      </c>
      <c r="F540" s="8">
        <v>1.33</v>
      </c>
      <c r="G540" s="4">
        <v>9</v>
      </c>
      <c r="H540" s="8">
        <v>0.81</v>
      </c>
      <c r="I540" s="4">
        <v>0</v>
      </c>
    </row>
    <row r="541" spans="1:9" x14ac:dyDescent="0.2">
      <c r="A541" s="1"/>
      <c r="C541" s="4"/>
      <c r="D541" s="8"/>
      <c r="E541" s="4"/>
      <c r="F541" s="8"/>
      <c r="G541" s="4"/>
      <c r="H541" s="8"/>
      <c r="I541" s="4"/>
    </row>
    <row r="542" spans="1:9" x14ac:dyDescent="0.2">
      <c r="A542" s="1" t="s">
        <v>24</v>
      </c>
      <c r="C542" s="4"/>
      <c r="D542" s="8"/>
      <c r="E542" s="4"/>
      <c r="F542" s="8"/>
      <c r="G542" s="4"/>
      <c r="H542" s="8"/>
      <c r="I542" s="4"/>
    </row>
    <row r="543" spans="1:9" x14ac:dyDescent="0.2">
      <c r="A543" s="2">
        <v>1</v>
      </c>
      <c r="B543" s="1" t="s">
        <v>120</v>
      </c>
      <c r="C543" s="4">
        <v>84</v>
      </c>
      <c r="D543" s="8">
        <v>5.19</v>
      </c>
      <c r="E543" s="4">
        <v>64</v>
      </c>
      <c r="F543" s="8">
        <v>6.87</v>
      </c>
      <c r="G543" s="4">
        <v>20</v>
      </c>
      <c r="H543" s="8">
        <v>2.97</v>
      </c>
      <c r="I543" s="4">
        <v>0</v>
      </c>
    </row>
    <row r="544" spans="1:9" x14ac:dyDescent="0.2">
      <c r="A544" s="2">
        <v>2</v>
      </c>
      <c r="B544" s="1" t="s">
        <v>134</v>
      </c>
      <c r="C544" s="4">
        <v>71</v>
      </c>
      <c r="D544" s="8">
        <v>4.3899999999999997</v>
      </c>
      <c r="E544" s="4">
        <v>67</v>
      </c>
      <c r="F544" s="8">
        <v>7.19</v>
      </c>
      <c r="G544" s="4">
        <v>4</v>
      </c>
      <c r="H544" s="8">
        <v>0.59</v>
      </c>
      <c r="I544" s="4">
        <v>0</v>
      </c>
    </row>
    <row r="545" spans="1:9" x14ac:dyDescent="0.2">
      <c r="A545" s="2">
        <v>3</v>
      </c>
      <c r="B545" s="1" t="s">
        <v>133</v>
      </c>
      <c r="C545" s="4">
        <v>61</v>
      </c>
      <c r="D545" s="8">
        <v>3.77</v>
      </c>
      <c r="E545" s="4">
        <v>59</v>
      </c>
      <c r="F545" s="8">
        <v>6.33</v>
      </c>
      <c r="G545" s="4">
        <v>2</v>
      </c>
      <c r="H545" s="8">
        <v>0.3</v>
      </c>
      <c r="I545" s="4">
        <v>0</v>
      </c>
    </row>
    <row r="546" spans="1:9" x14ac:dyDescent="0.2">
      <c r="A546" s="2">
        <v>4</v>
      </c>
      <c r="B546" s="1" t="s">
        <v>137</v>
      </c>
      <c r="C546" s="4">
        <v>52</v>
      </c>
      <c r="D546" s="8">
        <v>3.21</v>
      </c>
      <c r="E546" s="4">
        <v>43</v>
      </c>
      <c r="F546" s="8">
        <v>4.6100000000000003</v>
      </c>
      <c r="G546" s="4">
        <v>9</v>
      </c>
      <c r="H546" s="8">
        <v>1.34</v>
      </c>
      <c r="I546" s="4">
        <v>0</v>
      </c>
    </row>
    <row r="547" spans="1:9" x14ac:dyDescent="0.2">
      <c r="A547" s="2">
        <v>5</v>
      </c>
      <c r="B547" s="1" t="s">
        <v>118</v>
      </c>
      <c r="C547" s="4">
        <v>50</v>
      </c>
      <c r="D547" s="8">
        <v>3.09</v>
      </c>
      <c r="E547" s="4">
        <v>6</v>
      </c>
      <c r="F547" s="8">
        <v>0.64</v>
      </c>
      <c r="G547" s="4">
        <v>44</v>
      </c>
      <c r="H547" s="8">
        <v>6.53</v>
      </c>
      <c r="I547" s="4">
        <v>0</v>
      </c>
    </row>
    <row r="548" spans="1:9" x14ac:dyDescent="0.2">
      <c r="A548" s="2">
        <v>5</v>
      </c>
      <c r="B548" s="1" t="s">
        <v>129</v>
      </c>
      <c r="C548" s="4">
        <v>50</v>
      </c>
      <c r="D548" s="8">
        <v>3.09</v>
      </c>
      <c r="E548" s="4">
        <v>40</v>
      </c>
      <c r="F548" s="8">
        <v>4.29</v>
      </c>
      <c r="G548" s="4">
        <v>10</v>
      </c>
      <c r="H548" s="8">
        <v>1.48</v>
      </c>
      <c r="I548" s="4">
        <v>0</v>
      </c>
    </row>
    <row r="549" spans="1:9" x14ac:dyDescent="0.2">
      <c r="A549" s="2">
        <v>7</v>
      </c>
      <c r="B549" s="1" t="s">
        <v>121</v>
      </c>
      <c r="C549" s="4">
        <v>47</v>
      </c>
      <c r="D549" s="8">
        <v>2.9</v>
      </c>
      <c r="E549" s="4">
        <v>21</v>
      </c>
      <c r="F549" s="8">
        <v>2.25</v>
      </c>
      <c r="G549" s="4">
        <v>26</v>
      </c>
      <c r="H549" s="8">
        <v>3.86</v>
      </c>
      <c r="I549" s="4">
        <v>0</v>
      </c>
    </row>
    <row r="550" spans="1:9" x14ac:dyDescent="0.2">
      <c r="A550" s="2">
        <v>8</v>
      </c>
      <c r="B550" s="1" t="s">
        <v>124</v>
      </c>
      <c r="C550" s="4">
        <v>41</v>
      </c>
      <c r="D550" s="8">
        <v>2.5299999999999998</v>
      </c>
      <c r="E550" s="4">
        <v>29</v>
      </c>
      <c r="F550" s="8">
        <v>3.11</v>
      </c>
      <c r="G550" s="4">
        <v>12</v>
      </c>
      <c r="H550" s="8">
        <v>1.78</v>
      </c>
      <c r="I550" s="4">
        <v>0</v>
      </c>
    </row>
    <row r="551" spans="1:9" x14ac:dyDescent="0.2">
      <c r="A551" s="2">
        <v>9</v>
      </c>
      <c r="B551" s="1" t="s">
        <v>119</v>
      </c>
      <c r="C551" s="4">
        <v>31</v>
      </c>
      <c r="D551" s="8">
        <v>1.92</v>
      </c>
      <c r="E551" s="4">
        <v>9</v>
      </c>
      <c r="F551" s="8">
        <v>0.97</v>
      </c>
      <c r="G551" s="4">
        <v>22</v>
      </c>
      <c r="H551" s="8">
        <v>3.26</v>
      </c>
      <c r="I551" s="4">
        <v>0</v>
      </c>
    </row>
    <row r="552" spans="1:9" x14ac:dyDescent="0.2">
      <c r="A552" s="2">
        <v>9</v>
      </c>
      <c r="B552" s="1" t="s">
        <v>123</v>
      </c>
      <c r="C552" s="4">
        <v>31</v>
      </c>
      <c r="D552" s="8">
        <v>1.92</v>
      </c>
      <c r="E552" s="4">
        <v>20</v>
      </c>
      <c r="F552" s="8">
        <v>2.15</v>
      </c>
      <c r="G552" s="4">
        <v>11</v>
      </c>
      <c r="H552" s="8">
        <v>1.63</v>
      </c>
      <c r="I552" s="4">
        <v>0</v>
      </c>
    </row>
    <row r="553" spans="1:9" x14ac:dyDescent="0.2">
      <c r="A553" s="2">
        <v>9</v>
      </c>
      <c r="B553" s="1" t="s">
        <v>131</v>
      </c>
      <c r="C553" s="4">
        <v>31</v>
      </c>
      <c r="D553" s="8">
        <v>1.92</v>
      </c>
      <c r="E553" s="4">
        <v>24</v>
      </c>
      <c r="F553" s="8">
        <v>2.58</v>
      </c>
      <c r="G553" s="4">
        <v>7</v>
      </c>
      <c r="H553" s="8">
        <v>1.04</v>
      </c>
      <c r="I553" s="4">
        <v>0</v>
      </c>
    </row>
    <row r="554" spans="1:9" x14ac:dyDescent="0.2">
      <c r="A554" s="2">
        <v>12</v>
      </c>
      <c r="B554" s="1" t="s">
        <v>153</v>
      </c>
      <c r="C554" s="4">
        <v>30</v>
      </c>
      <c r="D554" s="8">
        <v>1.85</v>
      </c>
      <c r="E554" s="4">
        <v>17</v>
      </c>
      <c r="F554" s="8">
        <v>1.82</v>
      </c>
      <c r="G554" s="4">
        <v>13</v>
      </c>
      <c r="H554" s="8">
        <v>1.93</v>
      </c>
      <c r="I554" s="4">
        <v>0</v>
      </c>
    </row>
    <row r="555" spans="1:9" x14ac:dyDescent="0.2">
      <c r="A555" s="2">
        <v>12</v>
      </c>
      <c r="B555" s="1" t="s">
        <v>132</v>
      </c>
      <c r="C555" s="4">
        <v>30</v>
      </c>
      <c r="D555" s="8">
        <v>1.85</v>
      </c>
      <c r="E555" s="4">
        <v>30</v>
      </c>
      <c r="F555" s="8">
        <v>3.22</v>
      </c>
      <c r="G555" s="4">
        <v>0</v>
      </c>
      <c r="H555" s="8">
        <v>0</v>
      </c>
      <c r="I555" s="4">
        <v>0</v>
      </c>
    </row>
    <row r="556" spans="1:9" x14ac:dyDescent="0.2">
      <c r="A556" s="2">
        <v>14</v>
      </c>
      <c r="B556" s="1" t="s">
        <v>146</v>
      </c>
      <c r="C556" s="4">
        <v>29</v>
      </c>
      <c r="D556" s="8">
        <v>1.79</v>
      </c>
      <c r="E556" s="4">
        <v>10</v>
      </c>
      <c r="F556" s="8">
        <v>1.07</v>
      </c>
      <c r="G556" s="4">
        <v>19</v>
      </c>
      <c r="H556" s="8">
        <v>2.82</v>
      </c>
      <c r="I556" s="4">
        <v>0</v>
      </c>
    </row>
    <row r="557" spans="1:9" x14ac:dyDescent="0.2">
      <c r="A557" s="2">
        <v>15</v>
      </c>
      <c r="B557" s="1" t="s">
        <v>126</v>
      </c>
      <c r="C557" s="4">
        <v>28</v>
      </c>
      <c r="D557" s="8">
        <v>1.73</v>
      </c>
      <c r="E557" s="4">
        <v>10</v>
      </c>
      <c r="F557" s="8">
        <v>1.07</v>
      </c>
      <c r="G557" s="4">
        <v>18</v>
      </c>
      <c r="H557" s="8">
        <v>2.67</v>
      </c>
      <c r="I557" s="4">
        <v>0</v>
      </c>
    </row>
    <row r="558" spans="1:9" x14ac:dyDescent="0.2">
      <c r="A558" s="2">
        <v>15</v>
      </c>
      <c r="B558" s="1" t="s">
        <v>136</v>
      </c>
      <c r="C558" s="4">
        <v>28</v>
      </c>
      <c r="D558" s="8">
        <v>1.73</v>
      </c>
      <c r="E558" s="4">
        <v>25</v>
      </c>
      <c r="F558" s="8">
        <v>2.68</v>
      </c>
      <c r="G558" s="4">
        <v>3</v>
      </c>
      <c r="H558" s="8">
        <v>0.45</v>
      </c>
      <c r="I558" s="4">
        <v>0</v>
      </c>
    </row>
    <row r="559" spans="1:9" x14ac:dyDescent="0.2">
      <c r="A559" s="2">
        <v>17</v>
      </c>
      <c r="B559" s="1" t="s">
        <v>145</v>
      </c>
      <c r="C559" s="4">
        <v>25</v>
      </c>
      <c r="D559" s="8">
        <v>1.55</v>
      </c>
      <c r="E559" s="4">
        <v>19</v>
      </c>
      <c r="F559" s="8">
        <v>2.04</v>
      </c>
      <c r="G559" s="4">
        <v>6</v>
      </c>
      <c r="H559" s="8">
        <v>0.89</v>
      </c>
      <c r="I559" s="4">
        <v>0</v>
      </c>
    </row>
    <row r="560" spans="1:9" x14ac:dyDescent="0.2">
      <c r="A560" s="2">
        <v>18</v>
      </c>
      <c r="B560" s="1" t="s">
        <v>122</v>
      </c>
      <c r="C560" s="4">
        <v>22</v>
      </c>
      <c r="D560" s="8">
        <v>1.36</v>
      </c>
      <c r="E560" s="4">
        <v>11</v>
      </c>
      <c r="F560" s="8">
        <v>1.18</v>
      </c>
      <c r="G560" s="4">
        <v>11</v>
      </c>
      <c r="H560" s="8">
        <v>1.63</v>
      </c>
      <c r="I560" s="4">
        <v>0</v>
      </c>
    </row>
    <row r="561" spans="1:9" x14ac:dyDescent="0.2">
      <c r="A561" s="2">
        <v>19</v>
      </c>
      <c r="B561" s="1" t="s">
        <v>168</v>
      </c>
      <c r="C561" s="4">
        <v>20</v>
      </c>
      <c r="D561" s="8">
        <v>1.24</v>
      </c>
      <c r="E561" s="4">
        <v>18</v>
      </c>
      <c r="F561" s="8">
        <v>1.93</v>
      </c>
      <c r="G561" s="4">
        <v>2</v>
      </c>
      <c r="H561" s="8">
        <v>0.3</v>
      </c>
      <c r="I561" s="4">
        <v>0</v>
      </c>
    </row>
    <row r="562" spans="1:9" x14ac:dyDescent="0.2">
      <c r="A562" s="2">
        <v>19</v>
      </c>
      <c r="B562" s="1" t="s">
        <v>127</v>
      </c>
      <c r="C562" s="4">
        <v>20</v>
      </c>
      <c r="D562" s="8">
        <v>1.24</v>
      </c>
      <c r="E562" s="4">
        <v>9</v>
      </c>
      <c r="F562" s="8">
        <v>0.97</v>
      </c>
      <c r="G562" s="4">
        <v>10</v>
      </c>
      <c r="H562" s="8">
        <v>1.48</v>
      </c>
      <c r="I562" s="4">
        <v>1</v>
      </c>
    </row>
    <row r="563" spans="1:9" x14ac:dyDescent="0.2">
      <c r="A563" s="1"/>
      <c r="C563" s="4"/>
      <c r="D563" s="8"/>
      <c r="E563" s="4"/>
      <c r="F563" s="8"/>
      <c r="G563" s="4"/>
      <c r="H563" s="8"/>
      <c r="I563" s="4"/>
    </row>
    <row r="564" spans="1:9" x14ac:dyDescent="0.2">
      <c r="A564" s="1" t="s">
        <v>25</v>
      </c>
      <c r="C564" s="4"/>
      <c r="D564" s="8"/>
      <c r="E564" s="4"/>
      <c r="F564" s="8"/>
      <c r="G564" s="4"/>
      <c r="H564" s="8"/>
      <c r="I564" s="4"/>
    </row>
    <row r="565" spans="1:9" x14ac:dyDescent="0.2">
      <c r="A565" s="2">
        <v>1</v>
      </c>
      <c r="B565" s="1" t="s">
        <v>133</v>
      </c>
      <c r="C565" s="4">
        <v>50</v>
      </c>
      <c r="D565" s="8">
        <v>5.25</v>
      </c>
      <c r="E565" s="4">
        <v>46</v>
      </c>
      <c r="F565" s="8">
        <v>8.32</v>
      </c>
      <c r="G565" s="4">
        <v>4</v>
      </c>
      <c r="H565" s="8">
        <v>1.01</v>
      </c>
      <c r="I565" s="4">
        <v>0</v>
      </c>
    </row>
    <row r="566" spans="1:9" x14ac:dyDescent="0.2">
      <c r="A566" s="2">
        <v>2</v>
      </c>
      <c r="B566" s="1" t="s">
        <v>134</v>
      </c>
      <c r="C566" s="4">
        <v>40</v>
      </c>
      <c r="D566" s="8">
        <v>4.2</v>
      </c>
      <c r="E566" s="4">
        <v>39</v>
      </c>
      <c r="F566" s="8">
        <v>7.05</v>
      </c>
      <c r="G566" s="4">
        <v>1</v>
      </c>
      <c r="H566" s="8">
        <v>0.25</v>
      </c>
      <c r="I566" s="4">
        <v>0</v>
      </c>
    </row>
    <row r="567" spans="1:9" x14ac:dyDescent="0.2">
      <c r="A567" s="2">
        <v>3</v>
      </c>
      <c r="B567" s="1" t="s">
        <v>120</v>
      </c>
      <c r="C567" s="4">
        <v>37</v>
      </c>
      <c r="D567" s="8">
        <v>3.89</v>
      </c>
      <c r="E567" s="4">
        <v>29</v>
      </c>
      <c r="F567" s="8">
        <v>5.24</v>
      </c>
      <c r="G567" s="4">
        <v>8</v>
      </c>
      <c r="H567" s="8">
        <v>2.02</v>
      </c>
      <c r="I567" s="4">
        <v>0</v>
      </c>
    </row>
    <row r="568" spans="1:9" x14ac:dyDescent="0.2">
      <c r="A568" s="2">
        <v>4</v>
      </c>
      <c r="B568" s="1" t="s">
        <v>124</v>
      </c>
      <c r="C568" s="4">
        <v>36</v>
      </c>
      <c r="D568" s="8">
        <v>3.78</v>
      </c>
      <c r="E568" s="4">
        <v>27</v>
      </c>
      <c r="F568" s="8">
        <v>4.88</v>
      </c>
      <c r="G568" s="4">
        <v>9</v>
      </c>
      <c r="H568" s="8">
        <v>2.27</v>
      </c>
      <c r="I568" s="4">
        <v>0</v>
      </c>
    </row>
    <row r="569" spans="1:9" x14ac:dyDescent="0.2">
      <c r="A569" s="2">
        <v>5</v>
      </c>
      <c r="B569" s="1" t="s">
        <v>137</v>
      </c>
      <c r="C569" s="4">
        <v>35</v>
      </c>
      <c r="D569" s="8">
        <v>3.68</v>
      </c>
      <c r="E569" s="4">
        <v>31</v>
      </c>
      <c r="F569" s="8">
        <v>5.61</v>
      </c>
      <c r="G569" s="4">
        <v>4</v>
      </c>
      <c r="H569" s="8">
        <v>1.01</v>
      </c>
      <c r="I569" s="4">
        <v>0</v>
      </c>
    </row>
    <row r="570" spans="1:9" x14ac:dyDescent="0.2">
      <c r="A570" s="2">
        <v>6</v>
      </c>
      <c r="B570" s="1" t="s">
        <v>118</v>
      </c>
      <c r="C570" s="4">
        <v>30</v>
      </c>
      <c r="D570" s="8">
        <v>3.15</v>
      </c>
      <c r="E570" s="4">
        <v>3</v>
      </c>
      <c r="F570" s="8">
        <v>0.54</v>
      </c>
      <c r="G570" s="4">
        <v>27</v>
      </c>
      <c r="H570" s="8">
        <v>6.82</v>
      </c>
      <c r="I570" s="4">
        <v>0</v>
      </c>
    </row>
    <row r="571" spans="1:9" x14ac:dyDescent="0.2">
      <c r="A571" s="2">
        <v>7</v>
      </c>
      <c r="B571" s="1" t="s">
        <v>127</v>
      </c>
      <c r="C571" s="4">
        <v>19</v>
      </c>
      <c r="D571" s="8">
        <v>2</v>
      </c>
      <c r="E571" s="4">
        <v>12</v>
      </c>
      <c r="F571" s="8">
        <v>2.17</v>
      </c>
      <c r="G571" s="4">
        <v>7</v>
      </c>
      <c r="H571" s="8">
        <v>1.77</v>
      </c>
      <c r="I571" s="4">
        <v>0</v>
      </c>
    </row>
    <row r="572" spans="1:9" x14ac:dyDescent="0.2">
      <c r="A572" s="2">
        <v>7</v>
      </c>
      <c r="B572" s="1" t="s">
        <v>129</v>
      </c>
      <c r="C572" s="4">
        <v>19</v>
      </c>
      <c r="D572" s="8">
        <v>2</v>
      </c>
      <c r="E572" s="4">
        <v>15</v>
      </c>
      <c r="F572" s="8">
        <v>2.71</v>
      </c>
      <c r="G572" s="4">
        <v>4</v>
      </c>
      <c r="H572" s="8">
        <v>1.01</v>
      </c>
      <c r="I572" s="4">
        <v>0</v>
      </c>
    </row>
    <row r="573" spans="1:9" x14ac:dyDescent="0.2">
      <c r="A573" s="2">
        <v>9</v>
      </c>
      <c r="B573" s="1" t="s">
        <v>145</v>
      </c>
      <c r="C573" s="4">
        <v>18</v>
      </c>
      <c r="D573" s="8">
        <v>1.89</v>
      </c>
      <c r="E573" s="4">
        <v>12</v>
      </c>
      <c r="F573" s="8">
        <v>2.17</v>
      </c>
      <c r="G573" s="4">
        <v>6</v>
      </c>
      <c r="H573" s="8">
        <v>1.52</v>
      </c>
      <c r="I573" s="4">
        <v>0</v>
      </c>
    </row>
    <row r="574" spans="1:9" x14ac:dyDescent="0.2">
      <c r="A574" s="2">
        <v>9</v>
      </c>
      <c r="B574" s="1" t="s">
        <v>121</v>
      </c>
      <c r="C574" s="4">
        <v>18</v>
      </c>
      <c r="D574" s="8">
        <v>1.89</v>
      </c>
      <c r="E574" s="4">
        <v>8</v>
      </c>
      <c r="F574" s="8">
        <v>1.45</v>
      </c>
      <c r="G574" s="4">
        <v>10</v>
      </c>
      <c r="H574" s="8">
        <v>2.5299999999999998</v>
      </c>
      <c r="I574" s="4">
        <v>0</v>
      </c>
    </row>
    <row r="575" spans="1:9" x14ac:dyDescent="0.2">
      <c r="A575" s="2">
        <v>9</v>
      </c>
      <c r="B575" s="1" t="s">
        <v>123</v>
      </c>
      <c r="C575" s="4">
        <v>18</v>
      </c>
      <c r="D575" s="8">
        <v>1.89</v>
      </c>
      <c r="E575" s="4">
        <v>15</v>
      </c>
      <c r="F575" s="8">
        <v>2.71</v>
      </c>
      <c r="G575" s="4">
        <v>3</v>
      </c>
      <c r="H575" s="8">
        <v>0.76</v>
      </c>
      <c r="I575" s="4">
        <v>0</v>
      </c>
    </row>
    <row r="576" spans="1:9" x14ac:dyDescent="0.2">
      <c r="A576" s="2">
        <v>12</v>
      </c>
      <c r="B576" s="1" t="s">
        <v>153</v>
      </c>
      <c r="C576" s="4">
        <v>17</v>
      </c>
      <c r="D576" s="8">
        <v>1.79</v>
      </c>
      <c r="E576" s="4">
        <v>8</v>
      </c>
      <c r="F576" s="8">
        <v>1.45</v>
      </c>
      <c r="G576" s="4">
        <v>9</v>
      </c>
      <c r="H576" s="8">
        <v>2.27</v>
      </c>
      <c r="I576" s="4">
        <v>0</v>
      </c>
    </row>
    <row r="577" spans="1:9" x14ac:dyDescent="0.2">
      <c r="A577" s="2">
        <v>12</v>
      </c>
      <c r="B577" s="1" t="s">
        <v>131</v>
      </c>
      <c r="C577" s="4">
        <v>17</v>
      </c>
      <c r="D577" s="8">
        <v>1.79</v>
      </c>
      <c r="E577" s="4">
        <v>16</v>
      </c>
      <c r="F577" s="8">
        <v>2.89</v>
      </c>
      <c r="G577" s="4">
        <v>1</v>
      </c>
      <c r="H577" s="8">
        <v>0.25</v>
      </c>
      <c r="I577" s="4">
        <v>0</v>
      </c>
    </row>
    <row r="578" spans="1:9" x14ac:dyDescent="0.2">
      <c r="A578" s="2">
        <v>14</v>
      </c>
      <c r="B578" s="1" t="s">
        <v>119</v>
      </c>
      <c r="C578" s="4">
        <v>16</v>
      </c>
      <c r="D578" s="8">
        <v>1.68</v>
      </c>
      <c r="E578" s="4">
        <v>7</v>
      </c>
      <c r="F578" s="8">
        <v>1.27</v>
      </c>
      <c r="G578" s="4">
        <v>9</v>
      </c>
      <c r="H578" s="8">
        <v>2.27</v>
      </c>
      <c r="I578" s="4">
        <v>0</v>
      </c>
    </row>
    <row r="579" spans="1:9" x14ac:dyDescent="0.2">
      <c r="A579" s="2">
        <v>15</v>
      </c>
      <c r="B579" s="1" t="s">
        <v>136</v>
      </c>
      <c r="C579" s="4">
        <v>15</v>
      </c>
      <c r="D579" s="8">
        <v>1.58</v>
      </c>
      <c r="E579" s="4">
        <v>13</v>
      </c>
      <c r="F579" s="8">
        <v>2.35</v>
      </c>
      <c r="G579" s="4">
        <v>2</v>
      </c>
      <c r="H579" s="8">
        <v>0.51</v>
      </c>
      <c r="I579" s="4">
        <v>0</v>
      </c>
    </row>
    <row r="580" spans="1:9" x14ac:dyDescent="0.2">
      <c r="A580" s="2">
        <v>16</v>
      </c>
      <c r="B580" s="1" t="s">
        <v>169</v>
      </c>
      <c r="C580" s="4">
        <v>14</v>
      </c>
      <c r="D580" s="8">
        <v>1.47</v>
      </c>
      <c r="E580" s="4">
        <v>13</v>
      </c>
      <c r="F580" s="8">
        <v>2.35</v>
      </c>
      <c r="G580" s="4">
        <v>1</v>
      </c>
      <c r="H580" s="8">
        <v>0.25</v>
      </c>
      <c r="I580" s="4">
        <v>0</v>
      </c>
    </row>
    <row r="581" spans="1:9" x14ac:dyDescent="0.2">
      <c r="A581" s="2">
        <v>16</v>
      </c>
      <c r="B581" s="1" t="s">
        <v>154</v>
      </c>
      <c r="C581" s="4">
        <v>14</v>
      </c>
      <c r="D581" s="8">
        <v>1.47</v>
      </c>
      <c r="E581" s="4">
        <v>3</v>
      </c>
      <c r="F581" s="8">
        <v>0.54</v>
      </c>
      <c r="G581" s="4">
        <v>11</v>
      </c>
      <c r="H581" s="8">
        <v>2.78</v>
      </c>
      <c r="I581" s="4">
        <v>0</v>
      </c>
    </row>
    <row r="582" spans="1:9" x14ac:dyDescent="0.2">
      <c r="A582" s="2">
        <v>18</v>
      </c>
      <c r="B582" s="1" t="s">
        <v>126</v>
      </c>
      <c r="C582" s="4">
        <v>13</v>
      </c>
      <c r="D582" s="8">
        <v>1.37</v>
      </c>
      <c r="E582" s="4">
        <v>9</v>
      </c>
      <c r="F582" s="8">
        <v>1.63</v>
      </c>
      <c r="G582" s="4">
        <v>4</v>
      </c>
      <c r="H582" s="8">
        <v>1.01</v>
      </c>
      <c r="I582" s="4">
        <v>0</v>
      </c>
    </row>
    <row r="583" spans="1:9" x14ac:dyDescent="0.2">
      <c r="A583" s="2">
        <v>19</v>
      </c>
      <c r="B583" s="1" t="s">
        <v>170</v>
      </c>
      <c r="C583" s="4">
        <v>12</v>
      </c>
      <c r="D583" s="8">
        <v>1.26</v>
      </c>
      <c r="E583" s="4">
        <v>12</v>
      </c>
      <c r="F583" s="8">
        <v>2.17</v>
      </c>
      <c r="G583" s="4">
        <v>0</v>
      </c>
      <c r="H583" s="8">
        <v>0</v>
      </c>
      <c r="I583" s="4">
        <v>0</v>
      </c>
    </row>
    <row r="584" spans="1:9" x14ac:dyDescent="0.2">
      <c r="A584" s="2">
        <v>19</v>
      </c>
      <c r="B584" s="1" t="s">
        <v>152</v>
      </c>
      <c r="C584" s="4">
        <v>12</v>
      </c>
      <c r="D584" s="8">
        <v>1.26</v>
      </c>
      <c r="E584" s="4">
        <v>10</v>
      </c>
      <c r="F584" s="8">
        <v>1.81</v>
      </c>
      <c r="G584" s="4">
        <v>2</v>
      </c>
      <c r="H584" s="8">
        <v>0.51</v>
      </c>
      <c r="I584" s="4">
        <v>0</v>
      </c>
    </row>
    <row r="585" spans="1:9" x14ac:dyDescent="0.2">
      <c r="A585" s="2">
        <v>19</v>
      </c>
      <c r="B585" s="1" t="s">
        <v>132</v>
      </c>
      <c r="C585" s="4">
        <v>12</v>
      </c>
      <c r="D585" s="8">
        <v>1.26</v>
      </c>
      <c r="E585" s="4">
        <v>12</v>
      </c>
      <c r="F585" s="8">
        <v>2.17</v>
      </c>
      <c r="G585" s="4">
        <v>0</v>
      </c>
      <c r="H585" s="8">
        <v>0</v>
      </c>
      <c r="I585" s="4">
        <v>0</v>
      </c>
    </row>
    <row r="586" spans="1:9" x14ac:dyDescent="0.2">
      <c r="A586" s="1"/>
      <c r="C586" s="4"/>
      <c r="D586" s="8"/>
      <c r="E586" s="4"/>
      <c r="F586" s="8"/>
      <c r="G586" s="4"/>
      <c r="H586" s="8"/>
      <c r="I586" s="4"/>
    </row>
    <row r="587" spans="1:9" x14ac:dyDescent="0.2">
      <c r="A587" s="1" t="s">
        <v>26</v>
      </c>
      <c r="C587" s="4"/>
      <c r="D587" s="8"/>
      <c r="E587" s="4"/>
      <c r="F587" s="8"/>
      <c r="G587" s="4"/>
      <c r="H587" s="8"/>
      <c r="I587" s="4"/>
    </row>
    <row r="588" spans="1:9" x14ac:dyDescent="0.2">
      <c r="A588" s="2">
        <v>1</v>
      </c>
      <c r="B588" s="1" t="s">
        <v>129</v>
      </c>
      <c r="C588" s="4">
        <v>71</v>
      </c>
      <c r="D588" s="8">
        <v>8.49</v>
      </c>
      <c r="E588" s="4">
        <v>62</v>
      </c>
      <c r="F588" s="8">
        <v>13.33</v>
      </c>
      <c r="G588" s="4">
        <v>9</v>
      </c>
      <c r="H588" s="8">
        <v>2.4700000000000002</v>
      </c>
      <c r="I588" s="4">
        <v>0</v>
      </c>
    </row>
    <row r="589" spans="1:9" x14ac:dyDescent="0.2">
      <c r="A589" s="2">
        <v>2</v>
      </c>
      <c r="B589" s="1" t="s">
        <v>133</v>
      </c>
      <c r="C589" s="4">
        <v>46</v>
      </c>
      <c r="D589" s="8">
        <v>5.5</v>
      </c>
      <c r="E589" s="4">
        <v>46</v>
      </c>
      <c r="F589" s="8">
        <v>9.89</v>
      </c>
      <c r="G589" s="4">
        <v>0</v>
      </c>
      <c r="H589" s="8">
        <v>0</v>
      </c>
      <c r="I589" s="4">
        <v>0</v>
      </c>
    </row>
    <row r="590" spans="1:9" x14ac:dyDescent="0.2">
      <c r="A590" s="2">
        <v>3</v>
      </c>
      <c r="B590" s="1" t="s">
        <v>118</v>
      </c>
      <c r="C590" s="4">
        <v>40</v>
      </c>
      <c r="D590" s="8">
        <v>4.78</v>
      </c>
      <c r="E590" s="4">
        <v>6</v>
      </c>
      <c r="F590" s="8">
        <v>1.29</v>
      </c>
      <c r="G590" s="4">
        <v>34</v>
      </c>
      <c r="H590" s="8">
        <v>9.32</v>
      </c>
      <c r="I590" s="4">
        <v>0</v>
      </c>
    </row>
    <row r="591" spans="1:9" x14ac:dyDescent="0.2">
      <c r="A591" s="2">
        <v>4</v>
      </c>
      <c r="B591" s="1" t="s">
        <v>137</v>
      </c>
      <c r="C591" s="4">
        <v>37</v>
      </c>
      <c r="D591" s="8">
        <v>4.43</v>
      </c>
      <c r="E591" s="4">
        <v>30</v>
      </c>
      <c r="F591" s="8">
        <v>6.45</v>
      </c>
      <c r="G591" s="4">
        <v>7</v>
      </c>
      <c r="H591" s="8">
        <v>1.92</v>
      </c>
      <c r="I591" s="4">
        <v>0</v>
      </c>
    </row>
    <row r="592" spans="1:9" x14ac:dyDescent="0.2">
      <c r="A592" s="2">
        <v>5</v>
      </c>
      <c r="B592" s="1" t="s">
        <v>134</v>
      </c>
      <c r="C592" s="4">
        <v>31</v>
      </c>
      <c r="D592" s="8">
        <v>3.71</v>
      </c>
      <c r="E592" s="4">
        <v>29</v>
      </c>
      <c r="F592" s="8">
        <v>6.24</v>
      </c>
      <c r="G592" s="4">
        <v>2</v>
      </c>
      <c r="H592" s="8">
        <v>0.55000000000000004</v>
      </c>
      <c r="I592" s="4">
        <v>0</v>
      </c>
    </row>
    <row r="593" spans="1:9" x14ac:dyDescent="0.2">
      <c r="A593" s="2">
        <v>6</v>
      </c>
      <c r="B593" s="1" t="s">
        <v>124</v>
      </c>
      <c r="C593" s="4">
        <v>30</v>
      </c>
      <c r="D593" s="8">
        <v>3.59</v>
      </c>
      <c r="E593" s="4">
        <v>18</v>
      </c>
      <c r="F593" s="8">
        <v>3.87</v>
      </c>
      <c r="G593" s="4">
        <v>12</v>
      </c>
      <c r="H593" s="8">
        <v>3.29</v>
      </c>
      <c r="I593" s="4">
        <v>0</v>
      </c>
    </row>
    <row r="594" spans="1:9" x14ac:dyDescent="0.2">
      <c r="A594" s="2">
        <v>7</v>
      </c>
      <c r="B594" s="1" t="s">
        <v>121</v>
      </c>
      <c r="C594" s="4">
        <v>27</v>
      </c>
      <c r="D594" s="8">
        <v>3.23</v>
      </c>
      <c r="E594" s="4">
        <v>13</v>
      </c>
      <c r="F594" s="8">
        <v>2.8</v>
      </c>
      <c r="G594" s="4">
        <v>14</v>
      </c>
      <c r="H594" s="8">
        <v>3.84</v>
      </c>
      <c r="I594" s="4">
        <v>0</v>
      </c>
    </row>
    <row r="595" spans="1:9" x14ac:dyDescent="0.2">
      <c r="A595" s="2">
        <v>8</v>
      </c>
      <c r="B595" s="1" t="s">
        <v>120</v>
      </c>
      <c r="C595" s="4">
        <v>21</v>
      </c>
      <c r="D595" s="8">
        <v>2.5099999999999998</v>
      </c>
      <c r="E595" s="4">
        <v>15</v>
      </c>
      <c r="F595" s="8">
        <v>3.23</v>
      </c>
      <c r="G595" s="4">
        <v>6</v>
      </c>
      <c r="H595" s="8">
        <v>1.64</v>
      </c>
      <c r="I595" s="4">
        <v>0</v>
      </c>
    </row>
    <row r="596" spans="1:9" x14ac:dyDescent="0.2">
      <c r="A596" s="2">
        <v>9</v>
      </c>
      <c r="B596" s="1" t="s">
        <v>145</v>
      </c>
      <c r="C596" s="4">
        <v>20</v>
      </c>
      <c r="D596" s="8">
        <v>2.39</v>
      </c>
      <c r="E596" s="4">
        <v>16</v>
      </c>
      <c r="F596" s="8">
        <v>3.44</v>
      </c>
      <c r="G596" s="4">
        <v>4</v>
      </c>
      <c r="H596" s="8">
        <v>1.1000000000000001</v>
      </c>
      <c r="I596" s="4">
        <v>0</v>
      </c>
    </row>
    <row r="597" spans="1:9" x14ac:dyDescent="0.2">
      <c r="A597" s="2">
        <v>9</v>
      </c>
      <c r="B597" s="1" t="s">
        <v>128</v>
      </c>
      <c r="C597" s="4">
        <v>20</v>
      </c>
      <c r="D597" s="8">
        <v>2.39</v>
      </c>
      <c r="E597" s="4">
        <v>8</v>
      </c>
      <c r="F597" s="8">
        <v>1.72</v>
      </c>
      <c r="G597" s="4">
        <v>12</v>
      </c>
      <c r="H597" s="8">
        <v>3.29</v>
      </c>
      <c r="I597" s="4">
        <v>0</v>
      </c>
    </row>
    <row r="598" spans="1:9" x14ac:dyDescent="0.2">
      <c r="A598" s="2">
        <v>9</v>
      </c>
      <c r="B598" s="1" t="s">
        <v>132</v>
      </c>
      <c r="C598" s="4">
        <v>20</v>
      </c>
      <c r="D598" s="8">
        <v>2.39</v>
      </c>
      <c r="E598" s="4">
        <v>20</v>
      </c>
      <c r="F598" s="8">
        <v>4.3</v>
      </c>
      <c r="G598" s="4">
        <v>0</v>
      </c>
      <c r="H598" s="8">
        <v>0</v>
      </c>
      <c r="I598" s="4">
        <v>0</v>
      </c>
    </row>
    <row r="599" spans="1:9" x14ac:dyDescent="0.2">
      <c r="A599" s="2">
        <v>12</v>
      </c>
      <c r="B599" s="1" t="s">
        <v>122</v>
      </c>
      <c r="C599" s="4">
        <v>18</v>
      </c>
      <c r="D599" s="8">
        <v>2.15</v>
      </c>
      <c r="E599" s="4">
        <v>7</v>
      </c>
      <c r="F599" s="8">
        <v>1.51</v>
      </c>
      <c r="G599" s="4">
        <v>11</v>
      </c>
      <c r="H599" s="8">
        <v>3.01</v>
      </c>
      <c r="I599" s="4">
        <v>0</v>
      </c>
    </row>
    <row r="600" spans="1:9" x14ac:dyDescent="0.2">
      <c r="A600" s="2">
        <v>13</v>
      </c>
      <c r="B600" s="1" t="s">
        <v>172</v>
      </c>
      <c r="C600" s="4">
        <v>15</v>
      </c>
      <c r="D600" s="8">
        <v>1.79</v>
      </c>
      <c r="E600" s="4">
        <v>0</v>
      </c>
      <c r="F600" s="8">
        <v>0</v>
      </c>
      <c r="G600" s="4">
        <v>14</v>
      </c>
      <c r="H600" s="8">
        <v>3.84</v>
      </c>
      <c r="I600" s="4">
        <v>0</v>
      </c>
    </row>
    <row r="601" spans="1:9" x14ac:dyDescent="0.2">
      <c r="A601" s="2">
        <v>14</v>
      </c>
      <c r="B601" s="1" t="s">
        <v>119</v>
      </c>
      <c r="C601" s="4">
        <v>14</v>
      </c>
      <c r="D601" s="8">
        <v>1.67</v>
      </c>
      <c r="E601" s="4">
        <v>3</v>
      </c>
      <c r="F601" s="8">
        <v>0.65</v>
      </c>
      <c r="G601" s="4">
        <v>11</v>
      </c>
      <c r="H601" s="8">
        <v>3.01</v>
      </c>
      <c r="I601" s="4">
        <v>0</v>
      </c>
    </row>
    <row r="602" spans="1:9" x14ac:dyDescent="0.2">
      <c r="A602" s="2">
        <v>14</v>
      </c>
      <c r="B602" s="1" t="s">
        <v>123</v>
      </c>
      <c r="C602" s="4">
        <v>14</v>
      </c>
      <c r="D602" s="8">
        <v>1.67</v>
      </c>
      <c r="E602" s="4">
        <v>13</v>
      </c>
      <c r="F602" s="8">
        <v>2.8</v>
      </c>
      <c r="G602" s="4">
        <v>1</v>
      </c>
      <c r="H602" s="8">
        <v>0.27</v>
      </c>
      <c r="I602" s="4">
        <v>0</v>
      </c>
    </row>
    <row r="603" spans="1:9" x14ac:dyDescent="0.2">
      <c r="A603" s="2">
        <v>16</v>
      </c>
      <c r="B603" s="1" t="s">
        <v>146</v>
      </c>
      <c r="C603" s="4">
        <v>13</v>
      </c>
      <c r="D603" s="8">
        <v>1.56</v>
      </c>
      <c r="E603" s="4">
        <v>5</v>
      </c>
      <c r="F603" s="8">
        <v>1.08</v>
      </c>
      <c r="G603" s="4">
        <v>8</v>
      </c>
      <c r="H603" s="8">
        <v>2.19</v>
      </c>
      <c r="I603" s="4">
        <v>0</v>
      </c>
    </row>
    <row r="604" spans="1:9" x14ac:dyDescent="0.2">
      <c r="A604" s="2">
        <v>17</v>
      </c>
      <c r="B604" s="1" t="s">
        <v>126</v>
      </c>
      <c r="C604" s="4">
        <v>11</v>
      </c>
      <c r="D604" s="8">
        <v>1.32</v>
      </c>
      <c r="E604" s="4">
        <v>4</v>
      </c>
      <c r="F604" s="8">
        <v>0.86</v>
      </c>
      <c r="G604" s="4">
        <v>7</v>
      </c>
      <c r="H604" s="8">
        <v>1.92</v>
      </c>
      <c r="I604" s="4">
        <v>0</v>
      </c>
    </row>
    <row r="605" spans="1:9" x14ac:dyDescent="0.2">
      <c r="A605" s="2">
        <v>17</v>
      </c>
      <c r="B605" s="1" t="s">
        <v>131</v>
      </c>
      <c r="C605" s="4">
        <v>11</v>
      </c>
      <c r="D605" s="8">
        <v>1.32</v>
      </c>
      <c r="E605" s="4">
        <v>11</v>
      </c>
      <c r="F605" s="8">
        <v>2.37</v>
      </c>
      <c r="G605" s="4">
        <v>0</v>
      </c>
      <c r="H605" s="8">
        <v>0</v>
      </c>
      <c r="I605" s="4">
        <v>0</v>
      </c>
    </row>
    <row r="606" spans="1:9" x14ac:dyDescent="0.2">
      <c r="A606" s="2">
        <v>17</v>
      </c>
      <c r="B606" s="1" t="s">
        <v>135</v>
      </c>
      <c r="C606" s="4">
        <v>11</v>
      </c>
      <c r="D606" s="8">
        <v>1.32</v>
      </c>
      <c r="E606" s="4">
        <v>7</v>
      </c>
      <c r="F606" s="8">
        <v>1.51</v>
      </c>
      <c r="G606" s="4">
        <v>4</v>
      </c>
      <c r="H606" s="8">
        <v>1.1000000000000001</v>
      </c>
      <c r="I606" s="4">
        <v>0</v>
      </c>
    </row>
    <row r="607" spans="1:9" x14ac:dyDescent="0.2">
      <c r="A607" s="2">
        <v>20</v>
      </c>
      <c r="B607" s="1" t="s">
        <v>152</v>
      </c>
      <c r="C607" s="4">
        <v>10</v>
      </c>
      <c r="D607" s="8">
        <v>1.2</v>
      </c>
      <c r="E607" s="4">
        <v>9</v>
      </c>
      <c r="F607" s="8">
        <v>1.94</v>
      </c>
      <c r="G607" s="4">
        <v>1</v>
      </c>
      <c r="H607" s="8">
        <v>0.27</v>
      </c>
      <c r="I607" s="4">
        <v>0</v>
      </c>
    </row>
    <row r="608" spans="1:9" x14ac:dyDescent="0.2">
      <c r="A608" s="2">
        <v>20</v>
      </c>
      <c r="B608" s="1" t="s">
        <v>171</v>
      </c>
      <c r="C608" s="4">
        <v>10</v>
      </c>
      <c r="D608" s="8">
        <v>1.2</v>
      </c>
      <c r="E608" s="4">
        <v>1</v>
      </c>
      <c r="F608" s="8">
        <v>0.22</v>
      </c>
      <c r="G608" s="4">
        <v>9</v>
      </c>
      <c r="H608" s="8">
        <v>2.4700000000000002</v>
      </c>
      <c r="I608" s="4">
        <v>0</v>
      </c>
    </row>
    <row r="609" spans="1:9" x14ac:dyDescent="0.2">
      <c r="A609" s="1"/>
      <c r="C609" s="4"/>
      <c r="D609" s="8"/>
      <c r="E609" s="4"/>
      <c r="F609" s="8"/>
      <c r="G609" s="4"/>
      <c r="H609" s="8"/>
      <c r="I609" s="4"/>
    </row>
    <row r="610" spans="1:9" x14ac:dyDescent="0.2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2">
      <c r="A611" s="2">
        <v>1</v>
      </c>
      <c r="B611" s="1" t="s">
        <v>161</v>
      </c>
      <c r="C611" s="4">
        <v>223</v>
      </c>
      <c r="D611" s="8">
        <v>17.260000000000002</v>
      </c>
      <c r="E611" s="4">
        <v>107</v>
      </c>
      <c r="F611" s="8">
        <v>13.81</v>
      </c>
      <c r="G611" s="4">
        <v>116</v>
      </c>
      <c r="H611" s="8">
        <v>22.83</v>
      </c>
      <c r="I611" s="4">
        <v>0</v>
      </c>
    </row>
    <row r="612" spans="1:9" x14ac:dyDescent="0.2">
      <c r="A612" s="2">
        <v>2</v>
      </c>
      <c r="B612" s="1" t="s">
        <v>134</v>
      </c>
      <c r="C612" s="4">
        <v>52</v>
      </c>
      <c r="D612" s="8">
        <v>4.0199999999999996</v>
      </c>
      <c r="E612" s="4">
        <v>47</v>
      </c>
      <c r="F612" s="8">
        <v>6.06</v>
      </c>
      <c r="G612" s="4">
        <v>5</v>
      </c>
      <c r="H612" s="8">
        <v>0.98</v>
      </c>
      <c r="I612" s="4">
        <v>0</v>
      </c>
    </row>
    <row r="613" spans="1:9" x14ac:dyDescent="0.2">
      <c r="A613" s="2">
        <v>3</v>
      </c>
      <c r="B613" s="1" t="s">
        <v>127</v>
      </c>
      <c r="C613" s="4">
        <v>51</v>
      </c>
      <c r="D613" s="8">
        <v>3.95</v>
      </c>
      <c r="E613" s="4">
        <v>33</v>
      </c>
      <c r="F613" s="8">
        <v>4.26</v>
      </c>
      <c r="G613" s="4">
        <v>18</v>
      </c>
      <c r="H613" s="8">
        <v>3.54</v>
      </c>
      <c r="I613" s="4">
        <v>0</v>
      </c>
    </row>
    <row r="614" spans="1:9" x14ac:dyDescent="0.2">
      <c r="A614" s="2">
        <v>4</v>
      </c>
      <c r="B614" s="1" t="s">
        <v>133</v>
      </c>
      <c r="C614" s="4">
        <v>49</v>
      </c>
      <c r="D614" s="8">
        <v>3.79</v>
      </c>
      <c r="E614" s="4">
        <v>48</v>
      </c>
      <c r="F614" s="8">
        <v>6.19</v>
      </c>
      <c r="G614" s="4">
        <v>1</v>
      </c>
      <c r="H614" s="8">
        <v>0.2</v>
      </c>
      <c r="I614" s="4">
        <v>0</v>
      </c>
    </row>
    <row r="615" spans="1:9" x14ac:dyDescent="0.2">
      <c r="A615" s="2">
        <v>5</v>
      </c>
      <c r="B615" s="1" t="s">
        <v>137</v>
      </c>
      <c r="C615" s="4">
        <v>40</v>
      </c>
      <c r="D615" s="8">
        <v>3.1</v>
      </c>
      <c r="E615" s="4">
        <v>33</v>
      </c>
      <c r="F615" s="8">
        <v>4.26</v>
      </c>
      <c r="G615" s="4">
        <v>7</v>
      </c>
      <c r="H615" s="8">
        <v>1.38</v>
      </c>
      <c r="I615" s="4">
        <v>0</v>
      </c>
    </row>
    <row r="616" spans="1:9" x14ac:dyDescent="0.2">
      <c r="A616" s="2">
        <v>6</v>
      </c>
      <c r="B616" s="1" t="s">
        <v>118</v>
      </c>
      <c r="C616" s="4">
        <v>39</v>
      </c>
      <c r="D616" s="8">
        <v>3.02</v>
      </c>
      <c r="E616" s="4">
        <v>11</v>
      </c>
      <c r="F616" s="8">
        <v>1.42</v>
      </c>
      <c r="G616" s="4">
        <v>28</v>
      </c>
      <c r="H616" s="8">
        <v>5.51</v>
      </c>
      <c r="I616" s="4">
        <v>0</v>
      </c>
    </row>
    <row r="617" spans="1:9" x14ac:dyDescent="0.2">
      <c r="A617" s="2">
        <v>7</v>
      </c>
      <c r="B617" s="1" t="s">
        <v>120</v>
      </c>
      <c r="C617" s="4">
        <v>35</v>
      </c>
      <c r="D617" s="8">
        <v>2.71</v>
      </c>
      <c r="E617" s="4">
        <v>27</v>
      </c>
      <c r="F617" s="8">
        <v>3.48</v>
      </c>
      <c r="G617" s="4">
        <v>8</v>
      </c>
      <c r="H617" s="8">
        <v>1.57</v>
      </c>
      <c r="I617" s="4">
        <v>0</v>
      </c>
    </row>
    <row r="618" spans="1:9" x14ac:dyDescent="0.2">
      <c r="A618" s="2">
        <v>8</v>
      </c>
      <c r="B618" s="1" t="s">
        <v>124</v>
      </c>
      <c r="C618" s="4">
        <v>27</v>
      </c>
      <c r="D618" s="8">
        <v>2.09</v>
      </c>
      <c r="E618" s="4">
        <v>14</v>
      </c>
      <c r="F618" s="8">
        <v>1.81</v>
      </c>
      <c r="G618" s="4">
        <v>13</v>
      </c>
      <c r="H618" s="8">
        <v>2.56</v>
      </c>
      <c r="I618" s="4">
        <v>0</v>
      </c>
    </row>
    <row r="619" spans="1:9" x14ac:dyDescent="0.2">
      <c r="A619" s="2">
        <v>9</v>
      </c>
      <c r="B619" s="1" t="s">
        <v>126</v>
      </c>
      <c r="C619" s="4">
        <v>26</v>
      </c>
      <c r="D619" s="8">
        <v>2.0099999999999998</v>
      </c>
      <c r="E619" s="4">
        <v>11</v>
      </c>
      <c r="F619" s="8">
        <v>1.42</v>
      </c>
      <c r="G619" s="4">
        <v>15</v>
      </c>
      <c r="H619" s="8">
        <v>2.95</v>
      </c>
      <c r="I619" s="4">
        <v>0</v>
      </c>
    </row>
    <row r="620" spans="1:9" x14ac:dyDescent="0.2">
      <c r="A620" s="2">
        <v>10</v>
      </c>
      <c r="B620" s="1" t="s">
        <v>173</v>
      </c>
      <c r="C620" s="4">
        <v>25</v>
      </c>
      <c r="D620" s="8">
        <v>1.93</v>
      </c>
      <c r="E620" s="4">
        <v>16</v>
      </c>
      <c r="F620" s="8">
        <v>2.06</v>
      </c>
      <c r="G620" s="4">
        <v>9</v>
      </c>
      <c r="H620" s="8">
        <v>1.77</v>
      </c>
      <c r="I620" s="4">
        <v>0</v>
      </c>
    </row>
    <row r="621" spans="1:9" x14ac:dyDescent="0.2">
      <c r="A621" s="2">
        <v>10</v>
      </c>
      <c r="B621" s="1" t="s">
        <v>174</v>
      </c>
      <c r="C621" s="4">
        <v>25</v>
      </c>
      <c r="D621" s="8">
        <v>1.93</v>
      </c>
      <c r="E621" s="4">
        <v>4</v>
      </c>
      <c r="F621" s="8">
        <v>0.52</v>
      </c>
      <c r="G621" s="4">
        <v>21</v>
      </c>
      <c r="H621" s="8">
        <v>4.13</v>
      </c>
      <c r="I621" s="4">
        <v>0</v>
      </c>
    </row>
    <row r="622" spans="1:9" x14ac:dyDescent="0.2">
      <c r="A622" s="2">
        <v>12</v>
      </c>
      <c r="B622" s="1" t="s">
        <v>131</v>
      </c>
      <c r="C622" s="4">
        <v>24</v>
      </c>
      <c r="D622" s="8">
        <v>1.86</v>
      </c>
      <c r="E622" s="4">
        <v>21</v>
      </c>
      <c r="F622" s="8">
        <v>2.71</v>
      </c>
      <c r="G622" s="4">
        <v>3</v>
      </c>
      <c r="H622" s="8">
        <v>0.59</v>
      </c>
      <c r="I622" s="4">
        <v>0</v>
      </c>
    </row>
    <row r="623" spans="1:9" x14ac:dyDescent="0.2">
      <c r="A623" s="2">
        <v>13</v>
      </c>
      <c r="B623" s="1" t="s">
        <v>123</v>
      </c>
      <c r="C623" s="4">
        <v>20</v>
      </c>
      <c r="D623" s="8">
        <v>1.55</v>
      </c>
      <c r="E623" s="4">
        <v>19</v>
      </c>
      <c r="F623" s="8">
        <v>2.4500000000000002</v>
      </c>
      <c r="G623" s="4">
        <v>1</v>
      </c>
      <c r="H623" s="8">
        <v>0.2</v>
      </c>
      <c r="I623" s="4">
        <v>0</v>
      </c>
    </row>
    <row r="624" spans="1:9" x14ac:dyDescent="0.2">
      <c r="A624" s="2">
        <v>13</v>
      </c>
      <c r="B624" s="1" t="s">
        <v>136</v>
      </c>
      <c r="C624" s="4">
        <v>20</v>
      </c>
      <c r="D624" s="8">
        <v>1.55</v>
      </c>
      <c r="E624" s="4">
        <v>18</v>
      </c>
      <c r="F624" s="8">
        <v>2.3199999999999998</v>
      </c>
      <c r="G624" s="4">
        <v>2</v>
      </c>
      <c r="H624" s="8">
        <v>0.39</v>
      </c>
      <c r="I624" s="4">
        <v>0</v>
      </c>
    </row>
    <row r="625" spans="1:9" x14ac:dyDescent="0.2">
      <c r="A625" s="2">
        <v>15</v>
      </c>
      <c r="B625" s="1" t="s">
        <v>145</v>
      </c>
      <c r="C625" s="4">
        <v>19</v>
      </c>
      <c r="D625" s="8">
        <v>1.47</v>
      </c>
      <c r="E625" s="4">
        <v>17</v>
      </c>
      <c r="F625" s="8">
        <v>2.19</v>
      </c>
      <c r="G625" s="4">
        <v>2</v>
      </c>
      <c r="H625" s="8">
        <v>0.39</v>
      </c>
      <c r="I625" s="4">
        <v>0</v>
      </c>
    </row>
    <row r="626" spans="1:9" x14ac:dyDescent="0.2">
      <c r="A626" s="2">
        <v>15</v>
      </c>
      <c r="B626" s="1" t="s">
        <v>122</v>
      </c>
      <c r="C626" s="4">
        <v>19</v>
      </c>
      <c r="D626" s="8">
        <v>1.47</v>
      </c>
      <c r="E626" s="4">
        <v>10</v>
      </c>
      <c r="F626" s="8">
        <v>1.29</v>
      </c>
      <c r="G626" s="4">
        <v>9</v>
      </c>
      <c r="H626" s="8">
        <v>1.77</v>
      </c>
      <c r="I626" s="4">
        <v>0</v>
      </c>
    </row>
    <row r="627" spans="1:9" x14ac:dyDescent="0.2">
      <c r="A627" s="2">
        <v>15</v>
      </c>
      <c r="B627" s="1" t="s">
        <v>147</v>
      </c>
      <c r="C627" s="4">
        <v>19</v>
      </c>
      <c r="D627" s="8">
        <v>1.47</v>
      </c>
      <c r="E627" s="4">
        <v>17</v>
      </c>
      <c r="F627" s="8">
        <v>2.19</v>
      </c>
      <c r="G627" s="4">
        <v>2</v>
      </c>
      <c r="H627" s="8">
        <v>0.39</v>
      </c>
      <c r="I627" s="4">
        <v>0</v>
      </c>
    </row>
    <row r="628" spans="1:9" x14ac:dyDescent="0.2">
      <c r="A628" s="2">
        <v>18</v>
      </c>
      <c r="B628" s="1" t="s">
        <v>121</v>
      </c>
      <c r="C628" s="4">
        <v>18</v>
      </c>
      <c r="D628" s="8">
        <v>1.39</v>
      </c>
      <c r="E628" s="4">
        <v>7</v>
      </c>
      <c r="F628" s="8">
        <v>0.9</v>
      </c>
      <c r="G628" s="4">
        <v>11</v>
      </c>
      <c r="H628" s="8">
        <v>2.17</v>
      </c>
      <c r="I628" s="4">
        <v>0</v>
      </c>
    </row>
    <row r="629" spans="1:9" x14ac:dyDescent="0.2">
      <c r="A629" s="2">
        <v>19</v>
      </c>
      <c r="B629" s="1" t="s">
        <v>175</v>
      </c>
      <c r="C629" s="4">
        <v>16</v>
      </c>
      <c r="D629" s="8">
        <v>1.24</v>
      </c>
      <c r="E629" s="4">
        <v>5</v>
      </c>
      <c r="F629" s="8">
        <v>0.65</v>
      </c>
      <c r="G629" s="4">
        <v>11</v>
      </c>
      <c r="H629" s="8">
        <v>2.17</v>
      </c>
      <c r="I629" s="4">
        <v>0</v>
      </c>
    </row>
    <row r="630" spans="1:9" x14ac:dyDescent="0.2">
      <c r="A630" s="2">
        <v>19</v>
      </c>
      <c r="B630" s="1" t="s">
        <v>125</v>
      </c>
      <c r="C630" s="4">
        <v>16</v>
      </c>
      <c r="D630" s="8">
        <v>1.24</v>
      </c>
      <c r="E630" s="4">
        <v>8</v>
      </c>
      <c r="F630" s="8">
        <v>1.03</v>
      </c>
      <c r="G630" s="4">
        <v>8</v>
      </c>
      <c r="H630" s="8">
        <v>1.57</v>
      </c>
      <c r="I630" s="4">
        <v>0</v>
      </c>
    </row>
    <row r="631" spans="1:9" x14ac:dyDescent="0.2">
      <c r="A631" s="1"/>
      <c r="C631" s="4"/>
      <c r="D631" s="8"/>
      <c r="E631" s="4"/>
      <c r="F631" s="8"/>
      <c r="G631" s="4"/>
      <c r="H631" s="8"/>
      <c r="I631" s="4"/>
    </row>
    <row r="632" spans="1:9" x14ac:dyDescent="0.2">
      <c r="A632" s="1" t="s">
        <v>28</v>
      </c>
      <c r="C632" s="4"/>
      <c r="D632" s="8"/>
      <c r="E632" s="4"/>
      <c r="F632" s="8"/>
      <c r="G632" s="4"/>
      <c r="H632" s="8"/>
      <c r="I632" s="4"/>
    </row>
    <row r="633" spans="1:9" x14ac:dyDescent="0.2">
      <c r="A633" s="2">
        <v>1</v>
      </c>
      <c r="B633" s="1" t="s">
        <v>129</v>
      </c>
      <c r="C633" s="4">
        <v>171</v>
      </c>
      <c r="D633" s="8">
        <v>7.53</v>
      </c>
      <c r="E633" s="4">
        <v>139</v>
      </c>
      <c r="F633" s="8">
        <v>12.15</v>
      </c>
      <c r="G633" s="4">
        <v>32</v>
      </c>
      <c r="H633" s="8">
        <v>2.88</v>
      </c>
      <c r="I633" s="4">
        <v>0</v>
      </c>
    </row>
    <row r="634" spans="1:9" x14ac:dyDescent="0.2">
      <c r="A634" s="2">
        <v>2</v>
      </c>
      <c r="B634" s="1" t="s">
        <v>134</v>
      </c>
      <c r="C634" s="4">
        <v>108</v>
      </c>
      <c r="D634" s="8">
        <v>4.76</v>
      </c>
      <c r="E634" s="4">
        <v>102</v>
      </c>
      <c r="F634" s="8">
        <v>8.92</v>
      </c>
      <c r="G634" s="4">
        <v>6</v>
      </c>
      <c r="H634" s="8">
        <v>0.54</v>
      </c>
      <c r="I634" s="4">
        <v>0</v>
      </c>
    </row>
    <row r="635" spans="1:9" x14ac:dyDescent="0.2">
      <c r="A635" s="2">
        <v>3</v>
      </c>
      <c r="B635" s="1" t="s">
        <v>133</v>
      </c>
      <c r="C635" s="4">
        <v>99</v>
      </c>
      <c r="D635" s="8">
        <v>4.3600000000000003</v>
      </c>
      <c r="E635" s="4">
        <v>93</v>
      </c>
      <c r="F635" s="8">
        <v>8.1300000000000008</v>
      </c>
      <c r="G635" s="4">
        <v>6</v>
      </c>
      <c r="H635" s="8">
        <v>0.54</v>
      </c>
      <c r="I635" s="4">
        <v>0</v>
      </c>
    </row>
    <row r="636" spans="1:9" x14ac:dyDescent="0.2">
      <c r="A636" s="2">
        <v>4</v>
      </c>
      <c r="B636" s="1" t="s">
        <v>122</v>
      </c>
      <c r="C636" s="4">
        <v>75</v>
      </c>
      <c r="D636" s="8">
        <v>3.3</v>
      </c>
      <c r="E636" s="4">
        <v>7</v>
      </c>
      <c r="F636" s="8">
        <v>0.61</v>
      </c>
      <c r="G636" s="4">
        <v>68</v>
      </c>
      <c r="H636" s="8">
        <v>6.13</v>
      </c>
      <c r="I636" s="4">
        <v>0</v>
      </c>
    </row>
    <row r="637" spans="1:9" x14ac:dyDescent="0.2">
      <c r="A637" s="2">
        <v>5</v>
      </c>
      <c r="B637" s="1" t="s">
        <v>132</v>
      </c>
      <c r="C637" s="4">
        <v>71</v>
      </c>
      <c r="D637" s="8">
        <v>3.13</v>
      </c>
      <c r="E637" s="4">
        <v>67</v>
      </c>
      <c r="F637" s="8">
        <v>5.86</v>
      </c>
      <c r="G637" s="4">
        <v>4</v>
      </c>
      <c r="H637" s="8">
        <v>0.36</v>
      </c>
      <c r="I637" s="4">
        <v>0</v>
      </c>
    </row>
    <row r="638" spans="1:9" x14ac:dyDescent="0.2">
      <c r="A638" s="2">
        <v>6</v>
      </c>
      <c r="B638" s="1" t="s">
        <v>131</v>
      </c>
      <c r="C638" s="4">
        <v>69</v>
      </c>
      <c r="D638" s="8">
        <v>3.04</v>
      </c>
      <c r="E638" s="4">
        <v>51</v>
      </c>
      <c r="F638" s="8">
        <v>4.46</v>
      </c>
      <c r="G638" s="4">
        <v>18</v>
      </c>
      <c r="H638" s="8">
        <v>1.62</v>
      </c>
      <c r="I638" s="4">
        <v>0</v>
      </c>
    </row>
    <row r="639" spans="1:9" x14ac:dyDescent="0.2">
      <c r="A639" s="2">
        <v>7</v>
      </c>
      <c r="B639" s="1" t="s">
        <v>118</v>
      </c>
      <c r="C639" s="4">
        <v>68</v>
      </c>
      <c r="D639" s="8">
        <v>2.99</v>
      </c>
      <c r="E639" s="4">
        <v>7</v>
      </c>
      <c r="F639" s="8">
        <v>0.61</v>
      </c>
      <c r="G639" s="4">
        <v>61</v>
      </c>
      <c r="H639" s="8">
        <v>5.5</v>
      </c>
      <c r="I639" s="4">
        <v>0</v>
      </c>
    </row>
    <row r="640" spans="1:9" x14ac:dyDescent="0.2">
      <c r="A640" s="2">
        <v>8</v>
      </c>
      <c r="B640" s="1" t="s">
        <v>121</v>
      </c>
      <c r="C640" s="4">
        <v>56</v>
      </c>
      <c r="D640" s="8">
        <v>2.4700000000000002</v>
      </c>
      <c r="E640" s="4">
        <v>10</v>
      </c>
      <c r="F640" s="8">
        <v>0.87</v>
      </c>
      <c r="G640" s="4">
        <v>46</v>
      </c>
      <c r="H640" s="8">
        <v>4.1399999999999997</v>
      </c>
      <c r="I640" s="4">
        <v>0</v>
      </c>
    </row>
    <row r="641" spans="1:9" x14ac:dyDescent="0.2">
      <c r="A641" s="2">
        <v>8</v>
      </c>
      <c r="B641" s="1" t="s">
        <v>137</v>
      </c>
      <c r="C641" s="4">
        <v>56</v>
      </c>
      <c r="D641" s="8">
        <v>2.4700000000000002</v>
      </c>
      <c r="E641" s="4">
        <v>43</v>
      </c>
      <c r="F641" s="8">
        <v>3.76</v>
      </c>
      <c r="G641" s="4">
        <v>13</v>
      </c>
      <c r="H641" s="8">
        <v>1.17</v>
      </c>
      <c r="I641" s="4">
        <v>0</v>
      </c>
    </row>
    <row r="642" spans="1:9" x14ac:dyDescent="0.2">
      <c r="A642" s="2">
        <v>10</v>
      </c>
      <c r="B642" s="1" t="s">
        <v>120</v>
      </c>
      <c r="C642" s="4">
        <v>55</v>
      </c>
      <c r="D642" s="8">
        <v>2.42</v>
      </c>
      <c r="E642" s="4">
        <v>35</v>
      </c>
      <c r="F642" s="8">
        <v>3.06</v>
      </c>
      <c r="G642" s="4">
        <v>20</v>
      </c>
      <c r="H642" s="8">
        <v>1.8</v>
      </c>
      <c r="I642" s="4">
        <v>0</v>
      </c>
    </row>
    <row r="643" spans="1:9" x14ac:dyDescent="0.2">
      <c r="A643" s="2">
        <v>11</v>
      </c>
      <c r="B643" s="1" t="s">
        <v>136</v>
      </c>
      <c r="C643" s="4">
        <v>40</v>
      </c>
      <c r="D643" s="8">
        <v>1.76</v>
      </c>
      <c r="E643" s="4">
        <v>35</v>
      </c>
      <c r="F643" s="8">
        <v>3.06</v>
      </c>
      <c r="G643" s="4">
        <v>5</v>
      </c>
      <c r="H643" s="8">
        <v>0.45</v>
      </c>
      <c r="I643" s="4">
        <v>0</v>
      </c>
    </row>
    <row r="644" spans="1:9" x14ac:dyDescent="0.2">
      <c r="A644" s="2">
        <v>12</v>
      </c>
      <c r="B644" s="1" t="s">
        <v>177</v>
      </c>
      <c r="C644" s="4">
        <v>38</v>
      </c>
      <c r="D644" s="8">
        <v>1.67</v>
      </c>
      <c r="E644" s="4">
        <v>0</v>
      </c>
      <c r="F644" s="8">
        <v>0</v>
      </c>
      <c r="G644" s="4">
        <v>38</v>
      </c>
      <c r="H644" s="8">
        <v>3.42</v>
      </c>
      <c r="I644" s="4">
        <v>0</v>
      </c>
    </row>
    <row r="645" spans="1:9" x14ac:dyDescent="0.2">
      <c r="A645" s="2">
        <v>13</v>
      </c>
      <c r="B645" s="1" t="s">
        <v>123</v>
      </c>
      <c r="C645" s="4">
        <v>37</v>
      </c>
      <c r="D645" s="8">
        <v>1.63</v>
      </c>
      <c r="E645" s="4">
        <v>31</v>
      </c>
      <c r="F645" s="8">
        <v>2.71</v>
      </c>
      <c r="G645" s="4">
        <v>6</v>
      </c>
      <c r="H645" s="8">
        <v>0.54</v>
      </c>
      <c r="I645" s="4">
        <v>0</v>
      </c>
    </row>
    <row r="646" spans="1:9" x14ac:dyDescent="0.2">
      <c r="A646" s="2">
        <v>13</v>
      </c>
      <c r="B646" s="1" t="s">
        <v>127</v>
      </c>
      <c r="C646" s="4">
        <v>37</v>
      </c>
      <c r="D646" s="8">
        <v>1.63</v>
      </c>
      <c r="E646" s="4">
        <v>18</v>
      </c>
      <c r="F646" s="8">
        <v>1.57</v>
      </c>
      <c r="G646" s="4">
        <v>19</v>
      </c>
      <c r="H646" s="8">
        <v>1.71</v>
      </c>
      <c r="I646" s="4">
        <v>0</v>
      </c>
    </row>
    <row r="647" spans="1:9" x14ac:dyDescent="0.2">
      <c r="A647" s="2">
        <v>15</v>
      </c>
      <c r="B647" s="1" t="s">
        <v>176</v>
      </c>
      <c r="C647" s="4">
        <v>35</v>
      </c>
      <c r="D647" s="8">
        <v>1.54</v>
      </c>
      <c r="E647" s="4">
        <v>0</v>
      </c>
      <c r="F647" s="8">
        <v>0</v>
      </c>
      <c r="G647" s="4">
        <v>35</v>
      </c>
      <c r="H647" s="8">
        <v>3.15</v>
      </c>
      <c r="I647" s="4">
        <v>0</v>
      </c>
    </row>
    <row r="648" spans="1:9" x14ac:dyDescent="0.2">
      <c r="A648" s="2">
        <v>16</v>
      </c>
      <c r="B648" s="1" t="s">
        <v>119</v>
      </c>
      <c r="C648" s="4">
        <v>31</v>
      </c>
      <c r="D648" s="8">
        <v>1.37</v>
      </c>
      <c r="E648" s="4">
        <v>4</v>
      </c>
      <c r="F648" s="8">
        <v>0.35</v>
      </c>
      <c r="G648" s="4">
        <v>27</v>
      </c>
      <c r="H648" s="8">
        <v>2.4300000000000002</v>
      </c>
      <c r="I648" s="4">
        <v>0</v>
      </c>
    </row>
    <row r="649" spans="1:9" x14ac:dyDescent="0.2">
      <c r="A649" s="2">
        <v>17</v>
      </c>
      <c r="B649" s="1" t="s">
        <v>153</v>
      </c>
      <c r="C649" s="4">
        <v>30</v>
      </c>
      <c r="D649" s="8">
        <v>1.32</v>
      </c>
      <c r="E649" s="4">
        <v>1</v>
      </c>
      <c r="F649" s="8">
        <v>0.09</v>
      </c>
      <c r="G649" s="4">
        <v>29</v>
      </c>
      <c r="H649" s="8">
        <v>2.61</v>
      </c>
      <c r="I649" s="4">
        <v>0</v>
      </c>
    </row>
    <row r="650" spans="1:9" x14ac:dyDescent="0.2">
      <c r="A650" s="2">
        <v>17</v>
      </c>
      <c r="B650" s="1" t="s">
        <v>135</v>
      </c>
      <c r="C650" s="4">
        <v>30</v>
      </c>
      <c r="D650" s="8">
        <v>1.32</v>
      </c>
      <c r="E650" s="4">
        <v>24</v>
      </c>
      <c r="F650" s="8">
        <v>2.1</v>
      </c>
      <c r="G650" s="4">
        <v>6</v>
      </c>
      <c r="H650" s="8">
        <v>0.54</v>
      </c>
      <c r="I650" s="4">
        <v>0</v>
      </c>
    </row>
    <row r="651" spans="1:9" x14ac:dyDescent="0.2">
      <c r="A651" s="2">
        <v>19</v>
      </c>
      <c r="B651" s="1" t="s">
        <v>159</v>
      </c>
      <c r="C651" s="4">
        <v>28</v>
      </c>
      <c r="D651" s="8">
        <v>1.23</v>
      </c>
      <c r="E651" s="4">
        <v>23</v>
      </c>
      <c r="F651" s="8">
        <v>2.0099999999999998</v>
      </c>
      <c r="G651" s="4">
        <v>5</v>
      </c>
      <c r="H651" s="8">
        <v>0.45</v>
      </c>
      <c r="I651" s="4">
        <v>0</v>
      </c>
    </row>
    <row r="652" spans="1:9" x14ac:dyDescent="0.2">
      <c r="A652" s="2">
        <v>20</v>
      </c>
      <c r="B652" s="1" t="s">
        <v>141</v>
      </c>
      <c r="C652" s="4">
        <v>27</v>
      </c>
      <c r="D652" s="8">
        <v>1.19</v>
      </c>
      <c r="E652" s="4">
        <v>17</v>
      </c>
      <c r="F652" s="8">
        <v>1.49</v>
      </c>
      <c r="G652" s="4">
        <v>10</v>
      </c>
      <c r="H652" s="8">
        <v>0.9</v>
      </c>
      <c r="I652" s="4">
        <v>0</v>
      </c>
    </row>
    <row r="653" spans="1:9" x14ac:dyDescent="0.2">
      <c r="A653" s="1"/>
      <c r="C653" s="4"/>
      <c r="D653" s="8"/>
      <c r="E653" s="4"/>
      <c r="F653" s="8"/>
      <c r="G653" s="4"/>
      <c r="H653" s="8"/>
      <c r="I653" s="4"/>
    </row>
    <row r="654" spans="1:9" x14ac:dyDescent="0.2">
      <c r="A654" s="1" t="s">
        <v>29</v>
      </c>
      <c r="C654" s="4"/>
      <c r="D654" s="8"/>
      <c r="E654" s="4"/>
      <c r="F654" s="8"/>
      <c r="G654" s="4"/>
      <c r="H654" s="8"/>
      <c r="I654" s="4"/>
    </row>
    <row r="655" spans="1:9" x14ac:dyDescent="0.2">
      <c r="A655" s="2">
        <v>1</v>
      </c>
      <c r="B655" s="1" t="s">
        <v>120</v>
      </c>
      <c r="C655" s="4">
        <v>59</v>
      </c>
      <c r="D655" s="8">
        <v>6.24</v>
      </c>
      <c r="E655" s="4">
        <v>49</v>
      </c>
      <c r="F655" s="8">
        <v>7.46</v>
      </c>
      <c r="G655" s="4">
        <v>10</v>
      </c>
      <c r="H655" s="8">
        <v>3.55</v>
      </c>
      <c r="I655" s="4">
        <v>0</v>
      </c>
    </row>
    <row r="656" spans="1:9" x14ac:dyDescent="0.2">
      <c r="A656" s="2">
        <v>2</v>
      </c>
      <c r="B656" s="1" t="s">
        <v>133</v>
      </c>
      <c r="C656" s="4">
        <v>44</v>
      </c>
      <c r="D656" s="8">
        <v>4.6500000000000004</v>
      </c>
      <c r="E656" s="4">
        <v>41</v>
      </c>
      <c r="F656" s="8">
        <v>6.24</v>
      </c>
      <c r="G656" s="4">
        <v>3</v>
      </c>
      <c r="H656" s="8">
        <v>1.06</v>
      </c>
      <c r="I656" s="4">
        <v>0</v>
      </c>
    </row>
    <row r="657" spans="1:9" x14ac:dyDescent="0.2">
      <c r="A657" s="2">
        <v>3</v>
      </c>
      <c r="B657" s="1" t="s">
        <v>137</v>
      </c>
      <c r="C657" s="4">
        <v>41</v>
      </c>
      <c r="D657" s="8">
        <v>4.33</v>
      </c>
      <c r="E657" s="4">
        <v>40</v>
      </c>
      <c r="F657" s="8">
        <v>6.09</v>
      </c>
      <c r="G657" s="4">
        <v>1</v>
      </c>
      <c r="H657" s="8">
        <v>0.35</v>
      </c>
      <c r="I657" s="4">
        <v>0</v>
      </c>
    </row>
    <row r="658" spans="1:9" x14ac:dyDescent="0.2">
      <c r="A658" s="2">
        <v>4</v>
      </c>
      <c r="B658" s="1" t="s">
        <v>134</v>
      </c>
      <c r="C658" s="4">
        <v>39</v>
      </c>
      <c r="D658" s="8">
        <v>4.12</v>
      </c>
      <c r="E658" s="4">
        <v>38</v>
      </c>
      <c r="F658" s="8">
        <v>5.78</v>
      </c>
      <c r="G658" s="4">
        <v>1</v>
      </c>
      <c r="H658" s="8">
        <v>0.35</v>
      </c>
      <c r="I658" s="4">
        <v>0</v>
      </c>
    </row>
    <row r="659" spans="1:9" x14ac:dyDescent="0.2">
      <c r="A659" s="2">
        <v>5</v>
      </c>
      <c r="B659" s="1" t="s">
        <v>118</v>
      </c>
      <c r="C659" s="4">
        <v>36</v>
      </c>
      <c r="D659" s="8">
        <v>3.81</v>
      </c>
      <c r="E659" s="4">
        <v>5</v>
      </c>
      <c r="F659" s="8">
        <v>0.76</v>
      </c>
      <c r="G659" s="4">
        <v>31</v>
      </c>
      <c r="H659" s="8">
        <v>10.99</v>
      </c>
      <c r="I659" s="4">
        <v>0</v>
      </c>
    </row>
    <row r="660" spans="1:9" x14ac:dyDescent="0.2">
      <c r="A660" s="2">
        <v>6</v>
      </c>
      <c r="B660" s="1" t="s">
        <v>124</v>
      </c>
      <c r="C660" s="4">
        <v>34</v>
      </c>
      <c r="D660" s="8">
        <v>3.59</v>
      </c>
      <c r="E660" s="4">
        <v>26</v>
      </c>
      <c r="F660" s="8">
        <v>3.96</v>
      </c>
      <c r="G660" s="4">
        <v>8</v>
      </c>
      <c r="H660" s="8">
        <v>2.84</v>
      </c>
      <c r="I660" s="4">
        <v>0</v>
      </c>
    </row>
    <row r="661" spans="1:9" x14ac:dyDescent="0.2">
      <c r="A661" s="2">
        <v>7</v>
      </c>
      <c r="B661" s="1" t="s">
        <v>123</v>
      </c>
      <c r="C661" s="4">
        <v>33</v>
      </c>
      <c r="D661" s="8">
        <v>3.49</v>
      </c>
      <c r="E661" s="4">
        <v>28</v>
      </c>
      <c r="F661" s="8">
        <v>4.26</v>
      </c>
      <c r="G661" s="4">
        <v>4</v>
      </c>
      <c r="H661" s="8">
        <v>1.42</v>
      </c>
      <c r="I661" s="4">
        <v>1</v>
      </c>
    </row>
    <row r="662" spans="1:9" x14ac:dyDescent="0.2">
      <c r="A662" s="2">
        <v>8</v>
      </c>
      <c r="B662" s="1" t="s">
        <v>126</v>
      </c>
      <c r="C662" s="4">
        <v>30</v>
      </c>
      <c r="D662" s="8">
        <v>3.17</v>
      </c>
      <c r="E662" s="4">
        <v>24</v>
      </c>
      <c r="F662" s="8">
        <v>3.65</v>
      </c>
      <c r="G662" s="4">
        <v>6</v>
      </c>
      <c r="H662" s="8">
        <v>2.13</v>
      </c>
      <c r="I662" s="4">
        <v>0</v>
      </c>
    </row>
    <row r="663" spans="1:9" x14ac:dyDescent="0.2">
      <c r="A663" s="2">
        <v>9</v>
      </c>
      <c r="B663" s="1" t="s">
        <v>121</v>
      </c>
      <c r="C663" s="4">
        <v>25</v>
      </c>
      <c r="D663" s="8">
        <v>2.64</v>
      </c>
      <c r="E663" s="4">
        <v>13</v>
      </c>
      <c r="F663" s="8">
        <v>1.98</v>
      </c>
      <c r="G663" s="4">
        <v>12</v>
      </c>
      <c r="H663" s="8">
        <v>4.26</v>
      </c>
      <c r="I663" s="4">
        <v>0</v>
      </c>
    </row>
    <row r="664" spans="1:9" x14ac:dyDescent="0.2">
      <c r="A664" s="2">
        <v>10</v>
      </c>
      <c r="B664" s="1" t="s">
        <v>131</v>
      </c>
      <c r="C664" s="4">
        <v>19</v>
      </c>
      <c r="D664" s="8">
        <v>2.0099999999999998</v>
      </c>
      <c r="E664" s="4">
        <v>17</v>
      </c>
      <c r="F664" s="8">
        <v>2.59</v>
      </c>
      <c r="G664" s="4">
        <v>2</v>
      </c>
      <c r="H664" s="8">
        <v>0.71</v>
      </c>
      <c r="I664" s="4">
        <v>0</v>
      </c>
    </row>
    <row r="665" spans="1:9" x14ac:dyDescent="0.2">
      <c r="A665" s="2">
        <v>11</v>
      </c>
      <c r="B665" s="1" t="s">
        <v>178</v>
      </c>
      <c r="C665" s="4">
        <v>17</v>
      </c>
      <c r="D665" s="8">
        <v>1.8</v>
      </c>
      <c r="E665" s="4">
        <v>6</v>
      </c>
      <c r="F665" s="8">
        <v>0.91</v>
      </c>
      <c r="G665" s="4">
        <v>11</v>
      </c>
      <c r="H665" s="8">
        <v>3.9</v>
      </c>
      <c r="I665" s="4">
        <v>0</v>
      </c>
    </row>
    <row r="666" spans="1:9" x14ac:dyDescent="0.2">
      <c r="A666" s="2">
        <v>12</v>
      </c>
      <c r="B666" s="1" t="s">
        <v>145</v>
      </c>
      <c r="C666" s="4">
        <v>16</v>
      </c>
      <c r="D666" s="8">
        <v>1.69</v>
      </c>
      <c r="E666" s="4">
        <v>14</v>
      </c>
      <c r="F666" s="8">
        <v>2.13</v>
      </c>
      <c r="G666" s="4">
        <v>2</v>
      </c>
      <c r="H666" s="8">
        <v>0.71</v>
      </c>
      <c r="I666" s="4">
        <v>0</v>
      </c>
    </row>
    <row r="667" spans="1:9" x14ac:dyDescent="0.2">
      <c r="A667" s="2">
        <v>13</v>
      </c>
      <c r="B667" s="1" t="s">
        <v>122</v>
      </c>
      <c r="C667" s="4">
        <v>15</v>
      </c>
      <c r="D667" s="8">
        <v>1.59</v>
      </c>
      <c r="E667" s="4">
        <v>9</v>
      </c>
      <c r="F667" s="8">
        <v>1.37</v>
      </c>
      <c r="G667" s="4">
        <v>6</v>
      </c>
      <c r="H667" s="8">
        <v>2.13</v>
      </c>
      <c r="I667" s="4">
        <v>0</v>
      </c>
    </row>
    <row r="668" spans="1:9" x14ac:dyDescent="0.2">
      <c r="A668" s="2">
        <v>13</v>
      </c>
      <c r="B668" s="1" t="s">
        <v>147</v>
      </c>
      <c r="C668" s="4">
        <v>15</v>
      </c>
      <c r="D668" s="8">
        <v>1.59</v>
      </c>
      <c r="E668" s="4">
        <v>13</v>
      </c>
      <c r="F668" s="8">
        <v>1.98</v>
      </c>
      <c r="G668" s="4">
        <v>2</v>
      </c>
      <c r="H668" s="8">
        <v>0.71</v>
      </c>
      <c r="I668" s="4">
        <v>0</v>
      </c>
    </row>
    <row r="669" spans="1:9" x14ac:dyDescent="0.2">
      <c r="A669" s="2">
        <v>15</v>
      </c>
      <c r="B669" s="1" t="s">
        <v>119</v>
      </c>
      <c r="C669" s="4">
        <v>14</v>
      </c>
      <c r="D669" s="8">
        <v>1.48</v>
      </c>
      <c r="E669" s="4">
        <v>9</v>
      </c>
      <c r="F669" s="8">
        <v>1.37</v>
      </c>
      <c r="G669" s="4">
        <v>5</v>
      </c>
      <c r="H669" s="8">
        <v>1.77</v>
      </c>
      <c r="I669" s="4">
        <v>0</v>
      </c>
    </row>
    <row r="670" spans="1:9" x14ac:dyDescent="0.2">
      <c r="A670" s="2">
        <v>15</v>
      </c>
      <c r="B670" s="1" t="s">
        <v>136</v>
      </c>
      <c r="C670" s="4">
        <v>14</v>
      </c>
      <c r="D670" s="8">
        <v>1.48</v>
      </c>
      <c r="E670" s="4">
        <v>14</v>
      </c>
      <c r="F670" s="8">
        <v>2.13</v>
      </c>
      <c r="G670" s="4">
        <v>0</v>
      </c>
      <c r="H670" s="8">
        <v>0</v>
      </c>
      <c r="I670" s="4">
        <v>0</v>
      </c>
    </row>
    <row r="671" spans="1:9" x14ac:dyDescent="0.2">
      <c r="A671" s="2">
        <v>17</v>
      </c>
      <c r="B671" s="1" t="s">
        <v>157</v>
      </c>
      <c r="C671" s="4">
        <v>13</v>
      </c>
      <c r="D671" s="8">
        <v>1.37</v>
      </c>
      <c r="E671" s="4">
        <v>12</v>
      </c>
      <c r="F671" s="8">
        <v>1.83</v>
      </c>
      <c r="G671" s="4">
        <v>1</v>
      </c>
      <c r="H671" s="8">
        <v>0.35</v>
      </c>
      <c r="I671" s="4">
        <v>0</v>
      </c>
    </row>
    <row r="672" spans="1:9" x14ac:dyDescent="0.2">
      <c r="A672" s="2">
        <v>18</v>
      </c>
      <c r="B672" s="1" t="s">
        <v>151</v>
      </c>
      <c r="C672" s="4">
        <v>12</v>
      </c>
      <c r="D672" s="8">
        <v>1.27</v>
      </c>
      <c r="E672" s="4">
        <v>11</v>
      </c>
      <c r="F672" s="8">
        <v>1.67</v>
      </c>
      <c r="G672" s="4">
        <v>1</v>
      </c>
      <c r="H672" s="8">
        <v>0.35</v>
      </c>
      <c r="I672" s="4">
        <v>0</v>
      </c>
    </row>
    <row r="673" spans="1:9" x14ac:dyDescent="0.2">
      <c r="A673" s="2">
        <v>18</v>
      </c>
      <c r="B673" s="1" t="s">
        <v>170</v>
      </c>
      <c r="C673" s="4">
        <v>12</v>
      </c>
      <c r="D673" s="8">
        <v>1.27</v>
      </c>
      <c r="E673" s="4">
        <v>10</v>
      </c>
      <c r="F673" s="8">
        <v>1.52</v>
      </c>
      <c r="G673" s="4">
        <v>2</v>
      </c>
      <c r="H673" s="8">
        <v>0.71</v>
      </c>
      <c r="I673" s="4">
        <v>0</v>
      </c>
    </row>
    <row r="674" spans="1:9" x14ac:dyDescent="0.2">
      <c r="A674" s="2">
        <v>20</v>
      </c>
      <c r="B674" s="1" t="s">
        <v>167</v>
      </c>
      <c r="C674" s="4">
        <v>11</v>
      </c>
      <c r="D674" s="8">
        <v>1.1599999999999999</v>
      </c>
      <c r="E674" s="4">
        <v>10</v>
      </c>
      <c r="F674" s="8">
        <v>1.52</v>
      </c>
      <c r="G674" s="4">
        <v>1</v>
      </c>
      <c r="H674" s="8">
        <v>0.35</v>
      </c>
      <c r="I674" s="4">
        <v>0</v>
      </c>
    </row>
    <row r="675" spans="1:9" x14ac:dyDescent="0.2">
      <c r="A675" s="2">
        <v>20</v>
      </c>
      <c r="B675" s="1" t="s">
        <v>146</v>
      </c>
      <c r="C675" s="4">
        <v>11</v>
      </c>
      <c r="D675" s="8">
        <v>1.1599999999999999</v>
      </c>
      <c r="E675" s="4">
        <v>7</v>
      </c>
      <c r="F675" s="8">
        <v>1.07</v>
      </c>
      <c r="G675" s="4">
        <v>4</v>
      </c>
      <c r="H675" s="8">
        <v>1.42</v>
      </c>
      <c r="I675" s="4">
        <v>0</v>
      </c>
    </row>
    <row r="676" spans="1:9" x14ac:dyDescent="0.2">
      <c r="A676" s="2">
        <v>20</v>
      </c>
      <c r="B676" s="1" t="s">
        <v>150</v>
      </c>
      <c r="C676" s="4">
        <v>11</v>
      </c>
      <c r="D676" s="8">
        <v>1.1599999999999999</v>
      </c>
      <c r="E676" s="4">
        <v>6</v>
      </c>
      <c r="F676" s="8">
        <v>0.91</v>
      </c>
      <c r="G676" s="4">
        <v>5</v>
      </c>
      <c r="H676" s="8">
        <v>1.77</v>
      </c>
      <c r="I676" s="4">
        <v>0</v>
      </c>
    </row>
    <row r="677" spans="1:9" x14ac:dyDescent="0.2">
      <c r="A677" s="2">
        <v>20</v>
      </c>
      <c r="B677" s="1" t="s">
        <v>130</v>
      </c>
      <c r="C677" s="4">
        <v>11</v>
      </c>
      <c r="D677" s="8">
        <v>1.1599999999999999</v>
      </c>
      <c r="E677" s="4">
        <v>6</v>
      </c>
      <c r="F677" s="8">
        <v>0.91</v>
      </c>
      <c r="G677" s="4">
        <v>4</v>
      </c>
      <c r="H677" s="8">
        <v>1.42</v>
      </c>
      <c r="I677" s="4">
        <v>0</v>
      </c>
    </row>
    <row r="678" spans="1:9" x14ac:dyDescent="0.2">
      <c r="A678" s="2">
        <v>20</v>
      </c>
      <c r="B678" s="1" t="s">
        <v>152</v>
      </c>
      <c r="C678" s="4">
        <v>11</v>
      </c>
      <c r="D678" s="8">
        <v>1.1599999999999999</v>
      </c>
      <c r="E678" s="4">
        <v>11</v>
      </c>
      <c r="F678" s="8">
        <v>1.67</v>
      </c>
      <c r="G678" s="4">
        <v>0</v>
      </c>
      <c r="H678" s="8">
        <v>0</v>
      </c>
      <c r="I678" s="4">
        <v>0</v>
      </c>
    </row>
    <row r="679" spans="1:9" x14ac:dyDescent="0.2">
      <c r="A679" s="2">
        <v>20</v>
      </c>
      <c r="B679" s="1" t="s">
        <v>132</v>
      </c>
      <c r="C679" s="4">
        <v>11</v>
      </c>
      <c r="D679" s="8">
        <v>1.1599999999999999</v>
      </c>
      <c r="E679" s="4">
        <v>11</v>
      </c>
      <c r="F679" s="8">
        <v>1.67</v>
      </c>
      <c r="G679" s="4">
        <v>0</v>
      </c>
      <c r="H679" s="8">
        <v>0</v>
      </c>
      <c r="I679" s="4">
        <v>0</v>
      </c>
    </row>
    <row r="680" spans="1:9" x14ac:dyDescent="0.2">
      <c r="A680" s="1"/>
      <c r="C680" s="4"/>
      <c r="D680" s="8"/>
      <c r="E680" s="4"/>
      <c r="F680" s="8"/>
      <c r="G680" s="4"/>
      <c r="H680" s="8"/>
      <c r="I680" s="4"/>
    </row>
    <row r="681" spans="1:9" x14ac:dyDescent="0.2">
      <c r="A681" s="1" t="s">
        <v>30</v>
      </c>
      <c r="C681" s="4"/>
      <c r="D681" s="8"/>
      <c r="E681" s="4"/>
      <c r="F681" s="8"/>
      <c r="G681" s="4"/>
      <c r="H681" s="8"/>
      <c r="I681" s="4"/>
    </row>
    <row r="682" spans="1:9" x14ac:dyDescent="0.2">
      <c r="A682" s="2">
        <v>1</v>
      </c>
      <c r="B682" s="1" t="s">
        <v>133</v>
      </c>
      <c r="C682" s="4">
        <v>63</v>
      </c>
      <c r="D682" s="8">
        <v>6.12</v>
      </c>
      <c r="E682" s="4">
        <v>60</v>
      </c>
      <c r="F682" s="8">
        <v>8.75</v>
      </c>
      <c r="G682" s="4">
        <v>3</v>
      </c>
      <c r="H682" s="8">
        <v>0.9</v>
      </c>
      <c r="I682" s="4">
        <v>0</v>
      </c>
    </row>
    <row r="683" spans="1:9" x14ac:dyDescent="0.2">
      <c r="A683" s="2">
        <v>2</v>
      </c>
      <c r="B683" s="1" t="s">
        <v>120</v>
      </c>
      <c r="C683" s="4">
        <v>61</v>
      </c>
      <c r="D683" s="8">
        <v>5.92</v>
      </c>
      <c r="E683" s="4">
        <v>49</v>
      </c>
      <c r="F683" s="8">
        <v>7.14</v>
      </c>
      <c r="G683" s="4">
        <v>12</v>
      </c>
      <c r="H683" s="8">
        <v>3.59</v>
      </c>
      <c r="I683" s="4">
        <v>0</v>
      </c>
    </row>
    <row r="684" spans="1:9" x14ac:dyDescent="0.2">
      <c r="A684" s="2">
        <v>3</v>
      </c>
      <c r="B684" s="1" t="s">
        <v>134</v>
      </c>
      <c r="C684" s="4">
        <v>57</v>
      </c>
      <c r="D684" s="8">
        <v>5.53</v>
      </c>
      <c r="E684" s="4">
        <v>55</v>
      </c>
      <c r="F684" s="8">
        <v>8.02</v>
      </c>
      <c r="G684" s="4">
        <v>2</v>
      </c>
      <c r="H684" s="8">
        <v>0.6</v>
      </c>
      <c r="I684" s="4">
        <v>0</v>
      </c>
    </row>
    <row r="685" spans="1:9" x14ac:dyDescent="0.2">
      <c r="A685" s="2">
        <v>4</v>
      </c>
      <c r="B685" s="1" t="s">
        <v>137</v>
      </c>
      <c r="C685" s="4">
        <v>34</v>
      </c>
      <c r="D685" s="8">
        <v>3.3</v>
      </c>
      <c r="E685" s="4">
        <v>33</v>
      </c>
      <c r="F685" s="8">
        <v>4.8099999999999996</v>
      </c>
      <c r="G685" s="4">
        <v>1</v>
      </c>
      <c r="H685" s="8">
        <v>0.3</v>
      </c>
      <c r="I685" s="4">
        <v>0</v>
      </c>
    </row>
    <row r="686" spans="1:9" x14ac:dyDescent="0.2">
      <c r="A686" s="2">
        <v>5</v>
      </c>
      <c r="B686" s="1" t="s">
        <v>118</v>
      </c>
      <c r="C686" s="4">
        <v>27</v>
      </c>
      <c r="D686" s="8">
        <v>2.62</v>
      </c>
      <c r="E686" s="4">
        <v>4</v>
      </c>
      <c r="F686" s="8">
        <v>0.57999999999999996</v>
      </c>
      <c r="G686" s="4">
        <v>23</v>
      </c>
      <c r="H686" s="8">
        <v>6.89</v>
      </c>
      <c r="I686" s="4">
        <v>0</v>
      </c>
    </row>
    <row r="687" spans="1:9" x14ac:dyDescent="0.2">
      <c r="A687" s="2">
        <v>5</v>
      </c>
      <c r="B687" s="1" t="s">
        <v>124</v>
      </c>
      <c r="C687" s="4">
        <v>27</v>
      </c>
      <c r="D687" s="8">
        <v>2.62</v>
      </c>
      <c r="E687" s="4">
        <v>23</v>
      </c>
      <c r="F687" s="8">
        <v>3.35</v>
      </c>
      <c r="G687" s="4">
        <v>4</v>
      </c>
      <c r="H687" s="8">
        <v>1.2</v>
      </c>
      <c r="I687" s="4">
        <v>0</v>
      </c>
    </row>
    <row r="688" spans="1:9" x14ac:dyDescent="0.2">
      <c r="A688" s="2">
        <v>7</v>
      </c>
      <c r="B688" s="1" t="s">
        <v>123</v>
      </c>
      <c r="C688" s="4">
        <v>26</v>
      </c>
      <c r="D688" s="8">
        <v>2.52</v>
      </c>
      <c r="E688" s="4">
        <v>21</v>
      </c>
      <c r="F688" s="8">
        <v>3.06</v>
      </c>
      <c r="G688" s="4">
        <v>5</v>
      </c>
      <c r="H688" s="8">
        <v>1.5</v>
      </c>
      <c r="I688" s="4">
        <v>0</v>
      </c>
    </row>
    <row r="689" spans="1:9" x14ac:dyDescent="0.2">
      <c r="A689" s="2">
        <v>7</v>
      </c>
      <c r="B689" s="1" t="s">
        <v>126</v>
      </c>
      <c r="C689" s="4">
        <v>26</v>
      </c>
      <c r="D689" s="8">
        <v>2.52</v>
      </c>
      <c r="E689" s="4">
        <v>18</v>
      </c>
      <c r="F689" s="8">
        <v>2.62</v>
      </c>
      <c r="G689" s="4">
        <v>8</v>
      </c>
      <c r="H689" s="8">
        <v>2.4</v>
      </c>
      <c r="I689" s="4">
        <v>0</v>
      </c>
    </row>
    <row r="690" spans="1:9" x14ac:dyDescent="0.2">
      <c r="A690" s="2">
        <v>9</v>
      </c>
      <c r="B690" s="1" t="s">
        <v>122</v>
      </c>
      <c r="C690" s="4">
        <v>24</v>
      </c>
      <c r="D690" s="8">
        <v>2.33</v>
      </c>
      <c r="E690" s="4">
        <v>14</v>
      </c>
      <c r="F690" s="8">
        <v>2.04</v>
      </c>
      <c r="G690" s="4">
        <v>10</v>
      </c>
      <c r="H690" s="8">
        <v>2.99</v>
      </c>
      <c r="I690" s="4">
        <v>0</v>
      </c>
    </row>
    <row r="691" spans="1:9" x14ac:dyDescent="0.2">
      <c r="A691" s="2">
        <v>9</v>
      </c>
      <c r="B691" s="1" t="s">
        <v>127</v>
      </c>
      <c r="C691" s="4">
        <v>24</v>
      </c>
      <c r="D691" s="8">
        <v>2.33</v>
      </c>
      <c r="E691" s="4">
        <v>18</v>
      </c>
      <c r="F691" s="8">
        <v>2.62</v>
      </c>
      <c r="G691" s="4">
        <v>6</v>
      </c>
      <c r="H691" s="8">
        <v>1.8</v>
      </c>
      <c r="I691" s="4">
        <v>0</v>
      </c>
    </row>
    <row r="692" spans="1:9" x14ac:dyDescent="0.2">
      <c r="A692" s="2">
        <v>11</v>
      </c>
      <c r="B692" s="1" t="s">
        <v>121</v>
      </c>
      <c r="C692" s="4">
        <v>23</v>
      </c>
      <c r="D692" s="8">
        <v>2.23</v>
      </c>
      <c r="E692" s="4">
        <v>10</v>
      </c>
      <c r="F692" s="8">
        <v>1.46</v>
      </c>
      <c r="G692" s="4">
        <v>13</v>
      </c>
      <c r="H692" s="8">
        <v>3.89</v>
      </c>
      <c r="I692" s="4">
        <v>0</v>
      </c>
    </row>
    <row r="693" spans="1:9" x14ac:dyDescent="0.2">
      <c r="A693" s="2">
        <v>11</v>
      </c>
      <c r="B693" s="1" t="s">
        <v>129</v>
      </c>
      <c r="C693" s="4">
        <v>23</v>
      </c>
      <c r="D693" s="8">
        <v>2.23</v>
      </c>
      <c r="E693" s="4">
        <v>19</v>
      </c>
      <c r="F693" s="8">
        <v>2.77</v>
      </c>
      <c r="G693" s="4">
        <v>4</v>
      </c>
      <c r="H693" s="8">
        <v>1.2</v>
      </c>
      <c r="I693" s="4">
        <v>0</v>
      </c>
    </row>
    <row r="694" spans="1:9" x14ac:dyDescent="0.2">
      <c r="A694" s="2">
        <v>11</v>
      </c>
      <c r="B694" s="1" t="s">
        <v>131</v>
      </c>
      <c r="C694" s="4">
        <v>23</v>
      </c>
      <c r="D694" s="8">
        <v>2.23</v>
      </c>
      <c r="E694" s="4">
        <v>21</v>
      </c>
      <c r="F694" s="8">
        <v>3.06</v>
      </c>
      <c r="G694" s="4">
        <v>2</v>
      </c>
      <c r="H694" s="8">
        <v>0.6</v>
      </c>
      <c r="I694" s="4">
        <v>0</v>
      </c>
    </row>
    <row r="695" spans="1:9" x14ac:dyDescent="0.2">
      <c r="A695" s="2">
        <v>14</v>
      </c>
      <c r="B695" s="1" t="s">
        <v>152</v>
      </c>
      <c r="C695" s="4">
        <v>22</v>
      </c>
      <c r="D695" s="8">
        <v>2.14</v>
      </c>
      <c r="E695" s="4">
        <v>22</v>
      </c>
      <c r="F695" s="8">
        <v>3.21</v>
      </c>
      <c r="G695" s="4">
        <v>0</v>
      </c>
      <c r="H695" s="8">
        <v>0</v>
      </c>
      <c r="I695" s="4">
        <v>0</v>
      </c>
    </row>
    <row r="696" spans="1:9" x14ac:dyDescent="0.2">
      <c r="A696" s="2">
        <v>15</v>
      </c>
      <c r="B696" s="1" t="s">
        <v>119</v>
      </c>
      <c r="C696" s="4">
        <v>20</v>
      </c>
      <c r="D696" s="8">
        <v>1.94</v>
      </c>
      <c r="E696" s="4">
        <v>14</v>
      </c>
      <c r="F696" s="8">
        <v>2.04</v>
      </c>
      <c r="G696" s="4">
        <v>6</v>
      </c>
      <c r="H696" s="8">
        <v>1.8</v>
      </c>
      <c r="I696" s="4">
        <v>0</v>
      </c>
    </row>
    <row r="697" spans="1:9" x14ac:dyDescent="0.2">
      <c r="A697" s="2">
        <v>16</v>
      </c>
      <c r="B697" s="1" t="s">
        <v>170</v>
      </c>
      <c r="C697" s="4">
        <v>15</v>
      </c>
      <c r="D697" s="8">
        <v>1.46</v>
      </c>
      <c r="E697" s="4">
        <v>14</v>
      </c>
      <c r="F697" s="8">
        <v>2.04</v>
      </c>
      <c r="G697" s="4">
        <v>1</v>
      </c>
      <c r="H697" s="8">
        <v>0.3</v>
      </c>
      <c r="I697" s="4">
        <v>0</v>
      </c>
    </row>
    <row r="698" spans="1:9" x14ac:dyDescent="0.2">
      <c r="A698" s="2">
        <v>17</v>
      </c>
      <c r="B698" s="1" t="s">
        <v>168</v>
      </c>
      <c r="C698" s="4">
        <v>14</v>
      </c>
      <c r="D698" s="8">
        <v>1.36</v>
      </c>
      <c r="E698" s="4">
        <v>6</v>
      </c>
      <c r="F698" s="8">
        <v>0.87</v>
      </c>
      <c r="G698" s="4">
        <v>8</v>
      </c>
      <c r="H698" s="8">
        <v>2.4</v>
      </c>
      <c r="I698" s="4">
        <v>0</v>
      </c>
    </row>
    <row r="699" spans="1:9" x14ac:dyDescent="0.2">
      <c r="A699" s="2">
        <v>18</v>
      </c>
      <c r="B699" s="1" t="s">
        <v>178</v>
      </c>
      <c r="C699" s="4">
        <v>13</v>
      </c>
      <c r="D699" s="8">
        <v>1.26</v>
      </c>
      <c r="E699" s="4">
        <v>1</v>
      </c>
      <c r="F699" s="8">
        <v>0.15</v>
      </c>
      <c r="G699" s="4">
        <v>12</v>
      </c>
      <c r="H699" s="8">
        <v>3.59</v>
      </c>
      <c r="I699" s="4">
        <v>0</v>
      </c>
    </row>
    <row r="700" spans="1:9" x14ac:dyDescent="0.2">
      <c r="A700" s="2">
        <v>19</v>
      </c>
      <c r="B700" s="1" t="s">
        <v>145</v>
      </c>
      <c r="C700" s="4">
        <v>12</v>
      </c>
      <c r="D700" s="8">
        <v>1.17</v>
      </c>
      <c r="E700" s="4">
        <v>10</v>
      </c>
      <c r="F700" s="8">
        <v>1.46</v>
      </c>
      <c r="G700" s="4">
        <v>2</v>
      </c>
      <c r="H700" s="8">
        <v>0.6</v>
      </c>
      <c r="I700" s="4">
        <v>0</v>
      </c>
    </row>
    <row r="701" spans="1:9" x14ac:dyDescent="0.2">
      <c r="A701" s="2">
        <v>19</v>
      </c>
      <c r="B701" s="1" t="s">
        <v>153</v>
      </c>
      <c r="C701" s="4">
        <v>12</v>
      </c>
      <c r="D701" s="8">
        <v>1.17</v>
      </c>
      <c r="E701" s="4">
        <v>9</v>
      </c>
      <c r="F701" s="8">
        <v>1.31</v>
      </c>
      <c r="G701" s="4">
        <v>3</v>
      </c>
      <c r="H701" s="8">
        <v>0.9</v>
      </c>
      <c r="I701" s="4">
        <v>0</v>
      </c>
    </row>
    <row r="702" spans="1:9" x14ac:dyDescent="0.2">
      <c r="A702" s="2">
        <v>19</v>
      </c>
      <c r="B702" s="1" t="s">
        <v>132</v>
      </c>
      <c r="C702" s="4">
        <v>12</v>
      </c>
      <c r="D702" s="8">
        <v>1.17</v>
      </c>
      <c r="E702" s="4">
        <v>11</v>
      </c>
      <c r="F702" s="8">
        <v>1.6</v>
      </c>
      <c r="G702" s="4">
        <v>1</v>
      </c>
      <c r="H702" s="8">
        <v>0.3</v>
      </c>
      <c r="I702" s="4">
        <v>0</v>
      </c>
    </row>
    <row r="703" spans="1:9" x14ac:dyDescent="0.2">
      <c r="A703" s="2">
        <v>19</v>
      </c>
      <c r="B703" s="1" t="s">
        <v>135</v>
      </c>
      <c r="C703" s="4">
        <v>12</v>
      </c>
      <c r="D703" s="8">
        <v>1.17</v>
      </c>
      <c r="E703" s="4">
        <v>10</v>
      </c>
      <c r="F703" s="8">
        <v>1.46</v>
      </c>
      <c r="G703" s="4">
        <v>2</v>
      </c>
      <c r="H703" s="8">
        <v>0.6</v>
      </c>
      <c r="I703" s="4">
        <v>0</v>
      </c>
    </row>
    <row r="704" spans="1:9" x14ac:dyDescent="0.2">
      <c r="A704" s="2">
        <v>19</v>
      </c>
      <c r="B704" s="1" t="s">
        <v>136</v>
      </c>
      <c r="C704" s="4">
        <v>12</v>
      </c>
      <c r="D704" s="8">
        <v>1.17</v>
      </c>
      <c r="E704" s="4">
        <v>12</v>
      </c>
      <c r="F704" s="8">
        <v>1.75</v>
      </c>
      <c r="G704" s="4">
        <v>0</v>
      </c>
      <c r="H704" s="8">
        <v>0</v>
      </c>
      <c r="I704" s="4">
        <v>0</v>
      </c>
    </row>
    <row r="705" spans="1:9" x14ac:dyDescent="0.2">
      <c r="A705" s="1"/>
      <c r="C705" s="4"/>
      <c r="D705" s="8"/>
      <c r="E705" s="4"/>
      <c r="F705" s="8"/>
      <c r="G705" s="4"/>
      <c r="H705" s="8"/>
      <c r="I705" s="4"/>
    </row>
    <row r="706" spans="1:9" x14ac:dyDescent="0.2">
      <c r="A706" s="1" t="s">
        <v>31</v>
      </c>
      <c r="C706" s="4"/>
      <c r="D706" s="8"/>
      <c r="E706" s="4"/>
      <c r="F706" s="8"/>
      <c r="G706" s="4"/>
      <c r="H706" s="8"/>
      <c r="I706" s="4"/>
    </row>
    <row r="707" spans="1:9" x14ac:dyDescent="0.2">
      <c r="A707" s="2">
        <v>1</v>
      </c>
      <c r="B707" s="1" t="s">
        <v>134</v>
      </c>
      <c r="C707" s="4">
        <v>38</v>
      </c>
      <c r="D707" s="8">
        <v>4.88</v>
      </c>
      <c r="E707" s="4">
        <v>36</v>
      </c>
      <c r="F707" s="8">
        <v>9.84</v>
      </c>
      <c r="G707" s="4">
        <v>2</v>
      </c>
      <c r="H707" s="8">
        <v>0.49</v>
      </c>
      <c r="I707" s="4">
        <v>0</v>
      </c>
    </row>
    <row r="708" spans="1:9" x14ac:dyDescent="0.2">
      <c r="A708" s="2">
        <v>2</v>
      </c>
      <c r="B708" s="1" t="s">
        <v>133</v>
      </c>
      <c r="C708" s="4">
        <v>35</v>
      </c>
      <c r="D708" s="8">
        <v>4.5</v>
      </c>
      <c r="E708" s="4">
        <v>34</v>
      </c>
      <c r="F708" s="8">
        <v>9.2899999999999991</v>
      </c>
      <c r="G708" s="4">
        <v>1</v>
      </c>
      <c r="H708" s="8">
        <v>0.24</v>
      </c>
      <c r="I708" s="4">
        <v>0</v>
      </c>
    </row>
    <row r="709" spans="1:9" x14ac:dyDescent="0.2">
      <c r="A709" s="2">
        <v>3</v>
      </c>
      <c r="B709" s="1" t="s">
        <v>120</v>
      </c>
      <c r="C709" s="4">
        <v>30</v>
      </c>
      <c r="D709" s="8">
        <v>3.86</v>
      </c>
      <c r="E709" s="4">
        <v>16</v>
      </c>
      <c r="F709" s="8">
        <v>4.37</v>
      </c>
      <c r="G709" s="4">
        <v>14</v>
      </c>
      <c r="H709" s="8">
        <v>3.42</v>
      </c>
      <c r="I709" s="4">
        <v>0</v>
      </c>
    </row>
    <row r="710" spans="1:9" x14ac:dyDescent="0.2">
      <c r="A710" s="2">
        <v>4</v>
      </c>
      <c r="B710" s="1" t="s">
        <v>124</v>
      </c>
      <c r="C710" s="4">
        <v>29</v>
      </c>
      <c r="D710" s="8">
        <v>3.73</v>
      </c>
      <c r="E710" s="4">
        <v>19</v>
      </c>
      <c r="F710" s="8">
        <v>5.19</v>
      </c>
      <c r="G710" s="4">
        <v>10</v>
      </c>
      <c r="H710" s="8">
        <v>2.44</v>
      </c>
      <c r="I710" s="4">
        <v>0</v>
      </c>
    </row>
    <row r="711" spans="1:9" x14ac:dyDescent="0.2">
      <c r="A711" s="2">
        <v>5</v>
      </c>
      <c r="B711" s="1" t="s">
        <v>118</v>
      </c>
      <c r="C711" s="4">
        <v>24</v>
      </c>
      <c r="D711" s="8">
        <v>3.08</v>
      </c>
      <c r="E711" s="4">
        <v>9</v>
      </c>
      <c r="F711" s="8">
        <v>2.46</v>
      </c>
      <c r="G711" s="4">
        <v>15</v>
      </c>
      <c r="H711" s="8">
        <v>3.67</v>
      </c>
      <c r="I711" s="4">
        <v>0</v>
      </c>
    </row>
    <row r="712" spans="1:9" x14ac:dyDescent="0.2">
      <c r="A712" s="2">
        <v>6</v>
      </c>
      <c r="B712" s="1" t="s">
        <v>119</v>
      </c>
      <c r="C712" s="4">
        <v>20</v>
      </c>
      <c r="D712" s="8">
        <v>2.57</v>
      </c>
      <c r="E712" s="4">
        <v>3</v>
      </c>
      <c r="F712" s="8">
        <v>0.82</v>
      </c>
      <c r="G712" s="4">
        <v>17</v>
      </c>
      <c r="H712" s="8">
        <v>4.16</v>
      </c>
      <c r="I712" s="4">
        <v>0</v>
      </c>
    </row>
    <row r="713" spans="1:9" x14ac:dyDescent="0.2">
      <c r="A713" s="2">
        <v>6</v>
      </c>
      <c r="B713" s="1" t="s">
        <v>122</v>
      </c>
      <c r="C713" s="4">
        <v>20</v>
      </c>
      <c r="D713" s="8">
        <v>2.57</v>
      </c>
      <c r="E713" s="4">
        <v>3</v>
      </c>
      <c r="F713" s="8">
        <v>0.82</v>
      </c>
      <c r="G713" s="4">
        <v>17</v>
      </c>
      <c r="H713" s="8">
        <v>4.16</v>
      </c>
      <c r="I713" s="4">
        <v>0</v>
      </c>
    </row>
    <row r="714" spans="1:9" x14ac:dyDescent="0.2">
      <c r="A714" s="2">
        <v>8</v>
      </c>
      <c r="B714" s="1" t="s">
        <v>146</v>
      </c>
      <c r="C714" s="4">
        <v>18</v>
      </c>
      <c r="D714" s="8">
        <v>2.31</v>
      </c>
      <c r="E714" s="4">
        <v>9</v>
      </c>
      <c r="F714" s="8">
        <v>2.46</v>
      </c>
      <c r="G714" s="4">
        <v>9</v>
      </c>
      <c r="H714" s="8">
        <v>2.2000000000000002</v>
      </c>
      <c r="I714" s="4">
        <v>0</v>
      </c>
    </row>
    <row r="715" spans="1:9" x14ac:dyDescent="0.2">
      <c r="A715" s="2">
        <v>8</v>
      </c>
      <c r="B715" s="1" t="s">
        <v>132</v>
      </c>
      <c r="C715" s="4">
        <v>18</v>
      </c>
      <c r="D715" s="8">
        <v>2.31</v>
      </c>
      <c r="E715" s="4">
        <v>18</v>
      </c>
      <c r="F715" s="8">
        <v>4.92</v>
      </c>
      <c r="G715" s="4">
        <v>0</v>
      </c>
      <c r="H715" s="8">
        <v>0</v>
      </c>
      <c r="I715" s="4">
        <v>0</v>
      </c>
    </row>
    <row r="716" spans="1:9" x14ac:dyDescent="0.2">
      <c r="A716" s="2">
        <v>8</v>
      </c>
      <c r="B716" s="1" t="s">
        <v>137</v>
      </c>
      <c r="C716" s="4">
        <v>18</v>
      </c>
      <c r="D716" s="8">
        <v>2.31</v>
      </c>
      <c r="E716" s="4">
        <v>14</v>
      </c>
      <c r="F716" s="8">
        <v>3.83</v>
      </c>
      <c r="G716" s="4">
        <v>4</v>
      </c>
      <c r="H716" s="8">
        <v>0.98</v>
      </c>
      <c r="I716" s="4">
        <v>0</v>
      </c>
    </row>
    <row r="717" spans="1:9" x14ac:dyDescent="0.2">
      <c r="A717" s="2">
        <v>11</v>
      </c>
      <c r="B717" s="1" t="s">
        <v>121</v>
      </c>
      <c r="C717" s="4">
        <v>16</v>
      </c>
      <c r="D717" s="8">
        <v>2.06</v>
      </c>
      <c r="E717" s="4">
        <v>7</v>
      </c>
      <c r="F717" s="8">
        <v>1.91</v>
      </c>
      <c r="G717" s="4">
        <v>9</v>
      </c>
      <c r="H717" s="8">
        <v>2.2000000000000002</v>
      </c>
      <c r="I717" s="4">
        <v>0</v>
      </c>
    </row>
    <row r="718" spans="1:9" x14ac:dyDescent="0.2">
      <c r="A718" s="2">
        <v>12</v>
      </c>
      <c r="B718" s="1" t="s">
        <v>123</v>
      </c>
      <c r="C718" s="4">
        <v>14</v>
      </c>
      <c r="D718" s="8">
        <v>1.8</v>
      </c>
      <c r="E718" s="4">
        <v>10</v>
      </c>
      <c r="F718" s="8">
        <v>2.73</v>
      </c>
      <c r="G718" s="4">
        <v>4</v>
      </c>
      <c r="H718" s="8">
        <v>0.98</v>
      </c>
      <c r="I718" s="4">
        <v>0</v>
      </c>
    </row>
    <row r="719" spans="1:9" x14ac:dyDescent="0.2">
      <c r="A719" s="2">
        <v>12</v>
      </c>
      <c r="B719" s="1" t="s">
        <v>131</v>
      </c>
      <c r="C719" s="4">
        <v>14</v>
      </c>
      <c r="D719" s="8">
        <v>1.8</v>
      </c>
      <c r="E719" s="4">
        <v>12</v>
      </c>
      <c r="F719" s="8">
        <v>3.28</v>
      </c>
      <c r="G719" s="4">
        <v>2</v>
      </c>
      <c r="H719" s="8">
        <v>0.49</v>
      </c>
      <c r="I719" s="4">
        <v>0</v>
      </c>
    </row>
    <row r="720" spans="1:9" x14ac:dyDescent="0.2">
      <c r="A720" s="2">
        <v>14</v>
      </c>
      <c r="B720" s="1" t="s">
        <v>125</v>
      </c>
      <c r="C720" s="4">
        <v>13</v>
      </c>
      <c r="D720" s="8">
        <v>1.67</v>
      </c>
      <c r="E720" s="4">
        <v>2</v>
      </c>
      <c r="F720" s="8">
        <v>0.55000000000000004</v>
      </c>
      <c r="G720" s="4">
        <v>11</v>
      </c>
      <c r="H720" s="8">
        <v>2.69</v>
      </c>
      <c r="I720" s="4">
        <v>0</v>
      </c>
    </row>
    <row r="721" spans="1:9" x14ac:dyDescent="0.2">
      <c r="A721" s="2">
        <v>14</v>
      </c>
      <c r="B721" s="1" t="s">
        <v>136</v>
      </c>
      <c r="C721" s="4">
        <v>13</v>
      </c>
      <c r="D721" s="8">
        <v>1.67</v>
      </c>
      <c r="E721" s="4">
        <v>11</v>
      </c>
      <c r="F721" s="8">
        <v>3.01</v>
      </c>
      <c r="G721" s="4">
        <v>2</v>
      </c>
      <c r="H721" s="8">
        <v>0.49</v>
      </c>
      <c r="I721" s="4">
        <v>0</v>
      </c>
    </row>
    <row r="722" spans="1:9" x14ac:dyDescent="0.2">
      <c r="A722" s="2">
        <v>16</v>
      </c>
      <c r="B722" s="1" t="s">
        <v>130</v>
      </c>
      <c r="C722" s="4">
        <v>12</v>
      </c>
      <c r="D722" s="8">
        <v>1.54</v>
      </c>
      <c r="E722" s="4">
        <v>1</v>
      </c>
      <c r="F722" s="8">
        <v>0.27</v>
      </c>
      <c r="G722" s="4">
        <v>11</v>
      </c>
      <c r="H722" s="8">
        <v>2.69</v>
      </c>
      <c r="I722" s="4">
        <v>0</v>
      </c>
    </row>
    <row r="723" spans="1:9" x14ac:dyDescent="0.2">
      <c r="A723" s="2">
        <v>16</v>
      </c>
      <c r="B723" s="1" t="s">
        <v>135</v>
      </c>
      <c r="C723" s="4">
        <v>12</v>
      </c>
      <c r="D723" s="8">
        <v>1.54</v>
      </c>
      <c r="E723" s="4">
        <v>10</v>
      </c>
      <c r="F723" s="8">
        <v>2.73</v>
      </c>
      <c r="G723" s="4">
        <v>2</v>
      </c>
      <c r="H723" s="8">
        <v>0.49</v>
      </c>
      <c r="I723" s="4">
        <v>0</v>
      </c>
    </row>
    <row r="724" spans="1:9" x14ac:dyDescent="0.2">
      <c r="A724" s="2">
        <v>18</v>
      </c>
      <c r="B724" s="1" t="s">
        <v>128</v>
      </c>
      <c r="C724" s="4">
        <v>11</v>
      </c>
      <c r="D724" s="8">
        <v>1.41</v>
      </c>
      <c r="E724" s="4">
        <v>0</v>
      </c>
      <c r="F724" s="8">
        <v>0</v>
      </c>
      <c r="G724" s="4">
        <v>11</v>
      </c>
      <c r="H724" s="8">
        <v>2.69</v>
      </c>
      <c r="I724" s="4">
        <v>0</v>
      </c>
    </row>
    <row r="725" spans="1:9" x14ac:dyDescent="0.2">
      <c r="A725" s="2">
        <v>19</v>
      </c>
      <c r="B725" s="1" t="s">
        <v>179</v>
      </c>
      <c r="C725" s="4">
        <v>10</v>
      </c>
      <c r="D725" s="8">
        <v>1.29</v>
      </c>
      <c r="E725" s="4">
        <v>1</v>
      </c>
      <c r="F725" s="8">
        <v>0.27</v>
      </c>
      <c r="G725" s="4">
        <v>9</v>
      </c>
      <c r="H725" s="8">
        <v>2.2000000000000002</v>
      </c>
      <c r="I725" s="4">
        <v>0</v>
      </c>
    </row>
    <row r="726" spans="1:9" x14ac:dyDescent="0.2">
      <c r="A726" s="2">
        <v>20</v>
      </c>
      <c r="B726" s="1" t="s">
        <v>151</v>
      </c>
      <c r="C726" s="4">
        <v>9</v>
      </c>
      <c r="D726" s="8">
        <v>1.1599999999999999</v>
      </c>
      <c r="E726" s="4">
        <v>2</v>
      </c>
      <c r="F726" s="8">
        <v>0.55000000000000004</v>
      </c>
      <c r="G726" s="4">
        <v>7</v>
      </c>
      <c r="H726" s="8">
        <v>1.71</v>
      </c>
      <c r="I726" s="4">
        <v>0</v>
      </c>
    </row>
    <row r="727" spans="1:9" x14ac:dyDescent="0.2">
      <c r="A727" s="2">
        <v>20</v>
      </c>
      <c r="B727" s="1" t="s">
        <v>153</v>
      </c>
      <c r="C727" s="4">
        <v>9</v>
      </c>
      <c r="D727" s="8">
        <v>1.1599999999999999</v>
      </c>
      <c r="E727" s="4">
        <v>4</v>
      </c>
      <c r="F727" s="8">
        <v>1.0900000000000001</v>
      </c>
      <c r="G727" s="4">
        <v>5</v>
      </c>
      <c r="H727" s="8">
        <v>1.22</v>
      </c>
      <c r="I727" s="4">
        <v>0</v>
      </c>
    </row>
    <row r="728" spans="1:9" x14ac:dyDescent="0.2">
      <c r="A728" s="2">
        <v>20</v>
      </c>
      <c r="B728" s="1" t="s">
        <v>126</v>
      </c>
      <c r="C728" s="4">
        <v>9</v>
      </c>
      <c r="D728" s="8">
        <v>1.1599999999999999</v>
      </c>
      <c r="E728" s="4">
        <v>2</v>
      </c>
      <c r="F728" s="8">
        <v>0.55000000000000004</v>
      </c>
      <c r="G728" s="4">
        <v>7</v>
      </c>
      <c r="H728" s="8">
        <v>1.71</v>
      </c>
      <c r="I728" s="4">
        <v>0</v>
      </c>
    </row>
    <row r="729" spans="1:9" x14ac:dyDescent="0.2">
      <c r="A729" s="2">
        <v>20</v>
      </c>
      <c r="B729" s="1" t="s">
        <v>129</v>
      </c>
      <c r="C729" s="4">
        <v>9</v>
      </c>
      <c r="D729" s="8">
        <v>1.1599999999999999</v>
      </c>
      <c r="E729" s="4">
        <v>2</v>
      </c>
      <c r="F729" s="8">
        <v>0.55000000000000004</v>
      </c>
      <c r="G729" s="4">
        <v>7</v>
      </c>
      <c r="H729" s="8">
        <v>1.71</v>
      </c>
      <c r="I729" s="4">
        <v>0</v>
      </c>
    </row>
    <row r="730" spans="1:9" x14ac:dyDescent="0.2">
      <c r="A730" s="1"/>
      <c r="C730" s="4"/>
      <c r="D730" s="8"/>
      <c r="E730" s="4"/>
      <c r="F730" s="8"/>
      <c r="G730" s="4"/>
      <c r="H730" s="8"/>
      <c r="I730" s="4"/>
    </row>
    <row r="731" spans="1:9" x14ac:dyDescent="0.2">
      <c r="A731" s="1" t="s">
        <v>32</v>
      </c>
      <c r="C731" s="4"/>
      <c r="D731" s="8"/>
      <c r="E731" s="4"/>
      <c r="F731" s="8"/>
      <c r="G731" s="4"/>
      <c r="H731" s="8"/>
      <c r="I731" s="4"/>
    </row>
    <row r="732" spans="1:9" x14ac:dyDescent="0.2">
      <c r="A732" s="2">
        <v>1</v>
      </c>
      <c r="B732" s="1" t="s">
        <v>133</v>
      </c>
      <c r="C732" s="4">
        <v>59</v>
      </c>
      <c r="D732" s="8">
        <v>5.97</v>
      </c>
      <c r="E732" s="4">
        <v>58</v>
      </c>
      <c r="F732" s="8">
        <v>10.9</v>
      </c>
      <c r="G732" s="4">
        <v>1</v>
      </c>
      <c r="H732" s="8">
        <v>0.22</v>
      </c>
      <c r="I732" s="4">
        <v>0</v>
      </c>
    </row>
    <row r="733" spans="1:9" x14ac:dyDescent="0.2">
      <c r="A733" s="2">
        <v>2</v>
      </c>
      <c r="B733" s="1" t="s">
        <v>134</v>
      </c>
      <c r="C733" s="4">
        <v>55</v>
      </c>
      <c r="D733" s="8">
        <v>5.57</v>
      </c>
      <c r="E733" s="4">
        <v>50</v>
      </c>
      <c r="F733" s="8">
        <v>9.4</v>
      </c>
      <c r="G733" s="4">
        <v>5</v>
      </c>
      <c r="H733" s="8">
        <v>1.1100000000000001</v>
      </c>
      <c r="I733" s="4">
        <v>0</v>
      </c>
    </row>
    <row r="734" spans="1:9" x14ac:dyDescent="0.2">
      <c r="A734" s="2">
        <v>3</v>
      </c>
      <c r="B734" s="1" t="s">
        <v>118</v>
      </c>
      <c r="C734" s="4">
        <v>40</v>
      </c>
      <c r="D734" s="8">
        <v>4.05</v>
      </c>
      <c r="E734" s="4">
        <v>5</v>
      </c>
      <c r="F734" s="8">
        <v>0.94</v>
      </c>
      <c r="G734" s="4">
        <v>35</v>
      </c>
      <c r="H734" s="8">
        <v>7.8</v>
      </c>
      <c r="I734" s="4">
        <v>0</v>
      </c>
    </row>
    <row r="735" spans="1:9" x14ac:dyDescent="0.2">
      <c r="A735" s="2">
        <v>4</v>
      </c>
      <c r="B735" s="1" t="s">
        <v>137</v>
      </c>
      <c r="C735" s="4">
        <v>39</v>
      </c>
      <c r="D735" s="8">
        <v>3.95</v>
      </c>
      <c r="E735" s="4">
        <v>29</v>
      </c>
      <c r="F735" s="8">
        <v>5.45</v>
      </c>
      <c r="G735" s="4">
        <v>10</v>
      </c>
      <c r="H735" s="8">
        <v>2.23</v>
      </c>
      <c r="I735" s="4">
        <v>0</v>
      </c>
    </row>
    <row r="736" spans="1:9" x14ac:dyDescent="0.2">
      <c r="A736" s="2">
        <v>5</v>
      </c>
      <c r="B736" s="1" t="s">
        <v>120</v>
      </c>
      <c r="C736" s="4">
        <v>38</v>
      </c>
      <c r="D736" s="8">
        <v>3.85</v>
      </c>
      <c r="E736" s="4">
        <v>25</v>
      </c>
      <c r="F736" s="8">
        <v>4.7</v>
      </c>
      <c r="G736" s="4">
        <v>13</v>
      </c>
      <c r="H736" s="8">
        <v>2.9</v>
      </c>
      <c r="I736" s="4">
        <v>0</v>
      </c>
    </row>
    <row r="737" spans="1:9" x14ac:dyDescent="0.2">
      <c r="A737" s="2">
        <v>6</v>
      </c>
      <c r="B737" s="1" t="s">
        <v>129</v>
      </c>
      <c r="C737" s="4">
        <v>34</v>
      </c>
      <c r="D737" s="8">
        <v>3.44</v>
      </c>
      <c r="E737" s="4">
        <v>28</v>
      </c>
      <c r="F737" s="8">
        <v>5.26</v>
      </c>
      <c r="G737" s="4">
        <v>6</v>
      </c>
      <c r="H737" s="8">
        <v>1.34</v>
      </c>
      <c r="I737" s="4">
        <v>0</v>
      </c>
    </row>
    <row r="738" spans="1:9" x14ac:dyDescent="0.2">
      <c r="A738" s="2">
        <v>7</v>
      </c>
      <c r="B738" s="1" t="s">
        <v>124</v>
      </c>
      <c r="C738" s="4">
        <v>27</v>
      </c>
      <c r="D738" s="8">
        <v>2.73</v>
      </c>
      <c r="E738" s="4">
        <v>20</v>
      </c>
      <c r="F738" s="8">
        <v>3.76</v>
      </c>
      <c r="G738" s="4">
        <v>7</v>
      </c>
      <c r="H738" s="8">
        <v>1.56</v>
      </c>
      <c r="I738" s="4">
        <v>0</v>
      </c>
    </row>
    <row r="739" spans="1:9" x14ac:dyDescent="0.2">
      <c r="A739" s="2">
        <v>8</v>
      </c>
      <c r="B739" s="1" t="s">
        <v>121</v>
      </c>
      <c r="C739" s="4">
        <v>26</v>
      </c>
      <c r="D739" s="8">
        <v>2.63</v>
      </c>
      <c r="E739" s="4">
        <v>10</v>
      </c>
      <c r="F739" s="8">
        <v>1.88</v>
      </c>
      <c r="G739" s="4">
        <v>16</v>
      </c>
      <c r="H739" s="8">
        <v>3.56</v>
      </c>
      <c r="I739" s="4">
        <v>0</v>
      </c>
    </row>
    <row r="740" spans="1:9" x14ac:dyDescent="0.2">
      <c r="A740" s="2">
        <v>9</v>
      </c>
      <c r="B740" s="1" t="s">
        <v>126</v>
      </c>
      <c r="C740" s="4">
        <v>20</v>
      </c>
      <c r="D740" s="8">
        <v>2.02</v>
      </c>
      <c r="E740" s="4">
        <v>6</v>
      </c>
      <c r="F740" s="8">
        <v>1.1299999999999999</v>
      </c>
      <c r="G740" s="4">
        <v>14</v>
      </c>
      <c r="H740" s="8">
        <v>3.12</v>
      </c>
      <c r="I740" s="4">
        <v>0</v>
      </c>
    </row>
    <row r="741" spans="1:9" x14ac:dyDescent="0.2">
      <c r="A741" s="2">
        <v>10</v>
      </c>
      <c r="B741" s="1" t="s">
        <v>132</v>
      </c>
      <c r="C741" s="4">
        <v>19</v>
      </c>
      <c r="D741" s="8">
        <v>1.92</v>
      </c>
      <c r="E741" s="4">
        <v>19</v>
      </c>
      <c r="F741" s="8">
        <v>3.57</v>
      </c>
      <c r="G741" s="4">
        <v>0</v>
      </c>
      <c r="H741" s="8">
        <v>0</v>
      </c>
      <c r="I741" s="4">
        <v>0</v>
      </c>
    </row>
    <row r="742" spans="1:9" x14ac:dyDescent="0.2">
      <c r="A742" s="2">
        <v>11</v>
      </c>
      <c r="B742" s="1" t="s">
        <v>119</v>
      </c>
      <c r="C742" s="4">
        <v>17</v>
      </c>
      <c r="D742" s="8">
        <v>1.72</v>
      </c>
      <c r="E742" s="4">
        <v>7</v>
      </c>
      <c r="F742" s="8">
        <v>1.32</v>
      </c>
      <c r="G742" s="4">
        <v>10</v>
      </c>
      <c r="H742" s="8">
        <v>2.23</v>
      </c>
      <c r="I742" s="4">
        <v>0</v>
      </c>
    </row>
    <row r="743" spans="1:9" x14ac:dyDescent="0.2">
      <c r="A743" s="2">
        <v>11</v>
      </c>
      <c r="B743" s="1" t="s">
        <v>146</v>
      </c>
      <c r="C743" s="4">
        <v>17</v>
      </c>
      <c r="D743" s="8">
        <v>1.72</v>
      </c>
      <c r="E743" s="4">
        <v>11</v>
      </c>
      <c r="F743" s="8">
        <v>2.0699999999999998</v>
      </c>
      <c r="G743" s="4">
        <v>6</v>
      </c>
      <c r="H743" s="8">
        <v>1.34</v>
      </c>
      <c r="I743" s="4">
        <v>0</v>
      </c>
    </row>
    <row r="744" spans="1:9" x14ac:dyDescent="0.2">
      <c r="A744" s="2">
        <v>13</v>
      </c>
      <c r="B744" s="1" t="s">
        <v>123</v>
      </c>
      <c r="C744" s="4">
        <v>15</v>
      </c>
      <c r="D744" s="8">
        <v>1.52</v>
      </c>
      <c r="E744" s="4">
        <v>12</v>
      </c>
      <c r="F744" s="8">
        <v>2.2599999999999998</v>
      </c>
      <c r="G744" s="4">
        <v>3</v>
      </c>
      <c r="H744" s="8">
        <v>0.67</v>
      </c>
      <c r="I744" s="4">
        <v>0</v>
      </c>
    </row>
    <row r="745" spans="1:9" x14ac:dyDescent="0.2">
      <c r="A745" s="2">
        <v>14</v>
      </c>
      <c r="B745" s="1" t="s">
        <v>145</v>
      </c>
      <c r="C745" s="4">
        <v>14</v>
      </c>
      <c r="D745" s="8">
        <v>1.42</v>
      </c>
      <c r="E745" s="4">
        <v>11</v>
      </c>
      <c r="F745" s="8">
        <v>2.0699999999999998</v>
      </c>
      <c r="G745" s="4">
        <v>3</v>
      </c>
      <c r="H745" s="8">
        <v>0.67</v>
      </c>
      <c r="I745" s="4">
        <v>0</v>
      </c>
    </row>
    <row r="746" spans="1:9" x14ac:dyDescent="0.2">
      <c r="A746" s="2">
        <v>14</v>
      </c>
      <c r="B746" s="1" t="s">
        <v>122</v>
      </c>
      <c r="C746" s="4">
        <v>14</v>
      </c>
      <c r="D746" s="8">
        <v>1.42</v>
      </c>
      <c r="E746" s="4">
        <v>5</v>
      </c>
      <c r="F746" s="8">
        <v>0.94</v>
      </c>
      <c r="G746" s="4">
        <v>9</v>
      </c>
      <c r="H746" s="8">
        <v>2</v>
      </c>
      <c r="I746" s="4">
        <v>0</v>
      </c>
    </row>
    <row r="747" spans="1:9" x14ac:dyDescent="0.2">
      <c r="A747" s="2">
        <v>14</v>
      </c>
      <c r="B747" s="1" t="s">
        <v>131</v>
      </c>
      <c r="C747" s="4">
        <v>14</v>
      </c>
      <c r="D747" s="8">
        <v>1.42</v>
      </c>
      <c r="E747" s="4">
        <v>11</v>
      </c>
      <c r="F747" s="8">
        <v>2.0699999999999998</v>
      </c>
      <c r="G747" s="4">
        <v>3</v>
      </c>
      <c r="H747" s="8">
        <v>0.67</v>
      </c>
      <c r="I747" s="4">
        <v>0</v>
      </c>
    </row>
    <row r="748" spans="1:9" x14ac:dyDescent="0.2">
      <c r="A748" s="2">
        <v>17</v>
      </c>
      <c r="B748" s="1" t="s">
        <v>128</v>
      </c>
      <c r="C748" s="4">
        <v>13</v>
      </c>
      <c r="D748" s="8">
        <v>1.32</v>
      </c>
      <c r="E748" s="4">
        <v>2</v>
      </c>
      <c r="F748" s="8">
        <v>0.38</v>
      </c>
      <c r="G748" s="4">
        <v>11</v>
      </c>
      <c r="H748" s="8">
        <v>2.4500000000000002</v>
      </c>
      <c r="I748" s="4">
        <v>0</v>
      </c>
    </row>
    <row r="749" spans="1:9" x14ac:dyDescent="0.2">
      <c r="A749" s="2">
        <v>18</v>
      </c>
      <c r="B749" s="1" t="s">
        <v>130</v>
      </c>
      <c r="C749" s="4">
        <v>12</v>
      </c>
      <c r="D749" s="8">
        <v>1.21</v>
      </c>
      <c r="E749" s="4">
        <v>5</v>
      </c>
      <c r="F749" s="8">
        <v>0.94</v>
      </c>
      <c r="G749" s="4">
        <v>7</v>
      </c>
      <c r="H749" s="8">
        <v>1.56</v>
      </c>
      <c r="I749" s="4">
        <v>0</v>
      </c>
    </row>
    <row r="750" spans="1:9" x14ac:dyDescent="0.2">
      <c r="A750" s="2">
        <v>19</v>
      </c>
      <c r="B750" s="1" t="s">
        <v>179</v>
      </c>
      <c r="C750" s="4">
        <v>11</v>
      </c>
      <c r="D750" s="8">
        <v>1.1100000000000001</v>
      </c>
      <c r="E750" s="4">
        <v>2</v>
      </c>
      <c r="F750" s="8">
        <v>0.38</v>
      </c>
      <c r="G750" s="4">
        <v>9</v>
      </c>
      <c r="H750" s="8">
        <v>2</v>
      </c>
      <c r="I750" s="4">
        <v>0</v>
      </c>
    </row>
    <row r="751" spans="1:9" x14ac:dyDescent="0.2">
      <c r="A751" s="2">
        <v>19</v>
      </c>
      <c r="B751" s="1" t="s">
        <v>174</v>
      </c>
      <c r="C751" s="4">
        <v>11</v>
      </c>
      <c r="D751" s="8">
        <v>1.1100000000000001</v>
      </c>
      <c r="E751" s="4">
        <v>2</v>
      </c>
      <c r="F751" s="8">
        <v>0.38</v>
      </c>
      <c r="G751" s="4">
        <v>9</v>
      </c>
      <c r="H751" s="8">
        <v>2</v>
      </c>
      <c r="I751" s="4">
        <v>0</v>
      </c>
    </row>
    <row r="752" spans="1:9" x14ac:dyDescent="0.2">
      <c r="A752" s="2">
        <v>19</v>
      </c>
      <c r="B752" s="1" t="s">
        <v>135</v>
      </c>
      <c r="C752" s="4">
        <v>11</v>
      </c>
      <c r="D752" s="8">
        <v>1.1100000000000001</v>
      </c>
      <c r="E752" s="4">
        <v>9</v>
      </c>
      <c r="F752" s="8">
        <v>1.69</v>
      </c>
      <c r="G752" s="4">
        <v>2</v>
      </c>
      <c r="H752" s="8">
        <v>0.45</v>
      </c>
      <c r="I752" s="4">
        <v>0</v>
      </c>
    </row>
    <row r="753" spans="1:9" x14ac:dyDescent="0.2">
      <c r="A753" s="2">
        <v>19</v>
      </c>
      <c r="B753" s="1" t="s">
        <v>136</v>
      </c>
      <c r="C753" s="4">
        <v>11</v>
      </c>
      <c r="D753" s="8">
        <v>1.1100000000000001</v>
      </c>
      <c r="E753" s="4">
        <v>9</v>
      </c>
      <c r="F753" s="8">
        <v>1.69</v>
      </c>
      <c r="G753" s="4">
        <v>2</v>
      </c>
      <c r="H753" s="8">
        <v>0.45</v>
      </c>
      <c r="I753" s="4">
        <v>0</v>
      </c>
    </row>
    <row r="754" spans="1:9" x14ac:dyDescent="0.2">
      <c r="A754" s="1"/>
      <c r="C754" s="4"/>
      <c r="D754" s="8"/>
      <c r="E754" s="4"/>
      <c r="F754" s="8"/>
      <c r="G754" s="4"/>
      <c r="H754" s="8"/>
      <c r="I754" s="4"/>
    </row>
    <row r="755" spans="1:9" x14ac:dyDescent="0.2">
      <c r="A755" s="1" t="s">
        <v>33</v>
      </c>
      <c r="C755" s="4"/>
      <c r="D755" s="8"/>
      <c r="E755" s="4"/>
      <c r="F755" s="8"/>
      <c r="G755" s="4"/>
      <c r="H755" s="8"/>
      <c r="I755" s="4"/>
    </row>
    <row r="756" spans="1:9" x14ac:dyDescent="0.2">
      <c r="A756" s="2">
        <v>1</v>
      </c>
      <c r="B756" s="1" t="s">
        <v>137</v>
      </c>
      <c r="C756" s="4">
        <v>36</v>
      </c>
      <c r="D756" s="8">
        <v>5.13</v>
      </c>
      <c r="E756" s="4">
        <v>34</v>
      </c>
      <c r="F756" s="8">
        <v>8.7200000000000006</v>
      </c>
      <c r="G756" s="4">
        <v>2</v>
      </c>
      <c r="H756" s="8">
        <v>0.65</v>
      </c>
      <c r="I756" s="4">
        <v>0</v>
      </c>
    </row>
    <row r="757" spans="1:9" x14ac:dyDescent="0.2">
      <c r="A757" s="2">
        <v>2</v>
      </c>
      <c r="B757" s="1" t="s">
        <v>120</v>
      </c>
      <c r="C757" s="4">
        <v>35</v>
      </c>
      <c r="D757" s="8">
        <v>4.99</v>
      </c>
      <c r="E757" s="4">
        <v>27</v>
      </c>
      <c r="F757" s="8">
        <v>6.92</v>
      </c>
      <c r="G757" s="4">
        <v>8</v>
      </c>
      <c r="H757" s="8">
        <v>2.6</v>
      </c>
      <c r="I757" s="4">
        <v>0</v>
      </c>
    </row>
    <row r="758" spans="1:9" x14ac:dyDescent="0.2">
      <c r="A758" s="2">
        <v>3</v>
      </c>
      <c r="B758" s="1" t="s">
        <v>133</v>
      </c>
      <c r="C758" s="4">
        <v>34</v>
      </c>
      <c r="D758" s="8">
        <v>4.84</v>
      </c>
      <c r="E758" s="4">
        <v>34</v>
      </c>
      <c r="F758" s="8">
        <v>8.7200000000000006</v>
      </c>
      <c r="G758" s="4">
        <v>0</v>
      </c>
      <c r="H758" s="8">
        <v>0</v>
      </c>
      <c r="I758" s="4">
        <v>0</v>
      </c>
    </row>
    <row r="759" spans="1:9" x14ac:dyDescent="0.2">
      <c r="A759" s="2">
        <v>4</v>
      </c>
      <c r="B759" s="1" t="s">
        <v>134</v>
      </c>
      <c r="C759" s="4">
        <v>31</v>
      </c>
      <c r="D759" s="8">
        <v>4.42</v>
      </c>
      <c r="E759" s="4">
        <v>31</v>
      </c>
      <c r="F759" s="8">
        <v>7.95</v>
      </c>
      <c r="G759" s="4">
        <v>0</v>
      </c>
      <c r="H759" s="8">
        <v>0</v>
      </c>
      <c r="I759" s="4">
        <v>0</v>
      </c>
    </row>
    <row r="760" spans="1:9" x14ac:dyDescent="0.2">
      <c r="A760" s="2">
        <v>5</v>
      </c>
      <c r="B760" s="1" t="s">
        <v>121</v>
      </c>
      <c r="C760" s="4">
        <v>23</v>
      </c>
      <c r="D760" s="8">
        <v>3.28</v>
      </c>
      <c r="E760" s="4">
        <v>12</v>
      </c>
      <c r="F760" s="8">
        <v>3.08</v>
      </c>
      <c r="G760" s="4">
        <v>11</v>
      </c>
      <c r="H760" s="8">
        <v>3.57</v>
      </c>
      <c r="I760" s="4">
        <v>0</v>
      </c>
    </row>
    <row r="761" spans="1:9" x14ac:dyDescent="0.2">
      <c r="A761" s="2">
        <v>6</v>
      </c>
      <c r="B761" s="1" t="s">
        <v>118</v>
      </c>
      <c r="C761" s="4">
        <v>20</v>
      </c>
      <c r="D761" s="8">
        <v>2.85</v>
      </c>
      <c r="E761" s="4">
        <v>2</v>
      </c>
      <c r="F761" s="8">
        <v>0.51</v>
      </c>
      <c r="G761" s="4">
        <v>18</v>
      </c>
      <c r="H761" s="8">
        <v>5.84</v>
      </c>
      <c r="I761" s="4">
        <v>0</v>
      </c>
    </row>
    <row r="762" spans="1:9" x14ac:dyDescent="0.2">
      <c r="A762" s="2">
        <v>6</v>
      </c>
      <c r="B762" s="1" t="s">
        <v>124</v>
      </c>
      <c r="C762" s="4">
        <v>20</v>
      </c>
      <c r="D762" s="8">
        <v>2.85</v>
      </c>
      <c r="E762" s="4">
        <v>8</v>
      </c>
      <c r="F762" s="8">
        <v>2.0499999999999998</v>
      </c>
      <c r="G762" s="4">
        <v>12</v>
      </c>
      <c r="H762" s="8">
        <v>3.9</v>
      </c>
      <c r="I762" s="4">
        <v>0</v>
      </c>
    </row>
    <row r="763" spans="1:9" x14ac:dyDescent="0.2">
      <c r="A763" s="2">
        <v>8</v>
      </c>
      <c r="B763" s="1" t="s">
        <v>122</v>
      </c>
      <c r="C763" s="4">
        <v>19</v>
      </c>
      <c r="D763" s="8">
        <v>2.71</v>
      </c>
      <c r="E763" s="4">
        <v>8</v>
      </c>
      <c r="F763" s="8">
        <v>2.0499999999999998</v>
      </c>
      <c r="G763" s="4">
        <v>11</v>
      </c>
      <c r="H763" s="8">
        <v>3.57</v>
      </c>
      <c r="I763" s="4">
        <v>0</v>
      </c>
    </row>
    <row r="764" spans="1:9" x14ac:dyDescent="0.2">
      <c r="A764" s="2">
        <v>8</v>
      </c>
      <c r="B764" s="1" t="s">
        <v>123</v>
      </c>
      <c r="C764" s="4">
        <v>19</v>
      </c>
      <c r="D764" s="8">
        <v>2.71</v>
      </c>
      <c r="E764" s="4">
        <v>14</v>
      </c>
      <c r="F764" s="8">
        <v>3.59</v>
      </c>
      <c r="G764" s="4">
        <v>5</v>
      </c>
      <c r="H764" s="8">
        <v>1.62</v>
      </c>
      <c r="I764" s="4">
        <v>0</v>
      </c>
    </row>
    <row r="765" spans="1:9" x14ac:dyDescent="0.2">
      <c r="A765" s="2">
        <v>10</v>
      </c>
      <c r="B765" s="1" t="s">
        <v>129</v>
      </c>
      <c r="C765" s="4">
        <v>18</v>
      </c>
      <c r="D765" s="8">
        <v>2.56</v>
      </c>
      <c r="E765" s="4">
        <v>15</v>
      </c>
      <c r="F765" s="8">
        <v>3.85</v>
      </c>
      <c r="G765" s="4">
        <v>3</v>
      </c>
      <c r="H765" s="8">
        <v>0.97</v>
      </c>
      <c r="I765" s="4">
        <v>0</v>
      </c>
    </row>
    <row r="766" spans="1:9" x14ac:dyDescent="0.2">
      <c r="A766" s="2">
        <v>11</v>
      </c>
      <c r="B766" s="1" t="s">
        <v>119</v>
      </c>
      <c r="C766" s="4">
        <v>17</v>
      </c>
      <c r="D766" s="8">
        <v>2.42</v>
      </c>
      <c r="E766" s="4">
        <v>6</v>
      </c>
      <c r="F766" s="8">
        <v>1.54</v>
      </c>
      <c r="G766" s="4">
        <v>11</v>
      </c>
      <c r="H766" s="8">
        <v>3.57</v>
      </c>
      <c r="I766" s="4">
        <v>0</v>
      </c>
    </row>
    <row r="767" spans="1:9" x14ac:dyDescent="0.2">
      <c r="A767" s="2">
        <v>12</v>
      </c>
      <c r="B767" s="1" t="s">
        <v>146</v>
      </c>
      <c r="C767" s="4">
        <v>13</v>
      </c>
      <c r="D767" s="8">
        <v>1.85</v>
      </c>
      <c r="E767" s="4">
        <v>8</v>
      </c>
      <c r="F767" s="8">
        <v>2.0499999999999998</v>
      </c>
      <c r="G767" s="4">
        <v>5</v>
      </c>
      <c r="H767" s="8">
        <v>1.62</v>
      </c>
      <c r="I767" s="4">
        <v>0</v>
      </c>
    </row>
    <row r="768" spans="1:9" x14ac:dyDescent="0.2">
      <c r="A768" s="2">
        <v>13</v>
      </c>
      <c r="B768" s="1" t="s">
        <v>126</v>
      </c>
      <c r="C768" s="4">
        <v>12</v>
      </c>
      <c r="D768" s="8">
        <v>1.71</v>
      </c>
      <c r="E768" s="4">
        <v>4</v>
      </c>
      <c r="F768" s="8">
        <v>1.03</v>
      </c>
      <c r="G768" s="4">
        <v>8</v>
      </c>
      <c r="H768" s="8">
        <v>2.6</v>
      </c>
      <c r="I768" s="4">
        <v>0</v>
      </c>
    </row>
    <row r="769" spans="1:9" x14ac:dyDescent="0.2">
      <c r="A769" s="2">
        <v>14</v>
      </c>
      <c r="B769" s="1" t="s">
        <v>144</v>
      </c>
      <c r="C769" s="4">
        <v>11</v>
      </c>
      <c r="D769" s="8">
        <v>1.57</v>
      </c>
      <c r="E769" s="4">
        <v>5</v>
      </c>
      <c r="F769" s="8">
        <v>1.28</v>
      </c>
      <c r="G769" s="4">
        <v>6</v>
      </c>
      <c r="H769" s="8">
        <v>1.95</v>
      </c>
      <c r="I769" s="4">
        <v>0</v>
      </c>
    </row>
    <row r="770" spans="1:9" x14ac:dyDescent="0.2">
      <c r="A770" s="2">
        <v>15</v>
      </c>
      <c r="B770" s="1" t="s">
        <v>139</v>
      </c>
      <c r="C770" s="4">
        <v>10</v>
      </c>
      <c r="D770" s="8">
        <v>1.42</v>
      </c>
      <c r="E770" s="4">
        <v>4</v>
      </c>
      <c r="F770" s="8">
        <v>1.03</v>
      </c>
      <c r="G770" s="4">
        <v>6</v>
      </c>
      <c r="H770" s="8">
        <v>1.95</v>
      </c>
      <c r="I770" s="4">
        <v>0</v>
      </c>
    </row>
    <row r="771" spans="1:9" x14ac:dyDescent="0.2">
      <c r="A771" s="2">
        <v>16</v>
      </c>
      <c r="B771" s="1" t="s">
        <v>151</v>
      </c>
      <c r="C771" s="4">
        <v>9</v>
      </c>
      <c r="D771" s="8">
        <v>1.28</v>
      </c>
      <c r="E771" s="4">
        <v>4</v>
      </c>
      <c r="F771" s="8">
        <v>1.03</v>
      </c>
      <c r="G771" s="4">
        <v>5</v>
      </c>
      <c r="H771" s="8">
        <v>1.62</v>
      </c>
      <c r="I771" s="4">
        <v>0</v>
      </c>
    </row>
    <row r="772" spans="1:9" x14ac:dyDescent="0.2">
      <c r="A772" s="2">
        <v>17</v>
      </c>
      <c r="B772" s="1" t="s">
        <v>145</v>
      </c>
      <c r="C772" s="4">
        <v>8</v>
      </c>
      <c r="D772" s="8">
        <v>1.1399999999999999</v>
      </c>
      <c r="E772" s="4">
        <v>5</v>
      </c>
      <c r="F772" s="8">
        <v>1.28</v>
      </c>
      <c r="G772" s="4">
        <v>3</v>
      </c>
      <c r="H772" s="8">
        <v>0.97</v>
      </c>
      <c r="I772" s="4">
        <v>0</v>
      </c>
    </row>
    <row r="773" spans="1:9" x14ac:dyDescent="0.2">
      <c r="A773" s="2">
        <v>17</v>
      </c>
      <c r="B773" s="1" t="s">
        <v>153</v>
      </c>
      <c r="C773" s="4">
        <v>8</v>
      </c>
      <c r="D773" s="8">
        <v>1.1399999999999999</v>
      </c>
      <c r="E773" s="4">
        <v>2</v>
      </c>
      <c r="F773" s="8">
        <v>0.51</v>
      </c>
      <c r="G773" s="4">
        <v>6</v>
      </c>
      <c r="H773" s="8">
        <v>1.95</v>
      </c>
      <c r="I773" s="4">
        <v>0</v>
      </c>
    </row>
    <row r="774" spans="1:9" x14ac:dyDescent="0.2">
      <c r="A774" s="2">
        <v>17</v>
      </c>
      <c r="B774" s="1" t="s">
        <v>179</v>
      </c>
      <c r="C774" s="4">
        <v>8</v>
      </c>
      <c r="D774" s="8">
        <v>1.1399999999999999</v>
      </c>
      <c r="E774" s="4">
        <v>3</v>
      </c>
      <c r="F774" s="8">
        <v>0.77</v>
      </c>
      <c r="G774" s="4">
        <v>5</v>
      </c>
      <c r="H774" s="8">
        <v>1.62</v>
      </c>
      <c r="I774" s="4">
        <v>0</v>
      </c>
    </row>
    <row r="775" spans="1:9" x14ac:dyDescent="0.2">
      <c r="A775" s="2">
        <v>17</v>
      </c>
      <c r="B775" s="1" t="s">
        <v>178</v>
      </c>
      <c r="C775" s="4">
        <v>8</v>
      </c>
      <c r="D775" s="8">
        <v>1.1399999999999999</v>
      </c>
      <c r="E775" s="4">
        <v>3</v>
      </c>
      <c r="F775" s="8">
        <v>0.77</v>
      </c>
      <c r="G775" s="4">
        <v>5</v>
      </c>
      <c r="H775" s="8">
        <v>1.62</v>
      </c>
      <c r="I775" s="4">
        <v>0</v>
      </c>
    </row>
    <row r="776" spans="1:9" x14ac:dyDescent="0.2">
      <c r="A776" s="2">
        <v>17</v>
      </c>
      <c r="B776" s="1" t="s">
        <v>180</v>
      </c>
      <c r="C776" s="4">
        <v>8</v>
      </c>
      <c r="D776" s="8">
        <v>1.1399999999999999</v>
      </c>
      <c r="E776" s="4">
        <v>4</v>
      </c>
      <c r="F776" s="8">
        <v>1.03</v>
      </c>
      <c r="G776" s="4">
        <v>2</v>
      </c>
      <c r="H776" s="8">
        <v>0.65</v>
      </c>
      <c r="I776" s="4">
        <v>2</v>
      </c>
    </row>
    <row r="777" spans="1:9" x14ac:dyDescent="0.2">
      <c r="A777" s="2">
        <v>17</v>
      </c>
      <c r="B777" s="1" t="s">
        <v>136</v>
      </c>
      <c r="C777" s="4">
        <v>8</v>
      </c>
      <c r="D777" s="8">
        <v>1.1399999999999999</v>
      </c>
      <c r="E777" s="4">
        <v>7</v>
      </c>
      <c r="F777" s="8">
        <v>1.79</v>
      </c>
      <c r="G777" s="4">
        <v>1</v>
      </c>
      <c r="H777" s="8">
        <v>0.32</v>
      </c>
      <c r="I777" s="4">
        <v>0</v>
      </c>
    </row>
    <row r="778" spans="1:9" x14ac:dyDescent="0.2">
      <c r="A778" s="1"/>
      <c r="C778" s="4"/>
      <c r="D778" s="8"/>
      <c r="E778" s="4"/>
      <c r="F778" s="8"/>
      <c r="G778" s="4"/>
      <c r="H778" s="8"/>
      <c r="I778" s="4"/>
    </row>
    <row r="779" spans="1:9" x14ac:dyDescent="0.2">
      <c r="A779" s="1" t="s">
        <v>34</v>
      </c>
      <c r="C779" s="4"/>
      <c r="D779" s="8"/>
      <c r="E779" s="4"/>
      <c r="F779" s="8"/>
      <c r="G779" s="4"/>
      <c r="H779" s="8"/>
      <c r="I779" s="4"/>
    </row>
    <row r="780" spans="1:9" x14ac:dyDescent="0.2">
      <c r="A780" s="2">
        <v>1</v>
      </c>
      <c r="B780" s="1" t="s">
        <v>133</v>
      </c>
      <c r="C780" s="4">
        <v>26</v>
      </c>
      <c r="D780" s="8">
        <v>4.91</v>
      </c>
      <c r="E780" s="4">
        <v>25</v>
      </c>
      <c r="F780" s="8">
        <v>8.09</v>
      </c>
      <c r="G780" s="4">
        <v>1</v>
      </c>
      <c r="H780" s="8">
        <v>0.46</v>
      </c>
      <c r="I780" s="4">
        <v>0</v>
      </c>
    </row>
    <row r="781" spans="1:9" x14ac:dyDescent="0.2">
      <c r="A781" s="2">
        <v>2</v>
      </c>
      <c r="B781" s="1" t="s">
        <v>127</v>
      </c>
      <c r="C781" s="4">
        <v>22</v>
      </c>
      <c r="D781" s="8">
        <v>4.16</v>
      </c>
      <c r="E781" s="4">
        <v>18</v>
      </c>
      <c r="F781" s="8">
        <v>5.83</v>
      </c>
      <c r="G781" s="4">
        <v>4</v>
      </c>
      <c r="H781" s="8">
        <v>1.83</v>
      </c>
      <c r="I781" s="4">
        <v>0</v>
      </c>
    </row>
    <row r="782" spans="1:9" x14ac:dyDescent="0.2">
      <c r="A782" s="2">
        <v>2</v>
      </c>
      <c r="B782" s="1" t="s">
        <v>159</v>
      </c>
      <c r="C782" s="4">
        <v>22</v>
      </c>
      <c r="D782" s="8">
        <v>4.16</v>
      </c>
      <c r="E782" s="4">
        <v>15</v>
      </c>
      <c r="F782" s="8">
        <v>4.8499999999999996</v>
      </c>
      <c r="G782" s="4">
        <v>7</v>
      </c>
      <c r="H782" s="8">
        <v>3.2</v>
      </c>
      <c r="I782" s="4">
        <v>0</v>
      </c>
    </row>
    <row r="783" spans="1:9" x14ac:dyDescent="0.2">
      <c r="A783" s="2">
        <v>4</v>
      </c>
      <c r="B783" s="1" t="s">
        <v>131</v>
      </c>
      <c r="C783" s="4">
        <v>21</v>
      </c>
      <c r="D783" s="8">
        <v>3.97</v>
      </c>
      <c r="E783" s="4">
        <v>16</v>
      </c>
      <c r="F783" s="8">
        <v>5.18</v>
      </c>
      <c r="G783" s="4">
        <v>5</v>
      </c>
      <c r="H783" s="8">
        <v>2.2799999999999998</v>
      </c>
      <c r="I783" s="4">
        <v>0</v>
      </c>
    </row>
    <row r="784" spans="1:9" x14ac:dyDescent="0.2">
      <c r="A784" s="2">
        <v>5</v>
      </c>
      <c r="B784" s="1" t="s">
        <v>123</v>
      </c>
      <c r="C784" s="4">
        <v>20</v>
      </c>
      <c r="D784" s="8">
        <v>3.78</v>
      </c>
      <c r="E784" s="4">
        <v>16</v>
      </c>
      <c r="F784" s="8">
        <v>5.18</v>
      </c>
      <c r="G784" s="4">
        <v>4</v>
      </c>
      <c r="H784" s="8">
        <v>1.83</v>
      </c>
      <c r="I784" s="4">
        <v>0</v>
      </c>
    </row>
    <row r="785" spans="1:9" x14ac:dyDescent="0.2">
      <c r="A785" s="2">
        <v>6</v>
      </c>
      <c r="B785" s="1" t="s">
        <v>134</v>
      </c>
      <c r="C785" s="4">
        <v>17</v>
      </c>
      <c r="D785" s="8">
        <v>3.21</v>
      </c>
      <c r="E785" s="4">
        <v>17</v>
      </c>
      <c r="F785" s="8">
        <v>5.5</v>
      </c>
      <c r="G785" s="4">
        <v>0</v>
      </c>
      <c r="H785" s="8">
        <v>0</v>
      </c>
      <c r="I785" s="4">
        <v>0</v>
      </c>
    </row>
    <row r="786" spans="1:9" x14ac:dyDescent="0.2">
      <c r="A786" s="2">
        <v>7</v>
      </c>
      <c r="B786" s="1" t="s">
        <v>120</v>
      </c>
      <c r="C786" s="4">
        <v>13</v>
      </c>
      <c r="D786" s="8">
        <v>2.46</v>
      </c>
      <c r="E786" s="4">
        <v>9</v>
      </c>
      <c r="F786" s="8">
        <v>2.91</v>
      </c>
      <c r="G786" s="4">
        <v>4</v>
      </c>
      <c r="H786" s="8">
        <v>1.83</v>
      </c>
      <c r="I786" s="4">
        <v>0</v>
      </c>
    </row>
    <row r="787" spans="1:9" x14ac:dyDescent="0.2">
      <c r="A787" s="2">
        <v>8</v>
      </c>
      <c r="B787" s="1" t="s">
        <v>152</v>
      </c>
      <c r="C787" s="4">
        <v>12</v>
      </c>
      <c r="D787" s="8">
        <v>2.27</v>
      </c>
      <c r="E787" s="4">
        <v>11</v>
      </c>
      <c r="F787" s="8">
        <v>3.56</v>
      </c>
      <c r="G787" s="4">
        <v>1</v>
      </c>
      <c r="H787" s="8">
        <v>0.46</v>
      </c>
      <c r="I787" s="4">
        <v>0</v>
      </c>
    </row>
    <row r="788" spans="1:9" x14ac:dyDescent="0.2">
      <c r="A788" s="2">
        <v>9</v>
      </c>
      <c r="B788" s="1" t="s">
        <v>124</v>
      </c>
      <c r="C788" s="4">
        <v>11</v>
      </c>
      <c r="D788" s="8">
        <v>2.08</v>
      </c>
      <c r="E788" s="4">
        <v>9</v>
      </c>
      <c r="F788" s="8">
        <v>2.91</v>
      </c>
      <c r="G788" s="4">
        <v>2</v>
      </c>
      <c r="H788" s="8">
        <v>0.91</v>
      </c>
      <c r="I788" s="4">
        <v>0</v>
      </c>
    </row>
    <row r="789" spans="1:9" x14ac:dyDescent="0.2">
      <c r="A789" s="2">
        <v>10</v>
      </c>
      <c r="B789" s="1" t="s">
        <v>119</v>
      </c>
      <c r="C789" s="4">
        <v>10</v>
      </c>
      <c r="D789" s="8">
        <v>1.89</v>
      </c>
      <c r="E789" s="4">
        <v>2</v>
      </c>
      <c r="F789" s="8">
        <v>0.65</v>
      </c>
      <c r="G789" s="4">
        <v>8</v>
      </c>
      <c r="H789" s="8">
        <v>3.65</v>
      </c>
      <c r="I789" s="4">
        <v>0</v>
      </c>
    </row>
    <row r="790" spans="1:9" x14ac:dyDescent="0.2">
      <c r="A790" s="2">
        <v>10</v>
      </c>
      <c r="B790" s="1" t="s">
        <v>180</v>
      </c>
      <c r="C790" s="4">
        <v>10</v>
      </c>
      <c r="D790" s="8">
        <v>1.89</v>
      </c>
      <c r="E790" s="4">
        <v>9</v>
      </c>
      <c r="F790" s="8">
        <v>2.91</v>
      </c>
      <c r="G790" s="4">
        <v>1</v>
      </c>
      <c r="H790" s="8">
        <v>0.46</v>
      </c>
      <c r="I790" s="4">
        <v>0</v>
      </c>
    </row>
    <row r="791" spans="1:9" x14ac:dyDescent="0.2">
      <c r="A791" s="2">
        <v>12</v>
      </c>
      <c r="B791" s="1" t="s">
        <v>178</v>
      </c>
      <c r="C791" s="4">
        <v>9</v>
      </c>
      <c r="D791" s="8">
        <v>1.7</v>
      </c>
      <c r="E791" s="4">
        <v>3</v>
      </c>
      <c r="F791" s="8">
        <v>0.97</v>
      </c>
      <c r="G791" s="4">
        <v>6</v>
      </c>
      <c r="H791" s="8">
        <v>2.74</v>
      </c>
      <c r="I791" s="4">
        <v>0</v>
      </c>
    </row>
    <row r="792" spans="1:9" x14ac:dyDescent="0.2">
      <c r="A792" s="2">
        <v>12</v>
      </c>
      <c r="B792" s="1" t="s">
        <v>175</v>
      </c>
      <c r="C792" s="4">
        <v>9</v>
      </c>
      <c r="D792" s="8">
        <v>1.7</v>
      </c>
      <c r="E792" s="4">
        <v>2</v>
      </c>
      <c r="F792" s="8">
        <v>0.65</v>
      </c>
      <c r="G792" s="4">
        <v>7</v>
      </c>
      <c r="H792" s="8">
        <v>3.2</v>
      </c>
      <c r="I792" s="4">
        <v>0</v>
      </c>
    </row>
    <row r="793" spans="1:9" x14ac:dyDescent="0.2">
      <c r="A793" s="2">
        <v>12</v>
      </c>
      <c r="B793" s="1" t="s">
        <v>132</v>
      </c>
      <c r="C793" s="4">
        <v>9</v>
      </c>
      <c r="D793" s="8">
        <v>1.7</v>
      </c>
      <c r="E793" s="4">
        <v>7</v>
      </c>
      <c r="F793" s="8">
        <v>2.27</v>
      </c>
      <c r="G793" s="4">
        <v>2</v>
      </c>
      <c r="H793" s="8">
        <v>0.91</v>
      </c>
      <c r="I793" s="4">
        <v>0</v>
      </c>
    </row>
    <row r="794" spans="1:9" x14ac:dyDescent="0.2">
      <c r="A794" s="2">
        <v>12</v>
      </c>
      <c r="B794" s="1" t="s">
        <v>139</v>
      </c>
      <c r="C794" s="4">
        <v>9</v>
      </c>
      <c r="D794" s="8">
        <v>1.7</v>
      </c>
      <c r="E794" s="4">
        <v>7</v>
      </c>
      <c r="F794" s="8">
        <v>2.27</v>
      </c>
      <c r="G794" s="4">
        <v>2</v>
      </c>
      <c r="H794" s="8">
        <v>0.91</v>
      </c>
      <c r="I794" s="4">
        <v>0</v>
      </c>
    </row>
    <row r="795" spans="1:9" x14ac:dyDescent="0.2">
      <c r="A795" s="2">
        <v>16</v>
      </c>
      <c r="B795" s="1" t="s">
        <v>144</v>
      </c>
      <c r="C795" s="4">
        <v>8</v>
      </c>
      <c r="D795" s="8">
        <v>1.51</v>
      </c>
      <c r="E795" s="4">
        <v>2</v>
      </c>
      <c r="F795" s="8">
        <v>0.65</v>
      </c>
      <c r="G795" s="4">
        <v>6</v>
      </c>
      <c r="H795" s="8">
        <v>2.74</v>
      </c>
      <c r="I795" s="4">
        <v>0</v>
      </c>
    </row>
    <row r="796" spans="1:9" x14ac:dyDescent="0.2">
      <c r="A796" s="2">
        <v>16</v>
      </c>
      <c r="B796" s="1" t="s">
        <v>158</v>
      </c>
      <c r="C796" s="4">
        <v>8</v>
      </c>
      <c r="D796" s="8">
        <v>1.51</v>
      </c>
      <c r="E796" s="4">
        <v>2</v>
      </c>
      <c r="F796" s="8">
        <v>0.65</v>
      </c>
      <c r="G796" s="4">
        <v>6</v>
      </c>
      <c r="H796" s="8">
        <v>2.74</v>
      </c>
      <c r="I796" s="4">
        <v>0</v>
      </c>
    </row>
    <row r="797" spans="1:9" x14ac:dyDescent="0.2">
      <c r="A797" s="2">
        <v>16</v>
      </c>
      <c r="B797" s="1" t="s">
        <v>157</v>
      </c>
      <c r="C797" s="4">
        <v>8</v>
      </c>
      <c r="D797" s="8">
        <v>1.51</v>
      </c>
      <c r="E797" s="4">
        <v>3</v>
      </c>
      <c r="F797" s="8">
        <v>0.97</v>
      </c>
      <c r="G797" s="4">
        <v>5</v>
      </c>
      <c r="H797" s="8">
        <v>2.2799999999999998</v>
      </c>
      <c r="I797" s="4">
        <v>0</v>
      </c>
    </row>
    <row r="798" spans="1:9" x14ac:dyDescent="0.2">
      <c r="A798" s="2">
        <v>16</v>
      </c>
      <c r="B798" s="1" t="s">
        <v>126</v>
      </c>
      <c r="C798" s="4">
        <v>8</v>
      </c>
      <c r="D798" s="8">
        <v>1.51</v>
      </c>
      <c r="E798" s="4">
        <v>2</v>
      </c>
      <c r="F798" s="8">
        <v>0.65</v>
      </c>
      <c r="G798" s="4">
        <v>6</v>
      </c>
      <c r="H798" s="8">
        <v>2.74</v>
      </c>
      <c r="I798" s="4">
        <v>0</v>
      </c>
    </row>
    <row r="799" spans="1:9" x14ac:dyDescent="0.2">
      <c r="A799" s="2">
        <v>16</v>
      </c>
      <c r="B799" s="1" t="s">
        <v>129</v>
      </c>
      <c r="C799" s="4">
        <v>8</v>
      </c>
      <c r="D799" s="8">
        <v>1.51</v>
      </c>
      <c r="E799" s="4">
        <v>1</v>
      </c>
      <c r="F799" s="8">
        <v>0.32</v>
      </c>
      <c r="G799" s="4">
        <v>7</v>
      </c>
      <c r="H799" s="8">
        <v>3.2</v>
      </c>
      <c r="I799" s="4">
        <v>0</v>
      </c>
    </row>
    <row r="800" spans="1:9" x14ac:dyDescent="0.2">
      <c r="A800" s="1"/>
      <c r="C800" s="4"/>
      <c r="D800" s="8"/>
      <c r="E800" s="4"/>
      <c r="F800" s="8"/>
      <c r="G800" s="4"/>
      <c r="H800" s="8"/>
      <c r="I800" s="4"/>
    </row>
    <row r="801" spans="1:9" x14ac:dyDescent="0.2">
      <c r="A801" s="1" t="s">
        <v>35</v>
      </c>
      <c r="C801" s="4"/>
      <c r="D801" s="8"/>
      <c r="E801" s="4"/>
      <c r="F801" s="8"/>
      <c r="G801" s="4"/>
      <c r="H801" s="8"/>
      <c r="I801" s="4"/>
    </row>
    <row r="802" spans="1:9" x14ac:dyDescent="0.2">
      <c r="A802" s="2">
        <v>1</v>
      </c>
      <c r="B802" s="1" t="s">
        <v>134</v>
      </c>
      <c r="C802" s="4">
        <v>25</v>
      </c>
      <c r="D802" s="8">
        <v>5.94</v>
      </c>
      <c r="E802" s="4">
        <v>22</v>
      </c>
      <c r="F802" s="8">
        <v>7.28</v>
      </c>
      <c r="G802" s="4">
        <v>3</v>
      </c>
      <c r="H802" s="8">
        <v>2.63</v>
      </c>
      <c r="I802" s="4">
        <v>0</v>
      </c>
    </row>
    <row r="803" spans="1:9" x14ac:dyDescent="0.2">
      <c r="A803" s="2">
        <v>2</v>
      </c>
      <c r="B803" s="1" t="s">
        <v>120</v>
      </c>
      <c r="C803" s="4">
        <v>20</v>
      </c>
      <c r="D803" s="8">
        <v>4.75</v>
      </c>
      <c r="E803" s="4">
        <v>17</v>
      </c>
      <c r="F803" s="8">
        <v>5.63</v>
      </c>
      <c r="G803" s="4">
        <v>3</v>
      </c>
      <c r="H803" s="8">
        <v>2.63</v>
      </c>
      <c r="I803" s="4">
        <v>0</v>
      </c>
    </row>
    <row r="804" spans="1:9" x14ac:dyDescent="0.2">
      <c r="A804" s="2">
        <v>3</v>
      </c>
      <c r="B804" s="1" t="s">
        <v>137</v>
      </c>
      <c r="C804" s="4">
        <v>18</v>
      </c>
      <c r="D804" s="8">
        <v>4.28</v>
      </c>
      <c r="E804" s="4">
        <v>16</v>
      </c>
      <c r="F804" s="8">
        <v>5.3</v>
      </c>
      <c r="G804" s="4">
        <v>2</v>
      </c>
      <c r="H804" s="8">
        <v>1.75</v>
      </c>
      <c r="I804" s="4">
        <v>0</v>
      </c>
    </row>
    <row r="805" spans="1:9" x14ac:dyDescent="0.2">
      <c r="A805" s="2">
        <v>4</v>
      </c>
      <c r="B805" s="1" t="s">
        <v>133</v>
      </c>
      <c r="C805" s="4">
        <v>17</v>
      </c>
      <c r="D805" s="8">
        <v>4.04</v>
      </c>
      <c r="E805" s="4">
        <v>17</v>
      </c>
      <c r="F805" s="8">
        <v>5.63</v>
      </c>
      <c r="G805" s="4">
        <v>0</v>
      </c>
      <c r="H805" s="8">
        <v>0</v>
      </c>
      <c r="I805" s="4">
        <v>0</v>
      </c>
    </row>
    <row r="806" spans="1:9" x14ac:dyDescent="0.2">
      <c r="A806" s="2">
        <v>5</v>
      </c>
      <c r="B806" s="1" t="s">
        <v>122</v>
      </c>
      <c r="C806" s="4">
        <v>12</v>
      </c>
      <c r="D806" s="8">
        <v>2.85</v>
      </c>
      <c r="E806" s="4">
        <v>9</v>
      </c>
      <c r="F806" s="8">
        <v>2.98</v>
      </c>
      <c r="G806" s="4">
        <v>3</v>
      </c>
      <c r="H806" s="8">
        <v>2.63</v>
      </c>
      <c r="I806" s="4">
        <v>0</v>
      </c>
    </row>
    <row r="807" spans="1:9" x14ac:dyDescent="0.2">
      <c r="A807" s="2">
        <v>5</v>
      </c>
      <c r="B807" s="1" t="s">
        <v>124</v>
      </c>
      <c r="C807" s="4">
        <v>12</v>
      </c>
      <c r="D807" s="8">
        <v>2.85</v>
      </c>
      <c r="E807" s="4">
        <v>10</v>
      </c>
      <c r="F807" s="8">
        <v>3.31</v>
      </c>
      <c r="G807" s="4">
        <v>2</v>
      </c>
      <c r="H807" s="8">
        <v>1.75</v>
      </c>
      <c r="I807" s="4">
        <v>0</v>
      </c>
    </row>
    <row r="808" spans="1:9" x14ac:dyDescent="0.2">
      <c r="A808" s="2">
        <v>7</v>
      </c>
      <c r="B808" s="1" t="s">
        <v>118</v>
      </c>
      <c r="C808" s="4">
        <v>11</v>
      </c>
      <c r="D808" s="8">
        <v>2.61</v>
      </c>
      <c r="E808" s="4">
        <v>5</v>
      </c>
      <c r="F808" s="8">
        <v>1.66</v>
      </c>
      <c r="G808" s="4">
        <v>6</v>
      </c>
      <c r="H808" s="8">
        <v>5.26</v>
      </c>
      <c r="I808" s="4">
        <v>0</v>
      </c>
    </row>
    <row r="809" spans="1:9" x14ac:dyDescent="0.2">
      <c r="A809" s="2">
        <v>8</v>
      </c>
      <c r="B809" s="1" t="s">
        <v>123</v>
      </c>
      <c r="C809" s="4">
        <v>10</v>
      </c>
      <c r="D809" s="8">
        <v>2.38</v>
      </c>
      <c r="E809" s="4">
        <v>10</v>
      </c>
      <c r="F809" s="8">
        <v>3.31</v>
      </c>
      <c r="G809" s="4">
        <v>0</v>
      </c>
      <c r="H809" s="8">
        <v>0</v>
      </c>
      <c r="I809" s="4">
        <v>0</v>
      </c>
    </row>
    <row r="810" spans="1:9" x14ac:dyDescent="0.2">
      <c r="A810" s="2">
        <v>9</v>
      </c>
      <c r="B810" s="1" t="s">
        <v>121</v>
      </c>
      <c r="C810" s="4">
        <v>9</v>
      </c>
      <c r="D810" s="8">
        <v>2.14</v>
      </c>
      <c r="E810" s="4">
        <v>5</v>
      </c>
      <c r="F810" s="8">
        <v>1.66</v>
      </c>
      <c r="G810" s="4">
        <v>4</v>
      </c>
      <c r="H810" s="8">
        <v>3.51</v>
      </c>
      <c r="I810" s="4">
        <v>0</v>
      </c>
    </row>
    <row r="811" spans="1:9" x14ac:dyDescent="0.2">
      <c r="A811" s="2">
        <v>9</v>
      </c>
      <c r="B811" s="1" t="s">
        <v>130</v>
      </c>
      <c r="C811" s="4">
        <v>9</v>
      </c>
      <c r="D811" s="8">
        <v>2.14</v>
      </c>
      <c r="E811" s="4">
        <v>2</v>
      </c>
      <c r="F811" s="8">
        <v>0.66</v>
      </c>
      <c r="G811" s="4">
        <v>6</v>
      </c>
      <c r="H811" s="8">
        <v>5.26</v>
      </c>
      <c r="I811" s="4">
        <v>0</v>
      </c>
    </row>
    <row r="812" spans="1:9" x14ac:dyDescent="0.2">
      <c r="A812" s="2">
        <v>11</v>
      </c>
      <c r="B812" s="1" t="s">
        <v>145</v>
      </c>
      <c r="C812" s="4">
        <v>8</v>
      </c>
      <c r="D812" s="8">
        <v>1.9</v>
      </c>
      <c r="E812" s="4">
        <v>7</v>
      </c>
      <c r="F812" s="8">
        <v>2.3199999999999998</v>
      </c>
      <c r="G812" s="4">
        <v>1</v>
      </c>
      <c r="H812" s="8">
        <v>0.88</v>
      </c>
      <c r="I812" s="4">
        <v>0</v>
      </c>
    </row>
    <row r="813" spans="1:9" x14ac:dyDescent="0.2">
      <c r="A813" s="2">
        <v>12</v>
      </c>
      <c r="B813" s="1" t="s">
        <v>153</v>
      </c>
      <c r="C813" s="4">
        <v>7</v>
      </c>
      <c r="D813" s="8">
        <v>1.66</v>
      </c>
      <c r="E813" s="4">
        <v>1</v>
      </c>
      <c r="F813" s="8">
        <v>0.33</v>
      </c>
      <c r="G813" s="4">
        <v>6</v>
      </c>
      <c r="H813" s="8">
        <v>5.26</v>
      </c>
      <c r="I813" s="4">
        <v>0</v>
      </c>
    </row>
    <row r="814" spans="1:9" x14ac:dyDescent="0.2">
      <c r="A814" s="2">
        <v>12</v>
      </c>
      <c r="B814" s="1" t="s">
        <v>173</v>
      </c>
      <c r="C814" s="4">
        <v>7</v>
      </c>
      <c r="D814" s="8">
        <v>1.66</v>
      </c>
      <c r="E814" s="4">
        <v>7</v>
      </c>
      <c r="F814" s="8">
        <v>2.3199999999999998</v>
      </c>
      <c r="G814" s="4">
        <v>0</v>
      </c>
      <c r="H814" s="8">
        <v>0</v>
      </c>
      <c r="I814" s="4">
        <v>0</v>
      </c>
    </row>
    <row r="815" spans="1:9" x14ac:dyDescent="0.2">
      <c r="A815" s="2">
        <v>12</v>
      </c>
      <c r="B815" s="1" t="s">
        <v>174</v>
      </c>
      <c r="C815" s="4">
        <v>7</v>
      </c>
      <c r="D815" s="8">
        <v>1.66</v>
      </c>
      <c r="E815" s="4">
        <v>3</v>
      </c>
      <c r="F815" s="8">
        <v>0.99</v>
      </c>
      <c r="G815" s="4">
        <v>4</v>
      </c>
      <c r="H815" s="8">
        <v>3.51</v>
      </c>
      <c r="I815" s="4">
        <v>0</v>
      </c>
    </row>
    <row r="816" spans="1:9" x14ac:dyDescent="0.2">
      <c r="A816" s="2">
        <v>12</v>
      </c>
      <c r="B816" s="1" t="s">
        <v>125</v>
      </c>
      <c r="C816" s="4">
        <v>7</v>
      </c>
      <c r="D816" s="8">
        <v>1.66</v>
      </c>
      <c r="E816" s="4">
        <v>2</v>
      </c>
      <c r="F816" s="8">
        <v>0.66</v>
      </c>
      <c r="G816" s="4">
        <v>5</v>
      </c>
      <c r="H816" s="8">
        <v>4.3899999999999997</v>
      </c>
      <c r="I816" s="4">
        <v>0</v>
      </c>
    </row>
    <row r="817" spans="1:9" x14ac:dyDescent="0.2">
      <c r="A817" s="2">
        <v>12</v>
      </c>
      <c r="B817" s="1" t="s">
        <v>143</v>
      </c>
      <c r="C817" s="4">
        <v>7</v>
      </c>
      <c r="D817" s="8">
        <v>1.66</v>
      </c>
      <c r="E817" s="4">
        <v>5</v>
      </c>
      <c r="F817" s="8">
        <v>1.66</v>
      </c>
      <c r="G817" s="4">
        <v>0</v>
      </c>
      <c r="H817" s="8">
        <v>0</v>
      </c>
      <c r="I817" s="4">
        <v>0</v>
      </c>
    </row>
    <row r="818" spans="1:9" x14ac:dyDescent="0.2">
      <c r="A818" s="2">
        <v>17</v>
      </c>
      <c r="B818" s="1" t="s">
        <v>144</v>
      </c>
      <c r="C818" s="4">
        <v>6</v>
      </c>
      <c r="D818" s="8">
        <v>1.43</v>
      </c>
      <c r="E818" s="4">
        <v>5</v>
      </c>
      <c r="F818" s="8">
        <v>1.66</v>
      </c>
      <c r="G818" s="4">
        <v>1</v>
      </c>
      <c r="H818" s="8">
        <v>0.88</v>
      </c>
      <c r="I818" s="4">
        <v>0</v>
      </c>
    </row>
    <row r="819" spans="1:9" x14ac:dyDescent="0.2">
      <c r="A819" s="2">
        <v>17</v>
      </c>
      <c r="B819" s="1" t="s">
        <v>155</v>
      </c>
      <c r="C819" s="4">
        <v>6</v>
      </c>
      <c r="D819" s="8">
        <v>1.43</v>
      </c>
      <c r="E819" s="4">
        <v>4</v>
      </c>
      <c r="F819" s="8">
        <v>1.32</v>
      </c>
      <c r="G819" s="4">
        <v>2</v>
      </c>
      <c r="H819" s="8">
        <v>1.75</v>
      </c>
      <c r="I819" s="4">
        <v>0</v>
      </c>
    </row>
    <row r="820" spans="1:9" x14ac:dyDescent="0.2">
      <c r="A820" s="2">
        <v>17</v>
      </c>
      <c r="B820" s="1" t="s">
        <v>146</v>
      </c>
      <c r="C820" s="4">
        <v>6</v>
      </c>
      <c r="D820" s="8">
        <v>1.43</v>
      </c>
      <c r="E820" s="4">
        <v>4</v>
      </c>
      <c r="F820" s="8">
        <v>1.32</v>
      </c>
      <c r="G820" s="4">
        <v>2</v>
      </c>
      <c r="H820" s="8">
        <v>1.75</v>
      </c>
      <c r="I820" s="4">
        <v>0</v>
      </c>
    </row>
    <row r="821" spans="1:9" x14ac:dyDescent="0.2">
      <c r="A821" s="2">
        <v>17</v>
      </c>
      <c r="B821" s="1" t="s">
        <v>170</v>
      </c>
      <c r="C821" s="4">
        <v>6</v>
      </c>
      <c r="D821" s="8">
        <v>1.43</v>
      </c>
      <c r="E821" s="4">
        <v>5</v>
      </c>
      <c r="F821" s="8">
        <v>1.66</v>
      </c>
      <c r="G821" s="4">
        <v>1</v>
      </c>
      <c r="H821" s="8">
        <v>0.88</v>
      </c>
      <c r="I821" s="4">
        <v>0</v>
      </c>
    </row>
    <row r="822" spans="1:9" x14ac:dyDescent="0.2">
      <c r="A822" s="2">
        <v>17</v>
      </c>
      <c r="B822" s="1" t="s">
        <v>127</v>
      </c>
      <c r="C822" s="4">
        <v>6</v>
      </c>
      <c r="D822" s="8">
        <v>1.43</v>
      </c>
      <c r="E822" s="4">
        <v>5</v>
      </c>
      <c r="F822" s="8">
        <v>1.66</v>
      </c>
      <c r="G822" s="4">
        <v>1</v>
      </c>
      <c r="H822" s="8">
        <v>0.88</v>
      </c>
      <c r="I822" s="4">
        <v>0</v>
      </c>
    </row>
    <row r="823" spans="1:9" x14ac:dyDescent="0.2">
      <c r="A823" s="2">
        <v>17</v>
      </c>
      <c r="B823" s="1" t="s">
        <v>135</v>
      </c>
      <c r="C823" s="4">
        <v>6</v>
      </c>
      <c r="D823" s="8">
        <v>1.43</v>
      </c>
      <c r="E823" s="4">
        <v>6</v>
      </c>
      <c r="F823" s="8">
        <v>1.99</v>
      </c>
      <c r="G823" s="4">
        <v>0</v>
      </c>
      <c r="H823" s="8">
        <v>0</v>
      </c>
      <c r="I823" s="4">
        <v>0</v>
      </c>
    </row>
    <row r="824" spans="1:9" x14ac:dyDescent="0.2">
      <c r="A824" s="1"/>
      <c r="C824" s="4"/>
      <c r="D824" s="8"/>
      <c r="E824" s="4"/>
      <c r="F824" s="8"/>
      <c r="G824" s="4"/>
      <c r="H824" s="8"/>
      <c r="I824" s="4"/>
    </row>
    <row r="825" spans="1:9" x14ac:dyDescent="0.2">
      <c r="A825" s="1" t="s">
        <v>36</v>
      </c>
      <c r="C825" s="4"/>
      <c r="D825" s="8"/>
      <c r="E825" s="4"/>
      <c r="F825" s="8"/>
      <c r="G825" s="4"/>
      <c r="H825" s="8"/>
      <c r="I825" s="4"/>
    </row>
    <row r="826" spans="1:9" x14ac:dyDescent="0.2">
      <c r="A826" s="2">
        <v>1</v>
      </c>
      <c r="B826" s="1" t="s">
        <v>134</v>
      </c>
      <c r="C826" s="4">
        <v>44</v>
      </c>
      <c r="D826" s="8">
        <v>7.24</v>
      </c>
      <c r="E826" s="4">
        <v>42</v>
      </c>
      <c r="F826" s="8">
        <v>13.17</v>
      </c>
      <c r="G826" s="4">
        <v>2</v>
      </c>
      <c r="H826" s="8">
        <v>0.7</v>
      </c>
      <c r="I826" s="4">
        <v>0</v>
      </c>
    </row>
    <row r="827" spans="1:9" x14ac:dyDescent="0.2">
      <c r="A827" s="2">
        <v>2</v>
      </c>
      <c r="B827" s="1" t="s">
        <v>129</v>
      </c>
      <c r="C827" s="4">
        <v>37</v>
      </c>
      <c r="D827" s="8">
        <v>6.09</v>
      </c>
      <c r="E827" s="4">
        <v>27</v>
      </c>
      <c r="F827" s="8">
        <v>8.4600000000000009</v>
      </c>
      <c r="G827" s="4">
        <v>10</v>
      </c>
      <c r="H827" s="8">
        <v>3.51</v>
      </c>
      <c r="I827" s="4">
        <v>0</v>
      </c>
    </row>
    <row r="828" spans="1:9" x14ac:dyDescent="0.2">
      <c r="A828" s="2">
        <v>3</v>
      </c>
      <c r="B828" s="1" t="s">
        <v>133</v>
      </c>
      <c r="C828" s="4">
        <v>28</v>
      </c>
      <c r="D828" s="8">
        <v>4.6100000000000003</v>
      </c>
      <c r="E828" s="4">
        <v>28</v>
      </c>
      <c r="F828" s="8">
        <v>8.7799999999999994</v>
      </c>
      <c r="G828" s="4">
        <v>0</v>
      </c>
      <c r="H828" s="8">
        <v>0</v>
      </c>
      <c r="I828" s="4">
        <v>0</v>
      </c>
    </row>
    <row r="829" spans="1:9" x14ac:dyDescent="0.2">
      <c r="A829" s="2">
        <v>4</v>
      </c>
      <c r="B829" s="1" t="s">
        <v>118</v>
      </c>
      <c r="C829" s="4">
        <v>21</v>
      </c>
      <c r="D829" s="8">
        <v>3.45</v>
      </c>
      <c r="E829" s="4">
        <v>1</v>
      </c>
      <c r="F829" s="8">
        <v>0.31</v>
      </c>
      <c r="G829" s="4">
        <v>20</v>
      </c>
      <c r="H829" s="8">
        <v>7.02</v>
      </c>
      <c r="I829" s="4">
        <v>0</v>
      </c>
    </row>
    <row r="830" spans="1:9" x14ac:dyDescent="0.2">
      <c r="A830" s="2">
        <v>5</v>
      </c>
      <c r="B830" s="1" t="s">
        <v>131</v>
      </c>
      <c r="C830" s="4">
        <v>20</v>
      </c>
      <c r="D830" s="8">
        <v>3.29</v>
      </c>
      <c r="E830" s="4">
        <v>19</v>
      </c>
      <c r="F830" s="8">
        <v>5.96</v>
      </c>
      <c r="G830" s="4">
        <v>1</v>
      </c>
      <c r="H830" s="8">
        <v>0.35</v>
      </c>
      <c r="I830" s="4">
        <v>0</v>
      </c>
    </row>
    <row r="831" spans="1:9" x14ac:dyDescent="0.2">
      <c r="A831" s="2">
        <v>6</v>
      </c>
      <c r="B831" s="1" t="s">
        <v>137</v>
      </c>
      <c r="C831" s="4">
        <v>19</v>
      </c>
      <c r="D831" s="8">
        <v>3.13</v>
      </c>
      <c r="E831" s="4">
        <v>17</v>
      </c>
      <c r="F831" s="8">
        <v>5.33</v>
      </c>
      <c r="G831" s="4">
        <v>2</v>
      </c>
      <c r="H831" s="8">
        <v>0.7</v>
      </c>
      <c r="I831" s="4">
        <v>0</v>
      </c>
    </row>
    <row r="832" spans="1:9" x14ac:dyDescent="0.2">
      <c r="A832" s="2">
        <v>7</v>
      </c>
      <c r="B832" s="1" t="s">
        <v>127</v>
      </c>
      <c r="C832" s="4">
        <v>17</v>
      </c>
      <c r="D832" s="8">
        <v>2.8</v>
      </c>
      <c r="E832" s="4">
        <v>11</v>
      </c>
      <c r="F832" s="8">
        <v>3.45</v>
      </c>
      <c r="G832" s="4">
        <v>6</v>
      </c>
      <c r="H832" s="8">
        <v>2.11</v>
      </c>
      <c r="I832" s="4">
        <v>0</v>
      </c>
    </row>
    <row r="833" spans="1:9" x14ac:dyDescent="0.2">
      <c r="A833" s="2">
        <v>8</v>
      </c>
      <c r="B833" s="1" t="s">
        <v>121</v>
      </c>
      <c r="C833" s="4">
        <v>15</v>
      </c>
      <c r="D833" s="8">
        <v>2.4700000000000002</v>
      </c>
      <c r="E833" s="4">
        <v>3</v>
      </c>
      <c r="F833" s="8">
        <v>0.94</v>
      </c>
      <c r="G833" s="4">
        <v>12</v>
      </c>
      <c r="H833" s="8">
        <v>4.21</v>
      </c>
      <c r="I833" s="4">
        <v>0</v>
      </c>
    </row>
    <row r="834" spans="1:9" x14ac:dyDescent="0.2">
      <c r="A834" s="2">
        <v>8</v>
      </c>
      <c r="B834" s="1" t="s">
        <v>123</v>
      </c>
      <c r="C834" s="4">
        <v>15</v>
      </c>
      <c r="D834" s="8">
        <v>2.4700000000000002</v>
      </c>
      <c r="E834" s="4">
        <v>8</v>
      </c>
      <c r="F834" s="8">
        <v>2.5099999999999998</v>
      </c>
      <c r="G834" s="4">
        <v>7</v>
      </c>
      <c r="H834" s="8">
        <v>2.46</v>
      </c>
      <c r="I834" s="4">
        <v>0</v>
      </c>
    </row>
    <row r="835" spans="1:9" x14ac:dyDescent="0.2">
      <c r="A835" s="2">
        <v>8</v>
      </c>
      <c r="B835" s="1" t="s">
        <v>132</v>
      </c>
      <c r="C835" s="4">
        <v>15</v>
      </c>
      <c r="D835" s="8">
        <v>2.4700000000000002</v>
      </c>
      <c r="E835" s="4">
        <v>15</v>
      </c>
      <c r="F835" s="8">
        <v>4.7</v>
      </c>
      <c r="G835" s="4">
        <v>0</v>
      </c>
      <c r="H835" s="8">
        <v>0</v>
      </c>
      <c r="I835" s="4">
        <v>0</v>
      </c>
    </row>
    <row r="836" spans="1:9" x14ac:dyDescent="0.2">
      <c r="A836" s="2">
        <v>8</v>
      </c>
      <c r="B836" s="1" t="s">
        <v>136</v>
      </c>
      <c r="C836" s="4">
        <v>15</v>
      </c>
      <c r="D836" s="8">
        <v>2.4700000000000002</v>
      </c>
      <c r="E836" s="4">
        <v>12</v>
      </c>
      <c r="F836" s="8">
        <v>3.76</v>
      </c>
      <c r="G836" s="4">
        <v>3</v>
      </c>
      <c r="H836" s="8">
        <v>1.05</v>
      </c>
      <c r="I836" s="4">
        <v>0</v>
      </c>
    </row>
    <row r="837" spans="1:9" x14ac:dyDescent="0.2">
      <c r="A837" s="2">
        <v>12</v>
      </c>
      <c r="B837" s="1" t="s">
        <v>122</v>
      </c>
      <c r="C837" s="4">
        <v>12</v>
      </c>
      <c r="D837" s="8">
        <v>1.97</v>
      </c>
      <c r="E837" s="4">
        <v>1</v>
      </c>
      <c r="F837" s="8">
        <v>0.31</v>
      </c>
      <c r="G837" s="4">
        <v>11</v>
      </c>
      <c r="H837" s="8">
        <v>3.86</v>
      </c>
      <c r="I837" s="4">
        <v>0</v>
      </c>
    </row>
    <row r="838" spans="1:9" x14ac:dyDescent="0.2">
      <c r="A838" s="2">
        <v>12</v>
      </c>
      <c r="B838" s="1" t="s">
        <v>159</v>
      </c>
      <c r="C838" s="4">
        <v>12</v>
      </c>
      <c r="D838" s="8">
        <v>1.97</v>
      </c>
      <c r="E838" s="4">
        <v>9</v>
      </c>
      <c r="F838" s="8">
        <v>2.82</v>
      </c>
      <c r="G838" s="4">
        <v>3</v>
      </c>
      <c r="H838" s="8">
        <v>1.05</v>
      </c>
      <c r="I838" s="4">
        <v>0</v>
      </c>
    </row>
    <row r="839" spans="1:9" x14ac:dyDescent="0.2">
      <c r="A839" s="2">
        <v>14</v>
      </c>
      <c r="B839" s="1" t="s">
        <v>135</v>
      </c>
      <c r="C839" s="4">
        <v>11</v>
      </c>
      <c r="D839" s="8">
        <v>1.81</v>
      </c>
      <c r="E839" s="4">
        <v>6</v>
      </c>
      <c r="F839" s="8">
        <v>1.88</v>
      </c>
      <c r="G839" s="4">
        <v>5</v>
      </c>
      <c r="H839" s="8">
        <v>1.75</v>
      </c>
      <c r="I839" s="4">
        <v>0</v>
      </c>
    </row>
    <row r="840" spans="1:9" x14ac:dyDescent="0.2">
      <c r="A840" s="2">
        <v>15</v>
      </c>
      <c r="B840" s="1" t="s">
        <v>141</v>
      </c>
      <c r="C840" s="4">
        <v>10</v>
      </c>
      <c r="D840" s="8">
        <v>1.64</v>
      </c>
      <c r="E840" s="4">
        <v>7</v>
      </c>
      <c r="F840" s="8">
        <v>2.19</v>
      </c>
      <c r="G840" s="4">
        <v>3</v>
      </c>
      <c r="H840" s="8">
        <v>1.05</v>
      </c>
      <c r="I840" s="4">
        <v>0</v>
      </c>
    </row>
    <row r="841" spans="1:9" x14ac:dyDescent="0.2">
      <c r="A841" s="2">
        <v>16</v>
      </c>
      <c r="B841" s="1" t="s">
        <v>120</v>
      </c>
      <c r="C841" s="4">
        <v>8</v>
      </c>
      <c r="D841" s="8">
        <v>1.32</v>
      </c>
      <c r="E841" s="4">
        <v>4</v>
      </c>
      <c r="F841" s="8">
        <v>1.25</v>
      </c>
      <c r="G841" s="4">
        <v>4</v>
      </c>
      <c r="H841" s="8">
        <v>1.4</v>
      </c>
      <c r="I841" s="4">
        <v>0</v>
      </c>
    </row>
    <row r="842" spans="1:9" x14ac:dyDescent="0.2">
      <c r="A842" s="2">
        <v>16</v>
      </c>
      <c r="B842" s="1" t="s">
        <v>124</v>
      </c>
      <c r="C842" s="4">
        <v>8</v>
      </c>
      <c r="D842" s="8">
        <v>1.32</v>
      </c>
      <c r="E842" s="4">
        <v>5</v>
      </c>
      <c r="F842" s="8">
        <v>1.57</v>
      </c>
      <c r="G842" s="4">
        <v>3</v>
      </c>
      <c r="H842" s="8">
        <v>1.05</v>
      </c>
      <c r="I842" s="4">
        <v>0</v>
      </c>
    </row>
    <row r="843" spans="1:9" x14ac:dyDescent="0.2">
      <c r="A843" s="2">
        <v>16</v>
      </c>
      <c r="B843" s="1" t="s">
        <v>125</v>
      </c>
      <c r="C843" s="4">
        <v>8</v>
      </c>
      <c r="D843" s="8">
        <v>1.32</v>
      </c>
      <c r="E843" s="4">
        <v>2</v>
      </c>
      <c r="F843" s="8">
        <v>0.63</v>
      </c>
      <c r="G843" s="4">
        <v>6</v>
      </c>
      <c r="H843" s="8">
        <v>2.11</v>
      </c>
      <c r="I843" s="4">
        <v>0</v>
      </c>
    </row>
    <row r="844" spans="1:9" x14ac:dyDescent="0.2">
      <c r="A844" s="2">
        <v>19</v>
      </c>
      <c r="B844" s="1" t="s">
        <v>140</v>
      </c>
      <c r="C844" s="4">
        <v>7</v>
      </c>
      <c r="D844" s="8">
        <v>1.1499999999999999</v>
      </c>
      <c r="E844" s="4">
        <v>4</v>
      </c>
      <c r="F844" s="8">
        <v>1.25</v>
      </c>
      <c r="G844" s="4">
        <v>3</v>
      </c>
      <c r="H844" s="8">
        <v>1.05</v>
      </c>
      <c r="I844" s="4">
        <v>0</v>
      </c>
    </row>
    <row r="845" spans="1:9" x14ac:dyDescent="0.2">
      <c r="A845" s="2">
        <v>20</v>
      </c>
      <c r="B845" s="1" t="s">
        <v>144</v>
      </c>
      <c r="C845" s="4">
        <v>6</v>
      </c>
      <c r="D845" s="8">
        <v>0.99</v>
      </c>
      <c r="E845" s="4">
        <v>3</v>
      </c>
      <c r="F845" s="8">
        <v>0.94</v>
      </c>
      <c r="G845" s="4">
        <v>3</v>
      </c>
      <c r="H845" s="8">
        <v>1.05</v>
      </c>
      <c r="I845" s="4">
        <v>0</v>
      </c>
    </row>
    <row r="846" spans="1:9" x14ac:dyDescent="0.2">
      <c r="A846" s="2">
        <v>20</v>
      </c>
      <c r="B846" s="1" t="s">
        <v>146</v>
      </c>
      <c r="C846" s="4">
        <v>6</v>
      </c>
      <c r="D846" s="8">
        <v>0.99</v>
      </c>
      <c r="E846" s="4">
        <v>1</v>
      </c>
      <c r="F846" s="8">
        <v>0.31</v>
      </c>
      <c r="G846" s="4">
        <v>5</v>
      </c>
      <c r="H846" s="8">
        <v>1.75</v>
      </c>
      <c r="I846" s="4">
        <v>0</v>
      </c>
    </row>
    <row r="847" spans="1:9" x14ac:dyDescent="0.2">
      <c r="A847" s="2">
        <v>20</v>
      </c>
      <c r="B847" s="1" t="s">
        <v>176</v>
      </c>
      <c r="C847" s="4">
        <v>6</v>
      </c>
      <c r="D847" s="8">
        <v>0.99</v>
      </c>
      <c r="E847" s="4">
        <v>0</v>
      </c>
      <c r="F847" s="8">
        <v>0</v>
      </c>
      <c r="G847" s="4">
        <v>6</v>
      </c>
      <c r="H847" s="8">
        <v>2.11</v>
      </c>
      <c r="I847" s="4">
        <v>0</v>
      </c>
    </row>
    <row r="848" spans="1:9" x14ac:dyDescent="0.2">
      <c r="A848" s="2">
        <v>20</v>
      </c>
      <c r="B848" s="1" t="s">
        <v>181</v>
      </c>
      <c r="C848" s="4">
        <v>6</v>
      </c>
      <c r="D848" s="8">
        <v>0.99</v>
      </c>
      <c r="E848" s="4">
        <v>0</v>
      </c>
      <c r="F848" s="8">
        <v>0</v>
      </c>
      <c r="G848" s="4">
        <v>6</v>
      </c>
      <c r="H848" s="8">
        <v>2.11</v>
      </c>
      <c r="I848" s="4">
        <v>0</v>
      </c>
    </row>
    <row r="849" spans="1:9" x14ac:dyDescent="0.2">
      <c r="A849" s="2">
        <v>20</v>
      </c>
      <c r="B849" s="1" t="s">
        <v>147</v>
      </c>
      <c r="C849" s="4">
        <v>6</v>
      </c>
      <c r="D849" s="8">
        <v>0.99</v>
      </c>
      <c r="E849" s="4">
        <v>4</v>
      </c>
      <c r="F849" s="8">
        <v>1.25</v>
      </c>
      <c r="G849" s="4">
        <v>2</v>
      </c>
      <c r="H849" s="8">
        <v>0.7</v>
      </c>
      <c r="I849" s="4">
        <v>0</v>
      </c>
    </row>
    <row r="850" spans="1:9" x14ac:dyDescent="0.2">
      <c r="A850" s="1"/>
      <c r="C850" s="4"/>
      <c r="D850" s="8"/>
      <c r="E850" s="4"/>
      <c r="F850" s="8"/>
      <c r="G850" s="4"/>
      <c r="H850" s="8"/>
      <c r="I850" s="4"/>
    </row>
    <row r="851" spans="1:9" x14ac:dyDescent="0.2">
      <c r="A851" s="1" t="s">
        <v>37</v>
      </c>
      <c r="C851" s="4"/>
      <c r="D851" s="8"/>
      <c r="E851" s="4"/>
      <c r="F851" s="8"/>
      <c r="G851" s="4"/>
      <c r="H851" s="8"/>
      <c r="I851" s="4"/>
    </row>
    <row r="852" spans="1:9" x14ac:dyDescent="0.2">
      <c r="A852" s="2">
        <v>1</v>
      </c>
      <c r="B852" s="1" t="s">
        <v>134</v>
      </c>
      <c r="C852" s="4">
        <v>34</v>
      </c>
      <c r="D852" s="8">
        <v>5.54</v>
      </c>
      <c r="E852" s="4">
        <v>34</v>
      </c>
      <c r="F852" s="8">
        <v>7.67</v>
      </c>
      <c r="G852" s="4">
        <v>0</v>
      </c>
      <c r="H852" s="8">
        <v>0</v>
      </c>
      <c r="I852" s="4">
        <v>0</v>
      </c>
    </row>
    <row r="853" spans="1:9" x14ac:dyDescent="0.2">
      <c r="A853" s="2">
        <v>2</v>
      </c>
      <c r="B853" s="1" t="s">
        <v>123</v>
      </c>
      <c r="C853" s="4">
        <v>32</v>
      </c>
      <c r="D853" s="8">
        <v>5.21</v>
      </c>
      <c r="E853" s="4">
        <v>28</v>
      </c>
      <c r="F853" s="8">
        <v>6.32</v>
      </c>
      <c r="G853" s="4">
        <v>4</v>
      </c>
      <c r="H853" s="8">
        <v>2.5299999999999998</v>
      </c>
      <c r="I853" s="4">
        <v>0</v>
      </c>
    </row>
    <row r="854" spans="1:9" x14ac:dyDescent="0.2">
      <c r="A854" s="2">
        <v>3</v>
      </c>
      <c r="B854" s="1" t="s">
        <v>120</v>
      </c>
      <c r="C854" s="4">
        <v>28</v>
      </c>
      <c r="D854" s="8">
        <v>4.5599999999999996</v>
      </c>
      <c r="E854" s="4">
        <v>27</v>
      </c>
      <c r="F854" s="8">
        <v>6.09</v>
      </c>
      <c r="G854" s="4">
        <v>1</v>
      </c>
      <c r="H854" s="8">
        <v>0.63</v>
      </c>
      <c r="I854" s="4">
        <v>0</v>
      </c>
    </row>
    <row r="855" spans="1:9" x14ac:dyDescent="0.2">
      <c r="A855" s="2">
        <v>4</v>
      </c>
      <c r="B855" s="1" t="s">
        <v>133</v>
      </c>
      <c r="C855" s="4">
        <v>23</v>
      </c>
      <c r="D855" s="8">
        <v>3.75</v>
      </c>
      <c r="E855" s="4">
        <v>20</v>
      </c>
      <c r="F855" s="8">
        <v>4.51</v>
      </c>
      <c r="G855" s="4">
        <v>3</v>
      </c>
      <c r="H855" s="8">
        <v>1.9</v>
      </c>
      <c r="I855" s="4">
        <v>0</v>
      </c>
    </row>
    <row r="856" spans="1:9" x14ac:dyDescent="0.2">
      <c r="A856" s="2">
        <v>5</v>
      </c>
      <c r="B856" s="1" t="s">
        <v>131</v>
      </c>
      <c r="C856" s="4">
        <v>21</v>
      </c>
      <c r="D856" s="8">
        <v>3.42</v>
      </c>
      <c r="E856" s="4">
        <v>17</v>
      </c>
      <c r="F856" s="8">
        <v>3.84</v>
      </c>
      <c r="G856" s="4">
        <v>4</v>
      </c>
      <c r="H856" s="8">
        <v>2.5299999999999998</v>
      </c>
      <c r="I856" s="4">
        <v>0</v>
      </c>
    </row>
    <row r="857" spans="1:9" x14ac:dyDescent="0.2">
      <c r="A857" s="2">
        <v>6</v>
      </c>
      <c r="B857" s="1" t="s">
        <v>127</v>
      </c>
      <c r="C857" s="4">
        <v>18</v>
      </c>
      <c r="D857" s="8">
        <v>2.93</v>
      </c>
      <c r="E857" s="4">
        <v>15</v>
      </c>
      <c r="F857" s="8">
        <v>3.39</v>
      </c>
      <c r="G857" s="4">
        <v>3</v>
      </c>
      <c r="H857" s="8">
        <v>1.9</v>
      </c>
      <c r="I857" s="4">
        <v>0</v>
      </c>
    </row>
    <row r="858" spans="1:9" x14ac:dyDescent="0.2">
      <c r="A858" s="2">
        <v>7</v>
      </c>
      <c r="B858" s="1" t="s">
        <v>118</v>
      </c>
      <c r="C858" s="4">
        <v>17</v>
      </c>
      <c r="D858" s="8">
        <v>2.77</v>
      </c>
      <c r="E858" s="4">
        <v>1</v>
      </c>
      <c r="F858" s="8">
        <v>0.23</v>
      </c>
      <c r="G858" s="4">
        <v>16</v>
      </c>
      <c r="H858" s="8">
        <v>10.130000000000001</v>
      </c>
      <c r="I858" s="4">
        <v>0</v>
      </c>
    </row>
    <row r="859" spans="1:9" x14ac:dyDescent="0.2">
      <c r="A859" s="2">
        <v>7</v>
      </c>
      <c r="B859" s="1" t="s">
        <v>157</v>
      </c>
      <c r="C859" s="4">
        <v>17</v>
      </c>
      <c r="D859" s="8">
        <v>2.77</v>
      </c>
      <c r="E859" s="4">
        <v>15</v>
      </c>
      <c r="F859" s="8">
        <v>3.39</v>
      </c>
      <c r="G859" s="4">
        <v>2</v>
      </c>
      <c r="H859" s="8">
        <v>1.27</v>
      </c>
      <c r="I859" s="4">
        <v>0</v>
      </c>
    </row>
    <row r="860" spans="1:9" x14ac:dyDescent="0.2">
      <c r="A860" s="2">
        <v>7</v>
      </c>
      <c r="B860" s="1" t="s">
        <v>126</v>
      </c>
      <c r="C860" s="4">
        <v>17</v>
      </c>
      <c r="D860" s="8">
        <v>2.77</v>
      </c>
      <c r="E860" s="4">
        <v>6</v>
      </c>
      <c r="F860" s="8">
        <v>1.35</v>
      </c>
      <c r="G860" s="4">
        <v>11</v>
      </c>
      <c r="H860" s="8">
        <v>6.96</v>
      </c>
      <c r="I860" s="4">
        <v>0</v>
      </c>
    </row>
    <row r="861" spans="1:9" x14ac:dyDescent="0.2">
      <c r="A861" s="2">
        <v>10</v>
      </c>
      <c r="B861" s="1" t="s">
        <v>152</v>
      </c>
      <c r="C861" s="4">
        <v>16</v>
      </c>
      <c r="D861" s="8">
        <v>2.61</v>
      </c>
      <c r="E861" s="4">
        <v>15</v>
      </c>
      <c r="F861" s="8">
        <v>3.39</v>
      </c>
      <c r="G861" s="4">
        <v>1</v>
      </c>
      <c r="H861" s="8">
        <v>0.63</v>
      </c>
      <c r="I861" s="4">
        <v>0</v>
      </c>
    </row>
    <row r="862" spans="1:9" x14ac:dyDescent="0.2">
      <c r="A862" s="2">
        <v>11</v>
      </c>
      <c r="B862" s="1" t="s">
        <v>119</v>
      </c>
      <c r="C862" s="4">
        <v>15</v>
      </c>
      <c r="D862" s="8">
        <v>2.44</v>
      </c>
      <c r="E862" s="4">
        <v>11</v>
      </c>
      <c r="F862" s="8">
        <v>2.48</v>
      </c>
      <c r="G862" s="4">
        <v>4</v>
      </c>
      <c r="H862" s="8">
        <v>2.5299999999999998</v>
      </c>
      <c r="I862" s="4">
        <v>0</v>
      </c>
    </row>
    <row r="863" spans="1:9" x14ac:dyDescent="0.2">
      <c r="A863" s="2">
        <v>12</v>
      </c>
      <c r="B863" s="1" t="s">
        <v>137</v>
      </c>
      <c r="C863" s="4">
        <v>14</v>
      </c>
      <c r="D863" s="8">
        <v>2.2799999999999998</v>
      </c>
      <c r="E863" s="4">
        <v>14</v>
      </c>
      <c r="F863" s="8">
        <v>3.16</v>
      </c>
      <c r="G863" s="4">
        <v>0</v>
      </c>
      <c r="H863" s="8">
        <v>0</v>
      </c>
      <c r="I863" s="4">
        <v>0</v>
      </c>
    </row>
    <row r="864" spans="1:9" x14ac:dyDescent="0.2">
      <c r="A864" s="2">
        <v>13</v>
      </c>
      <c r="B864" s="1" t="s">
        <v>124</v>
      </c>
      <c r="C864" s="4">
        <v>13</v>
      </c>
      <c r="D864" s="8">
        <v>2.12</v>
      </c>
      <c r="E864" s="4">
        <v>10</v>
      </c>
      <c r="F864" s="8">
        <v>2.2599999999999998</v>
      </c>
      <c r="G864" s="4">
        <v>3</v>
      </c>
      <c r="H864" s="8">
        <v>1.9</v>
      </c>
      <c r="I864" s="4">
        <v>0</v>
      </c>
    </row>
    <row r="865" spans="1:9" x14ac:dyDescent="0.2">
      <c r="A865" s="2">
        <v>14</v>
      </c>
      <c r="B865" s="1" t="s">
        <v>129</v>
      </c>
      <c r="C865" s="4">
        <v>11</v>
      </c>
      <c r="D865" s="8">
        <v>1.79</v>
      </c>
      <c r="E865" s="4">
        <v>10</v>
      </c>
      <c r="F865" s="8">
        <v>2.2599999999999998</v>
      </c>
      <c r="G865" s="4">
        <v>1</v>
      </c>
      <c r="H865" s="8">
        <v>0.63</v>
      </c>
      <c r="I865" s="4">
        <v>0</v>
      </c>
    </row>
    <row r="866" spans="1:9" x14ac:dyDescent="0.2">
      <c r="A866" s="2">
        <v>15</v>
      </c>
      <c r="B866" s="1" t="s">
        <v>182</v>
      </c>
      <c r="C866" s="4">
        <v>10</v>
      </c>
      <c r="D866" s="8">
        <v>1.63</v>
      </c>
      <c r="E866" s="4">
        <v>7</v>
      </c>
      <c r="F866" s="8">
        <v>1.58</v>
      </c>
      <c r="G866" s="4">
        <v>3</v>
      </c>
      <c r="H866" s="8">
        <v>1.9</v>
      </c>
      <c r="I866" s="4">
        <v>0</v>
      </c>
    </row>
    <row r="867" spans="1:9" x14ac:dyDescent="0.2">
      <c r="A867" s="2">
        <v>16</v>
      </c>
      <c r="B867" s="1" t="s">
        <v>167</v>
      </c>
      <c r="C867" s="4">
        <v>9</v>
      </c>
      <c r="D867" s="8">
        <v>1.47</v>
      </c>
      <c r="E867" s="4">
        <v>8</v>
      </c>
      <c r="F867" s="8">
        <v>1.81</v>
      </c>
      <c r="G867" s="4">
        <v>1</v>
      </c>
      <c r="H867" s="8">
        <v>0.63</v>
      </c>
      <c r="I867" s="4">
        <v>0</v>
      </c>
    </row>
    <row r="868" spans="1:9" x14ac:dyDescent="0.2">
      <c r="A868" s="2">
        <v>16</v>
      </c>
      <c r="B868" s="1" t="s">
        <v>121</v>
      </c>
      <c r="C868" s="4">
        <v>9</v>
      </c>
      <c r="D868" s="8">
        <v>1.47</v>
      </c>
      <c r="E868" s="4">
        <v>4</v>
      </c>
      <c r="F868" s="8">
        <v>0.9</v>
      </c>
      <c r="G868" s="4">
        <v>5</v>
      </c>
      <c r="H868" s="8">
        <v>3.16</v>
      </c>
      <c r="I868" s="4">
        <v>0</v>
      </c>
    </row>
    <row r="869" spans="1:9" x14ac:dyDescent="0.2">
      <c r="A869" s="2">
        <v>16</v>
      </c>
      <c r="B869" s="1" t="s">
        <v>147</v>
      </c>
      <c r="C869" s="4">
        <v>9</v>
      </c>
      <c r="D869" s="8">
        <v>1.47</v>
      </c>
      <c r="E869" s="4">
        <v>5</v>
      </c>
      <c r="F869" s="8">
        <v>1.1299999999999999</v>
      </c>
      <c r="G869" s="4">
        <v>4</v>
      </c>
      <c r="H869" s="8">
        <v>2.5299999999999998</v>
      </c>
      <c r="I869" s="4">
        <v>0</v>
      </c>
    </row>
    <row r="870" spans="1:9" x14ac:dyDescent="0.2">
      <c r="A870" s="2">
        <v>19</v>
      </c>
      <c r="B870" s="1" t="s">
        <v>159</v>
      </c>
      <c r="C870" s="4">
        <v>8</v>
      </c>
      <c r="D870" s="8">
        <v>1.3</v>
      </c>
      <c r="E870" s="4">
        <v>7</v>
      </c>
      <c r="F870" s="8">
        <v>1.58</v>
      </c>
      <c r="G870" s="4">
        <v>1</v>
      </c>
      <c r="H870" s="8">
        <v>0.63</v>
      </c>
      <c r="I870" s="4">
        <v>0</v>
      </c>
    </row>
    <row r="871" spans="1:9" x14ac:dyDescent="0.2">
      <c r="A871" s="2">
        <v>19</v>
      </c>
      <c r="B871" s="1" t="s">
        <v>156</v>
      </c>
      <c r="C871" s="4">
        <v>8</v>
      </c>
      <c r="D871" s="8">
        <v>1.3</v>
      </c>
      <c r="E871" s="4">
        <v>0</v>
      </c>
      <c r="F871" s="8">
        <v>0</v>
      </c>
      <c r="G871" s="4">
        <v>0</v>
      </c>
      <c r="H871" s="8">
        <v>0</v>
      </c>
      <c r="I871" s="4">
        <v>0</v>
      </c>
    </row>
    <row r="872" spans="1:9" x14ac:dyDescent="0.2">
      <c r="A872" s="1"/>
      <c r="C872" s="4"/>
      <c r="D872" s="8"/>
      <c r="E872" s="4"/>
      <c r="F872" s="8"/>
      <c r="G872" s="4"/>
      <c r="H872" s="8"/>
      <c r="I872" s="4"/>
    </row>
    <row r="873" spans="1:9" x14ac:dyDescent="0.2">
      <c r="A873" s="1" t="s">
        <v>38</v>
      </c>
      <c r="C873" s="4"/>
      <c r="D873" s="8"/>
      <c r="E873" s="4"/>
      <c r="F873" s="8"/>
      <c r="G873" s="4"/>
      <c r="H873" s="8"/>
      <c r="I873" s="4"/>
    </row>
    <row r="874" spans="1:9" x14ac:dyDescent="0.2">
      <c r="A874" s="2">
        <v>1</v>
      </c>
      <c r="B874" s="1" t="s">
        <v>132</v>
      </c>
      <c r="C874" s="4">
        <v>12</v>
      </c>
      <c r="D874" s="8">
        <v>3.92</v>
      </c>
      <c r="E874" s="4">
        <v>12</v>
      </c>
      <c r="F874" s="8">
        <v>7.89</v>
      </c>
      <c r="G874" s="4">
        <v>0</v>
      </c>
      <c r="H874" s="8">
        <v>0</v>
      </c>
      <c r="I874" s="4">
        <v>0</v>
      </c>
    </row>
    <row r="875" spans="1:9" x14ac:dyDescent="0.2">
      <c r="A875" s="2">
        <v>2</v>
      </c>
      <c r="B875" s="1" t="s">
        <v>123</v>
      </c>
      <c r="C875" s="4">
        <v>11</v>
      </c>
      <c r="D875" s="8">
        <v>3.59</v>
      </c>
      <c r="E875" s="4">
        <v>9</v>
      </c>
      <c r="F875" s="8">
        <v>5.92</v>
      </c>
      <c r="G875" s="4">
        <v>2</v>
      </c>
      <c r="H875" s="8">
        <v>1.35</v>
      </c>
      <c r="I875" s="4">
        <v>0</v>
      </c>
    </row>
    <row r="876" spans="1:9" x14ac:dyDescent="0.2">
      <c r="A876" s="2">
        <v>2</v>
      </c>
      <c r="B876" s="1" t="s">
        <v>124</v>
      </c>
      <c r="C876" s="4">
        <v>11</v>
      </c>
      <c r="D876" s="8">
        <v>3.59</v>
      </c>
      <c r="E876" s="4">
        <v>7</v>
      </c>
      <c r="F876" s="8">
        <v>4.6100000000000003</v>
      </c>
      <c r="G876" s="4">
        <v>4</v>
      </c>
      <c r="H876" s="8">
        <v>2.7</v>
      </c>
      <c r="I876" s="4">
        <v>0</v>
      </c>
    </row>
    <row r="877" spans="1:9" x14ac:dyDescent="0.2">
      <c r="A877" s="2">
        <v>4</v>
      </c>
      <c r="B877" s="1" t="s">
        <v>118</v>
      </c>
      <c r="C877" s="4">
        <v>10</v>
      </c>
      <c r="D877" s="8">
        <v>3.27</v>
      </c>
      <c r="E877" s="4">
        <v>0</v>
      </c>
      <c r="F877" s="8">
        <v>0</v>
      </c>
      <c r="G877" s="4">
        <v>10</v>
      </c>
      <c r="H877" s="8">
        <v>6.76</v>
      </c>
      <c r="I877" s="4">
        <v>0</v>
      </c>
    </row>
    <row r="878" spans="1:9" x14ac:dyDescent="0.2">
      <c r="A878" s="2">
        <v>5</v>
      </c>
      <c r="B878" s="1" t="s">
        <v>120</v>
      </c>
      <c r="C878" s="4">
        <v>9</v>
      </c>
      <c r="D878" s="8">
        <v>2.94</v>
      </c>
      <c r="E878" s="4">
        <v>6</v>
      </c>
      <c r="F878" s="8">
        <v>3.95</v>
      </c>
      <c r="G878" s="4">
        <v>3</v>
      </c>
      <c r="H878" s="8">
        <v>2.0299999999999998</v>
      </c>
      <c r="I878" s="4">
        <v>0</v>
      </c>
    </row>
    <row r="879" spans="1:9" x14ac:dyDescent="0.2">
      <c r="A879" s="2">
        <v>5</v>
      </c>
      <c r="B879" s="1" t="s">
        <v>131</v>
      </c>
      <c r="C879" s="4">
        <v>9</v>
      </c>
      <c r="D879" s="8">
        <v>2.94</v>
      </c>
      <c r="E879" s="4">
        <v>7</v>
      </c>
      <c r="F879" s="8">
        <v>4.6100000000000003</v>
      </c>
      <c r="G879" s="4">
        <v>2</v>
      </c>
      <c r="H879" s="8">
        <v>1.35</v>
      </c>
      <c r="I879" s="4">
        <v>0</v>
      </c>
    </row>
    <row r="880" spans="1:9" x14ac:dyDescent="0.2">
      <c r="A880" s="2">
        <v>7</v>
      </c>
      <c r="B880" s="1" t="s">
        <v>121</v>
      </c>
      <c r="C880" s="4">
        <v>8</v>
      </c>
      <c r="D880" s="8">
        <v>2.61</v>
      </c>
      <c r="E880" s="4">
        <v>2</v>
      </c>
      <c r="F880" s="8">
        <v>1.32</v>
      </c>
      <c r="G880" s="4">
        <v>6</v>
      </c>
      <c r="H880" s="8">
        <v>4.05</v>
      </c>
      <c r="I880" s="4">
        <v>0</v>
      </c>
    </row>
    <row r="881" spans="1:9" x14ac:dyDescent="0.2">
      <c r="A881" s="2">
        <v>7</v>
      </c>
      <c r="B881" s="1" t="s">
        <v>133</v>
      </c>
      <c r="C881" s="4">
        <v>8</v>
      </c>
      <c r="D881" s="8">
        <v>2.61</v>
      </c>
      <c r="E881" s="4">
        <v>8</v>
      </c>
      <c r="F881" s="8">
        <v>5.26</v>
      </c>
      <c r="G881" s="4">
        <v>0</v>
      </c>
      <c r="H881" s="8">
        <v>0</v>
      </c>
      <c r="I881" s="4">
        <v>0</v>
      </c>
    </row>
    <row r="882" spans="1:9" x14ac:dyDescent="0.2">
      <c r="A882" s="2">
        <v>7</v>
      </c>
      <c r="B882" s="1" t="s">
        <v>134</v>
      </c>
      <c r="C882" s="4">
        <v>8</v>
      </c>
      <c r="D882" s="8">
        <v>2.61</v>
      </c>
      <c r="E882" s="4">
        <v>8</v>
      </c>
      <c r="F882" s="8">
        <v>5.26</v>
      </c>
      <c r="G882" s="4">
        <v>0</v>
      </c>
      <c r="H882" s="8">
        <v>0</v>
      </c>
      <c r="I882" s="4">
        <v>0</v>
      </c>
    </row>
    <row r="883" spans="1:9" x14ac:dyDescent="0.2">
      <c r="A883" s="2">
        <v>7</v>
      </c>
      <c r="B883" s="1" t="s">
        <v>137</v>
      </c>
      <c r="C883" s="4">
        <v>8</v>
      </c>
      <c r="D883" s="8">
        <v>2.61</v>
      </c>
      <c r="E883" s="4">
        <v>8</v>
      </c>
      <c r="F883" s="8">
        <v>5.26</v>
      </c>
      <c r="G883" s="4">
        <v>0</v>
      </c>
      <c r="H883" s="8">
        <v>0</v>
      </c>
      <c r="I883" s="4">
        <v>0</v>
      </c>
    </row>
    <row r="884" spans="1:9" x14ac:dyDescent="0.2">
      <c r="A884" s="2">
        <v>7</v>
      </c>
      <c r="B884" s="1" t="s">
        <v>187</v>
      </c>
      <c r="C884" s="4">
        <v>8</v>
      </c>
      <c r="D884" s="8">
        <v>2.61</v>
      </c>
      <c r="E884" s="4">
        <v>0</v>
      </c>
      <c r="F884" s="8">
        <v>0</v>
      </c>
      <c r="G884" s="4">
        <v>8</v>
      </c>
      <c r="H884" s="8">
        <v>5.41</v>
      </c>
      <c r="I884" s="4">
        <v>0</v>
      </c>
    </row>
    <row r="885" spans="1:9" x14ac:dyDescent="0.2">
      <c r="A885" s="2">
        <v>12</v>
      </c>
      <c r="B885" s="1" t="s">
        <v>122</v>
      </c>
      <c r="C885" s="4">
        <v>6</v>
      </c>
      <c r="D885" s="8">
        <v>1.96</v>
      </c>
      <c r="E885" s="4">
        <v>2</v>
      </c>
      <c r="F885" s="8">
        <v>1.32</v>
      </c>
      <c r="G885" s="4">
        <v>4</v>
      </c>
      <c r="H885" s="8">
        <v>2.7</v>
      </c>
      <c r="I885" s="4">
        <v>0</v>
      </c>
    </row>
    <row r="886" spans="1:9" x14ac:dyDescent="0.2">
      <c r="A886" s="2">
        <v>12</v>
      </c>
      <c r="B886" s="1" t="s">
        <v>174</v>
      </c>
      <c r="C886" s="4">
        <v>6</v>
      </c>
      <c r="D886" s="8">
        <v>1.96</v>
      </c>
      <c r="E886" s="4">
        <v>2</v>
      </c>
      <c r="F886" s="8">
        <v>1.32</v>
      </c>
      <c r="G886" s="4">
        <v>4</v>
      </c>
      <c r="H886" s="8">
        <v>2.7</v>
      </c>
      <c r="I886" s="4">
        <v>0</v>
      </c>
    </row>
    <row r="887" spans="1:9" x14ac:dyDescent="0.2">
      <c r="A887" s="2">
        <v>12</v>
      </c>
      <c r="B887" s="1" t="s">
        <v>129</v>
      </c>
      <c r="C887" s="4">
        <v>6</v>
      </c>
      <c r="D887" s="8">
        <v>1.96</v>
      </c>
      <c r="E887" s="4">
        <v>1</v>
      </c>
      <c r="F887" s="8">
        <v>0.66</v>
      </c>
      <c r="G887" s="4">
        <v>5</v>
      </c>
      <c r="H887" s="8">
        <v>3.38</v>
      </c>
      <c r="I887" s="4">
        <v>0</v>
      </c>
    </row>
    <row r="888" spans="1:9" x14ac:dyDescent="0.2">
      <c r="A888" s="2">
        <v>12</v>
      </c>
      <c r="B888" s="1" t="s">
        <v>138</v>
      </c>
      <c r="C888" s="4">
        <v>6</v>
      </c>
      <c r="D888" s="8">
        <v>1.96</v>
      </c>
      <c r="E888" s="4">
        <v>6</v>
      </c>
      <c r="F888" s="8">
        <v>3.95</v>
      </c>
      <c r="G888" s="4">
        <v>0</v>
      </c>
      <c r="H888" s="8">
        <v>0</v>
      </c>
      <c r="I888" s="4">
        <v>0</v>
      </c>
    </row>
    <row r="889" spans="1:9" x14ac:dyDescent="0.2">
      <c r="A889" s="2">
        <v>16</v>
      </c>
      <c r="B889" s="1" t="s">
        <v>183</v>
      </c>
      <c r="C889" s="4">
        <v>5</v>
      </c>
      <c r="D889" s="8">
        <v>1.63</v>
      </c>
      <c r="E889" s="4">
        <v>3</v>
      </c>
      <c r="F889" s="8">
        <v>1.97</v>
      </c>
      <c r="G889" s="4">
        <v>2</v>
      </c>
      <c r="H889" s="8">
        <v>1.35</v>
      </c>
      <c r="I889" s="4">
        <v>0</v>
      </c>
    </row>
    <row r="890" spans="1:9" x14ac:dyDescent="0.2">
      <c r="A890" s="2">
        <v>16</v>
      </c>
      <c r="B890" s="1" t="s">
        <v>126</v>
      </c>
      <c r="C890" s="4">
        <v>5</v>
      </c>
      <c r="D890" s="8">
        <v>1.63</v>
      </c>
      <c r="E890" s="4">
        <v>4</v>
      </c>
      <c r="F890" s="8">
        <v>2.63</v>
      </c>
      <c r="G890" s="4">
        <v>1</v>
      </c>
      <c r="H890" s="8">
        <v>0.68</v>
      </c>
      <c r="I890" s="4">
        <v>0</v>
      </c>
    </row>
    <row r="891" spans="1:9" x14ac:dyDescent="0.2">
      <c r="A891" s="2">
        <v>16</v>
      </c>
      <c r="B891" s="1" t="s">
        <v>184</v>
      </c>
      <c r="C891" s="4">
        <v>5</v>
      </c>
      <c r="D891" s="8">
        <v>1.63</v>
      </c>
      <c r="E891" s="4">
        <v>1</v>
      </c>
      <c r="F891" s="8">
        <v>0.66</v>
      </c>
      <c r="G891" s="4">
        <v>4</v>
      </c>
      <c r="H891" s="8">
        <v>2.7</v>
      </c>
      <c r="I891" s="4">
        <v>0</v>
      </c>
    </row>
    <row r="892" spans="1:9" x14ac:dyDescent="0.2">
      <c r="A892" s="2">
        <v>16</v>
      </c>
      <c r="B892" s="1" t="s">
        <v>136</v>
      </c>
      <c r="C892" s="4">
        <v>5</v>
      </c>
      <c r="D892" s="8">
        <v>1.63</v>
      </c>
      <c r="E892" s="4">
        <v>3</v>
      </c>
      <c r="F892" s="8">
        <v>1.97</v>
      </c>
      <c r="G892" s="4">
        <v>2</v>
      </c>
      <c r="H892" s="8">
        <v>1.35</v>
      </c>
      <c r="I892" s="4">
        <v>0</v>
      </c>
    </row>
    <row r="893" spans="1:9" x14ac:dyDescent="0.2">
      <c r="A893" s="2">
        <v>20</v>
      </c>
      <c r="B893" s="1" t="s">
        <v>119</v>
      </c>
      <c r="C893" s="4">
        <v>4</v>
      </c>
      <c r="D893" s="8">
        <v>1.31</v>
      </c>
      <c r="E893" s="4">
        <v>1</v>
      </c>
      <c r="F893" s="8">
        <v>0.66</v>
      </c>
      <c r="G893" s="4">
        <v>3</v>
      </c>
      <c r="H893" s="8">
        <v>2.0299999999999998</v>
      </c>
      <c r="I893" s="4">
        <v>0</v>
      </c>
    </row>
    <row r="894" spans="1:9" x14ac:dyDescent="0.2">
      <c r="A894" s="2">
        <v>20</v>
      </c>
      <c r="B894" s="1" t="s">
        <v>151</v>
      </c>
      <c r="C894" s="4">
        <v>4</v>
      </c>
      <c r="D894" s="8">
        <v>1.31</v>
      </c>
      <c r="E894" s="4">
        <v>1</v>
      </c>
      <c r="F894" s="8">
        <v>0.66</v>
      </c>
      <c r="G894" s="4">
        <v>3</v>
      </c>
      <c r="H894" s="8">
        <v>2.0299999999999998</v>
      </c>
      <c r="I894" s="4">
        <v>0</v>
      </c>
    </row>
    <row r="895" spans="1:9" x14ac:dyDescent="0.2">
      <c r="A895" s="2">
        <v>20</v>
      </c>
      <c r="B895" s="1" t="s">
        <v>157</v>
      </c>
      <c r="C895" s="4">
        <v>4</v>
      </c>
      <c r="D895" s="8">
        <v>1.31</v>
      </c>
      <c r="E895" s="4">
        <v>3</v>
      </c>
      <c r="F895" s="8">
        <v>1.97</v>
      </c>
      <c r="G895" s="4">
        <v>1</v>
      </c>
      <c r="H895" s="8">
        <v>0.68</v>
      </c>
      <c r="I895" s="4">
        <v>0</v>
      </c>
    </row>
    <row r="896" spans="1:9" x14ac:dyDescent="0.2">
      <c r="A896" s="2">
        <v>20</v>
      </c>
      <c r="B896" s="1" t="s">
        <v>125</v>
      </c>
      <c r="C896" s="4">
        <v>4</v>
      </c>
      <c r="D896" s="8">
        <v>1.31</v>
      </c>
      <c r="E896" s="4">
        <v>0</v>
      </c>
      <c r="F896" s="8">
        <v>0</v>
      </c>
      <c r="G896" s="4">
        <v>4</v>
      </c>
      <c r="H896" s="8">
        <v>2.7</v>
      </c>
      <c r="I896" s="4">
        <v>0</v>
      </c>
    </row>
    <row r="897" spans="1:9" x14ac:dyDescent="0.2">
      <c r="A897" s="2">
        <v>20</v>
      </c>
      <c r="B897" s="1" t="s">
        <v>127</v>
      </c>
      <c r="C897" s="4">
        <v>4</v>
      </c>
      <c r="D897" s="8">
        <v>1.31</v>
      </c>
      <c r="E897" s="4">
        <v>2</v>
      </c>
      <c r="F897" s="8">
        <v>1.32</v>
      </c>
      <c r="G897" s="4">
        <v>2</v>
      </c>
      <c r="H897" s="8">
        <v>1.35</v>
      </c>
      <c r="I897" s="4">
        <v>0</v>
      </c>
    </row>
    <row r="898" spans="1:9" x14ac:dyDescent="0.2">
      <c r="A898" s="2">
        <v>20</v>
      </c>
      <c r="B898" s="1" t="s">
        <v>152</v>
      </c>
      <c r="C898" s="4">
        <v>4</v>
      </c>
      <c r="D898" s="8">
        <v>1.31</v>
      </c>
      <c r="E898" s="4">
        <v>2</v>
      </c>
      <c r="F898" s="8">
        <v>1.32</v>
      </c>
      <c r="G898" s="4">
        <v>2</v>
      </c>
      <c r="H898" s="8">
        <v>1.35</v>
      </c>
      <c r="I898" s="4">
        <v>0</v>
      </c>
    </row>
    <row r="899" spans="1:9" x14ac:dyDescent="0.2">
      <c r="A899" s="2">
        <v>20</v>
      </c>
      <c r="B899" s="1" t="s">
        <v>171</v>
      </c>
      <c r="C899" s="4">
        <v>4</v>
      </c>
      <c r="D899" s="8">
        <v>1.31</v>
      </c>
      <c r="E899" s="4">
        <v>0</v>
      </c>
      <c r="F899" s="8">
        <v>0</v>
      </c>
      <c r="G899" s="4">
        <v>4</v>
      </c>
      <c r="H899" s="8">
        <v>2.7</v>
      </c>
      <c r="I899" s="4">
        <v>0</v>
      </c>
    </row>
    <row r="900" spans="1:9" x14ac:dyDescent="0.2">
      <c r="A900" s="2">
        <v>20</v>
      </c>
      <c r="B900" s="1" t="s">
        <v>185</v>
      </c>
      <c r="C900" s="4">
        <v>4</v>
      </c>
      <c r="D900" s="8">
        <v>1.31</v>
      </c>
      <c r="E900" s="4">
        <v>0</v>
      </c>
      <c r="F900" s="8">
        <v>0</v>
      </c>
      <c r="G900" s="4">
        <v>3</v>
      </c>
      <c r="H900" s="8">
        <v>2.0299999999999998</v>
      </c>
      <c r="I900" s="4">
        <v>0</v>
      </c>
    </row>
    <row r="901" spans="1:9" x14ac:dyDescent="0.2">
      <c r="A901" s="2">
        <v>20</v>
      </c>
      <c r="B901" s="1" t="s">
        <v>186</v>
      </c>
      <c r="C901" s="4">
        <v>4</v>
      </c>
      <c r="D901" s="8">
        <v>1.31</v>
      </c>
      <c r="E901" s="4">
        <v>0</v>
      </c>
      <c r="F901" s="8">
        <v>0</v>
      </c>
      <c r="G901" s="4">
        <v>4</v>
      </c>
      <c r="H901" s="8">
        <v>2.7</v>
      </c>
      <c r="I901" s="4">
        <v>0</v>
      </c>
    </row>
    <row r="902" spans="1:9" x14ac:dyDescent="0.2">
      <c r="A902" s="1"/>
      <c r="C902" s="4"/>
      <c r="D902" s="8"/>
      <c r="E902" s="4"/>
      <c r="F902" s="8"/>
      <c r="G902" s="4"/>
      <c r="H902" s="8"/>
      <c r="I902" s="4"/>
    </row>
    <row r="903" spans="1:9" x14ac:dyDescent="0.2">
      <c r="A903" s="1" t="s">
        <v>39</v>
      </c>
      <c r="C903" s="4"/>
      <c r="D903" s="8"/>
      <c r="E903" s="4"/>
      <c r="F903" s="8"/>
      <c r="G903" s="4"/>
      <c r="H903" s="8"/>
      <c r="I903" s="4"/>
    </row>
    <row r="904" spans="1:9" x14ac:dyDescent="0.2">
      <c r="A904" s="2">
        <v>1</v>
      </c>
      <c r="B904" s="1" t="s">
        <v>133</v>
      </c>
      <c r="C904" s="4">
        <v>47</v>
      </c>
      <c r="D904" s="8">
        <v>5.9</v>
      </c>
      <c r="E904" s="4">
        <v>44</v>
      </c>
      <c r="F904" s="8">
        <v>11.34</v>
      </c>
      <c r="G904" s="4">
        <v>3</v>
      </c>
      <c r="H904" s="8">
        <v>0.75</v>
      </c>
      <c r="I904" s="4">
        <v>0</v>
      </c>
    </row>
    <row r="905" spans="1:9" x14ac:dyDescent="0.2">
      <c r="A905" s="2">
        <v>2</v>
      </c>
      <c r="B905" s="1" t="s">
        <v>134</v>
      </c>
      <c r="C905" s="4">
        <v>45</v>
      </c>
      <c r="D905" s="8">
        <v>5.65</v>
      </c>
      <c r="E905" s="4">
        <v>43</v>
      </c>
      <c r="F905" s="8">
        <v>11.08</v>
      </c>
      <c r="G905" s="4">
        <v>2</v>
      </c>
      <c r="H905" s="8">
        <v>0.5</v>
      </c>
      <c r="I905" s="4">
        <v>0</v>
      </c>
    </row>
    <row r="906" spans="1:9" x14ac:dyDescent="0.2">
      <c r="A906" s="2">
        <v>3</v>
      </c>
      <c r="B906" s="1" t="s">
        <v>137</v>
      </c>
      <c r="C906" s="4">
        <v>34</v>
      </c>
      <c r="D906" s="8">
        <v>4.2699999999999996</v>
      </c>
      <c r="E906" s="4">
        <v>21</v>
      </c>
      <c r="F906" s="8">
        <v>5.41</v>
      </c>
      <c r="G906" s="4">
        <v>13</v>
      </c>
      <c r="H906" s="8">
        <v>3.24</v>
      </c>
      <c r="I906" s="4">
        <v>0</v>
      </c>
    </row>
    <row r="907" spans="1:9" x14ac:dyDescent="0.2">
      <c r="A907" s="2">
        <v>4</v>
      </c>
      <c r="B907" s="1" t="s">
        <v>131</v>
      </c>
      <c r="C907" s="4">
        <v>25</v>
      </c>
      <c r="D907" s="8">
        <v>3.14</v>
      </c>
      <c r="E907" s="4">
        <v>20</v>
      </c>
      <c r="F907" s="8">
        <v>5.15</v>
      </c>
      <c r="G907" s="4">
        <v>5</v>
      </c>
      <c r="H907" s="8">
        <v>1.25</v>
      </c>
      <c r="I907" s="4">
        <v>0</v>
      </c>
    </row>
    <row r="908" spans="1:9" x14ac:dyDescent="0.2">
      <c r="A908" s="2">
        <v>5</v>
      </c>
      <c r="B908" s="1" t="s">
        <v>132</v>
      </c>
      <c r="C908" s="4">
        <v>24</v>
      </c>
      <c r="D908" s="8">
        <v>3.01</v>
      </c>
      <c r="E908" s="4">
        <v>21</v>
      </c>
      <c r="F908" s="8">
        <v>5.41</v>
      </c>
      <c r="G908" s="4">
        <v>3</v>
      </c>
      <c r="H908" s="8">
        <v>0.75</v>
      </c>
      <c r="I908" s="4">
        <v>0</v>
      </c>
    </row>
    <row r="909" spans="1:9" x14ac:dyDescent="0.2">
      <c r="A909" s="2">
        <v>6</v>
      </c>
      <c r="B909" s="1" t="s">
        <v>136</v>
      </c>
      <c r="C909" s="4">
        <v>22</v>
      </c>
      <c r="D909" s="8">
        <v>2.76</v>
      </c>
      <c r="E909" s="4">
        <v>18</v>
      </c>
      <c r="F909" s="8">
        <v>4.6399999999999997</v>
      </c>
      <c r="G909" s="4">
        <v>4</v>
      </c>
      <c r="H909" s="8">
        <v>1</v>
      </c>
      <c r="I909" s="4">
        <v>0</v>
      </c>
    </row>
    <row r="910" spans="1:9" x14ac:dyDescent="0.2">
      <c r="A910" s="2">
        <v>7</v>
      </c>
      <c r="B910" s="1" t="s">
        <v>120</v>
      </c>
      <c r="C910" s="4">
        <v>17</v>
      </c>
      <c r="D910" s="8">
        <v>2.13</v>
      </c>
      <c r="E910" s="4">
        <v>12</v>
      </c>
      <c r="F910" s="8">
        <v>3.09</v>
      </c>
      <c r="G910" s="4">
        <v>5</v>
      </c>
      <c r="H910" s="8">
        <v>1.25</v>
      </c>
      <c r="I910" s="4">
        <v>0</v>
      </c>
    </row>
    <row r="911" spans="1:9" x14ac:dyDescent="0.2">
      <c r="A911" s="2">
        <v>7</v>
      </c>
      <c r="B911" s="1" t="s">
        <v>121</v>
      </c>
      <c r="C911" s="4">
        <v>17</v>
      </c>
      <c r="D911" s="8">
        <v>2.13</v>
      </c>
      <c r="E911" s="4">
        <v>7</v>
      </c>
      <c r="F911" s="8">
        <v>1.8</v>
      </c>
      <c r="G911" s="4">
        <v>10</v>
      </c>
      <c r="H911" s="8">
        <v>2.4900000000000002</v>
      </c>
      <c r="I911" s="4">
        <v>0</v>
      </c>
    </row>
    <row r="912" spans="1:9" x14ac:dyDescent="0.2">
      <c r="A912" s="2">
        <v>9</v>
      </c>
      <c r="B912" s="1" t="s">
        <v>122</v>
      </c>
      <c r="C912" s="4">
        <v>16</v>
      </c>
      <c r="D912" s="8">
        <v>2.0099999999999998</v>
      </c>
      <c r="E912" s="4">
        <v>5</v>
      </c>
      <c r="F912" s="8">
        <v>1.29</v>
      </c>
      <c r="G912" s="4">
        <v>11</v>
      </c>
      <c r="H912" s="8">
        <v>2.74</v>
      </c>
      <c r="I912" s="4">
        <v>0</v>
      </c>
    </row>
    <row r="913" spans="1:9" x14ac:dyDescent="0.2">
      <c r="A913" s="2">
        <v>9</v>
      </c>
      <c r="B913" s="1" t="s">
        <v>135</v>
      </c>
      <c r="C913" s="4">
        <v>16</v>
      </c>
      <c r="D913" s="8">
        <v>2.0099999999999998</v>
      </c>
      <c r="E913" s="4">
        <v>14</v>
      </c>
      <c r="F913" s="8">
        <v>3.61</v>
      </c>
      <c r="G913" s="4">
        <v>2</v>
      </c>
      <c r="H913" s="8">
        <v>0.5</v>
      </c>
      <c r="I913" s="4">
        <v>0</v>
      </c>
    </row>
    <row r="914" spans="1:9" x14ac:dyDescent="0.2">
      <c r="A914" s="2">
        <v>11</v>
      </c>
      <c r="B914" s="1" t="s">
        <v>118</v>
      </c>
      <c r="C914" s="4">
        <v>15</v>
      </c>
      <c r="D914" s="8">
        <v>1.88</v>
      </c>
      <c r="E914" s="4">
        <v>2</v>
      </c>
      <c r="F914" s="8">
        <v>0.52</v>
      </c>
      <c r="G914" s="4">
        <v>13</v>
      </c>
      <c r="H914" s="8">
        <v>3.24</v>
      </c>
      <c r="I914" s="4">
        <v>0</v>
      </c>
    </row>
    <row r="915" spans="1:9" x14ac:dyDescent="0.2">
      <c r="A915" s="2">
        <v>11</v>
      </c>
      <c r="B915" s="1" t="s">
        <v>119</v>
      </c>
      <c r="C915" s="4">
        <v>15</v>
      </c>
      <c r="D915" s="8">
        <v>1.88</v>
      </c>
      <c r="E915" s="4">
        <v>6</v>
      </c>
      <c r="F915" s="8">
        <v>1.55</v>
      </c>
      <c r="G915" s="4">
        <v>9</v>
      </c>
      <c r="H915" s="8">
        <v>2.2400000000000002</v>
      </c>
      <c r="I915" s="4">
        <v>0</v>
      </c>
    </row>
    <row r="916" spans="1:9" x14ac:dyDescent="0.2">
      <c r="A916" s="2">
        <v>11</v>
      </c>
      <c r="B916" s="1" t="s">
        <v>124</v>
      </c>
      <c r="C916" s="4">
        <v>15</v>
      </c>
      <c r="D916" s="8">
        <v>1.88</v>
      </c>
      <c r="E916" s="4">
        <v>8</v>
      </c>
      <c r="F916" s="8">
        <v>2.06</v>
      </c>
      <c r="G916" s="4">
        <v>7</v>
      </c>
      <c r="H916" s="8">
        <v>1.75</v>
      </c>
      <c r="I916" s="4">
        <v>0</v>
      </c>
    </row>
    <row r="917" spans="1:9" x14ac:dyDescent="0.2">
      <c r="A917" s="2">
        <v>11</v>
      </c>
      <c r="B917" s="1" t="s">
        <v>143</v>
      </c>
      <c r="C917" s="4">
        <v>15</v>
      </c>
      <c r="D917" s="8">
        <v>1.88</v>
      </c>
      <c r="E917" s="4">
        <v>14</v>
      </c>
      <c r="F917" s="8">
        <v>3.61</v>
      </c>
      <c r="G917" s="4">
        <v>1</v>
      </c>
      <c r="H917" s="8">
        <v>0.25</v>
      </c>
      <c r="I917" s="4">
        <v>0</v>
      </c>
    </row>
    <row r="918" spans="1:9" x14ac:dyDescent="0.2">
      <c r="A918" s="2">
        <v>15</v>
      </c>
      <c r="B918" s="1" t="s">
        <v>154</v>
      </c>
      <c r="C918" s="4">
        <v>14</v>
      </c>
      <c r="D918" s="8">
        <v>1.76</v>
      </c>
      <c r="E918" s="4">
        <v>3</v>
      </c>
      <c r="F918" s="8">
        <v>0.77</v>
      </c>
      <c r="G918" s="4">
        <v>11</v>
      </c>
      <c r="H918" s="8">
        <v>2.74</v>
      </c>
      <c r="I918" s="4">
        <v>0</v>
      </c>
    </row>
    <row r="919" spans="1:9" x14ac:dyDescent="0.2">
      <c r="A919" s="2">
        <v>16</v>
      </c>
      <c r="B919" s="1" t="s">
        <v>127</v>
      </c>
      <c r="C919" s="4">
        <v>13</v>
      </c>
      <c r="D919" s="8">
        <v>1.63</v>
      </c>
      <c r="E919" s="4">
        <v>7</v>
      </c>
      <c r="F919" s="8">
        <v>1.8</v>
      </c>
      <c r="G919" s="4">
        <v>6</v>
      </c>
      <c r="H919" s="8">
        <v>1.5</v>
      </c>
      <c r="I919" s="4">
        <v>0</v>
      </c>
    </row>
    <row r="920" spans="1:9" x14ac:dyDescent="0.2">
      <c r="A920" s="2">
        <v>17</v>
      </c>
      <c r="B920" s="1" t="s">
        <v>164</v>
      </c>
      <c r="C920" s="4">
        <v>12</v>
      </c>
      <c r="D920" s="8">
        <v>1.51</v>
      </c>
      <c r="E920" s="4">
        <v>6</v>
      </c>
      <c r="F920" s="8">
        <v>1.55</v>
      </c>
      <c r="G920" s="4">
        <v>6</v>
      </c>
      <c r="H920" s="8">
        <v>1.5</v>
      </c>
      <c r="I920" s="4">
        <v>0</v>
      </c>
    </row>
    <row r="921" spans="1:9" x14ac:dyDescent="0.2">
      <c r="A921" s="2">
        <v>18</v>
      </c>
      <c r="B921" s="1" t="s">
        <v>129</v>
      </c>
      <c r="C921" s="4">
        <v>11</v>
      </c>
      <c r="D921" s="8">
        <v>1.38</v>
      </c>
      <c r="E921" s="4">
        <v>2</v>
      </c>
      <c r="F921" s="8">
        <v>0.52</v>
      </c>
      <c r="G921" s="4">
        <v>8</v>
      </c>
      <c r="H921" s="8">
        <v>2</v>
      </c>
      <c r="I921" s="4">
        <v>0</v>
      </c>
    </row>
    <row r="922" spans="1:9" x14ac:dyDescent="0.2">
      <c r="A922" s="2">
        <v>19</v>
      </c>
      <c r="B922" s="1" t="s">
        <v>147</v>
      </c>
      <c r="C922" s="4">
        <v>10</v>
      </c>
      <c r="D922" s="8">
        <v>1.25</v>
      </c>
      <c r="E922" s="4">
        <v>5</v>
      </c>
      <c r="F922" s="8">
        <v>1.29</v>
      </c>
      <c r="G922" s="4">
        <v>5</v>
      </c>
      <c r="H922" s="8">
        <v>1.25</v>
      </c>
      <c r="I922" s="4">
        <v>0</v>
      </c>
    </row>
    <row r="923" spans="1:9" x14ac:dyDescent="0.2">
      <c r="A923" s="2">
        <v>19</v>
      </c>
      <c r="B923" s="1" t="s">
        <v>139</v>
      </c>
      <c r="C923" s="4">
        <v>10</v>
      </c>
      <c r="D923" s="8">
        <v>1.25</v>
      </c>
      <c r="E923" s="4">
        <v>6</v>
      </c>
      <c r="F923" s="8">
        <v>1.55</v>
      </c>
      <c r="G923" s="4">
        <v>4</v>
      </c>
      <c r="H923" s="8">
        <v>1</v>
      </c>
      <c r="I923" s="4">
        <v>0</v>
      </c>
    </row>
    <row r="924" spans="1:9" x14ac:dyDescent="0.2">
      <c r="A924" s="1"/>
      <c r="C924" s="4"/>
      <c r="D924" s="8"/>
      <c r="E924" s="4"/>
      <c r="F924" s="8"/>
      <c r="G924" s="4"/>
      <c r="H924" s="8"/>
      <c r="I924" s="4"/>
    </row>
    <row r="925" spans="1:9" x14ac:dyDescent="0.2">
      <c r="A925" s="1" t="s">
        <v>40</v>
      </c>
      <c r="C925" s="4"/>
      <c r="D925" s="8"/>
      <c r="E925" s="4"/>
      <c r="F925" s="8"/>
      <c r="G925" s="4"/>
      <c r="H925" s="8"/>
      <c r="I925" s="4"/>
    </row>
    <row r="926" spans="1:9" x14ac:dyDescent="0.2">
      <c r="A926" s="2">
        <v>1</v>
      </c>
      <c r="B926" s="1" t="s">
        <v>133</v>
      </c>
      <c r="C926" s="4">
        <v>15</v>
      </c>
      <c r="D926" s="8">
        <v>7.14</v>
      </c>
      <c r="E926" s="4">
        <v>15</v>
      </c>
      <c r="F926" s="8">
        <v>12</v>
      </c>
      <c r="G926" s="4">
        <v>0</v>
      </c>
      <c r="H926" s="8">
        <v>0</v>
      </c>
      <c r="I926" s="4">
        <v>0</v>
      </c>
    </row>
    <row r="927" spans="1:9" x14ac:dyDescent="0.2">
      <c r="A927" s="2">
        <v>2</v>
      </c>
      <c r="B927" s="1" t="s">
        <v>137</v>
      </c>
      <c r="C927" s="4">
        <v>12</v>
      </c>
      <c r="D927" s="8">
        <v>5.71</v>
      </c>
      <c r="E927" s="4">
        <v>10</v>
      </c>
      <c r="F927" s="8">
        <v>8</v>
      </c>
      <c r="G927" s="4">
        <v>2</v>
      </c>
      <c r="H927" s="8">
        <v>2.5</v>
      </c>
      <c r="I927" s="4">
        <v>0</v>
      </c>
    </row>
    <row r="928" spans="1:9" x14ac:dyDescent="0.2">
      <c r="A928" s="2">
        <v>3</v>
      </c>
      <c r="B928" s="1" t="s">
        <v>120</v>
      </c>
      <c r="C928" s="4">
        <v>10</v>
      </c>
      <c r="D928" s="8">
        <v>4.76</v>
      </c>
      <c r="E928" s="4">
        <v>7</v>
      </c>
      <c r="F928" s="8">
        <v>5.6</v>
      </c>
      <c r="G928" s="4">
        <v>3</v>
      </c>
      <c r="H928" s="8">
        <v>3.75</v>
      </c>
      <c r="I928" s="4">
        <v>0</v>
      </c>
    </row>
    <row r="929" spans="1:9" x14ac:dyDescent="0.2">
      <c r="A929" s="2">
        <v>4</v>
      </c>
      <c r="B929" s="1" t="s">
        <v>124</v>
      </c>
      <c r="C929" s="4">
        <v>9</v>
      </c>
      <c r="D929" s="8">
        <v>4.29</v>
      </c>
      <c r="E929" s="4">
        <v>7</v>
      </c>
      <c r="F929" s="8">
        <v>5.6</v>
      </c>
      <c r="G929" s="4">
        <v>2</v>
      </c>
      <c r="H929" s="8">
        <v>2.5</v>
      </c>
      <c r="I929" s="4">
        <v>0</v>
      </c>
    </row>
    <row r="930" spans="1:9" x14ac:dyDescent="0.2">
      <c r="A930" s="2">
        <v>5</v>
      </c>
      <c r="B930" s="1" t="s">
        <v>118</v>
      </c>
      <c r="C930" s="4">
        <v>8</v>
      </c>
      <c r="D930" s="8">
        <v>3.81</v>
      </c>
      <c r="E930" s="4">
        <v>0</v>
      </c>
      <c r="F930" s="8">
        <v>0</v>
      </c>
      <c r="G930" s="4">
        <v>8</v>
      </c>
      <c r="H930" s="8">
        <v>10</v>
      </c>
      <c r="I930" s="4">
        <v>0</v>
      </c>
    </row>
    <row r="931" spans="1:9" x14ac:dyDescent="0.2">
      <c r="A931" s="2">
        <v>6</v>
      </c>
      <c r="B931" s="1" t="s">
        <v>134</v>
      </c>
      <c r="C931" s="4">
        <v>6</v>
      </c>
      <c r="D931" s="8">
        <v>2.86</v>
      </c>
      <c r="E931" s="4">
        <v>6</v>
      </c>
      <c r="F931" s="8">
        <v>4.8</v>
      </c>
      <c r="G931" s="4">
        <v>0</v>
      </c>
      <c r="H931" s="8">
        <v>0</v>
      </c>
      <c r="I931" s="4">
        <v>0</v>
      </c>
    </row>
    <row r="932" spans="1:9" x14ac:dyDescent="0.2">
      <c r="A932" s="2">
        <v>7</v>
      </c>
      <c r="B932" s="1" t="s">
        <v>119</v>
      </c>
      <c r="C932" s="4">
        <v>5</v>
      </c>
      <c r="D932" s="8">
        <v>2.38</v>
      </c>
      <c r="E932" s="4">
        <v>2</v>
      </c>
      <c r="F932" s="8">
        <v>1.6</v>
      </c>
      <c r="G932" s="4">
        <v>3</v>
      </c>
      <c r="H932" s="8">
        <v>3.75</v>
      </c>
      <c r="I932" s="4">
        <v>0</v>
      </c>
    </row>
    <row r="933" spans="1:9" x14ac:dyDescent="0.2">
      <c r="A933" s="2">
        <v>7</v>
      </c>
      <c r="B933" s="1" t="s">
        <v>145</v>
      </c>
      <c r="C933" s="4">
        <v>5</v>
      </c>
      <c r="D933" s="8">
        <v>2.38</v>
      </c>
      <c r="E933" s="4">
        <v>4</v>
      </c>
      <c r="F933" s="8">
        <v>3.2</v>
      </c>
      <c r="G933" s="4">
        <v>1</v>
      </c>
      <c r="H933" s="8">
        <v>1.25</v>
      </c>
      <c r="I933" s="4">
        <v>0</v>
      </c>
    </row>
    <row r="934" spans="1:9" x14ac:dyDescent="0.2">
      <c r="A934" s="2">
        <v>7</v>
      </c>
      <c r="B934" s="1" t="s">
        <v>153</v>
      </c>
      <c r="C934" s="4">
        <v>5</v>
      </c>
      <c r="D934" s="8">
        <v>2.38</v>
      </c>
      <c r="E934" s="4">
        <v>3</v>
      </c>
      <c r="F934" s="8">
        <v>2.4</v>
      </c>
      <c r="G934" s="4">
        <v>2</v>
      </c>
      <c r="H934" s="8">
        <v>2.5</v>
      </c>
      <c r="I934" s="4">
        <v>0</v>
      </c>
    </row>
    <row r="935" spans="1:9" x14ac:dyDescent="0.2">
      <c r="A935" s="2">
        <v>7</v>
      </c>
      <c r="B935" s="1" t="s">
        <v>121</v>
      </c>
      <c r="C935" s="4">
        <v>5</v>
      </c>
      <c r="D935" s="8">
        <v>2.38</v>
      </c>
      <c r="E935" s="4">
        <v>3</v>
      </c>
      <c r="F935" s="8">
        <v>2.4</v>
      </c>
      <c r="G935" s="4">
        <v>2</v>
      </c>
      <c r="H935" s="8">
        <v>2.5</v>
      </c>
      <c r="I935" s="4">
        <v>0</v>
      </c>
    </row>
    <row r="936" spans="1:9" x14ac:dyDescent="0.2">
      <c r="A936" s="2">
        <v>7</v>
      </c>
      <c r="B936" s="1" t="s">
        <v>122</v>
      </c>
      <c r="C936" s="4">
        <v>5</v>
      </c>
      <c r="D936" s="8">
        <v>2.38</v>
      </c>
      <c r="E936" s="4">
        <v>4</v>
      </c>
      <c r="F936" s="8">
        <v>3.2</v>
      </c>
      <c r="G936" s="4">
        <v>1</v>
      </c>
      <c r="H936" s="8">
        <v>1.25</v>
      </c>
      <c r="I936" s="4">
        <v>0</v>
      </c>
    </row>
    <row r="937" spans="1:9" x14ac:dyDescent="0.2">
      <c r="A937" s="2">
        <v>7</v>
      </c>
      <c r="B937" s="1" t="s">
        <v>126</v>
      </c>
      <c r="C937" s="4">
        <v>5</v>
      </c>
      <c r="D937" s="8">
        <v>2.38</v>
      </c>
      <c r="E937" s="4">
        <v>0</v>
      </c>
      <c r="F937" s="8">
        <v>0</v>
      </c>
      <c r="G937" s="4">
        <v>5</v>
      </c>
      <c r="H937" s="8">
        <v>6.25</v>
      </c>
      <c r="I937" s="4">
        <v>0</v>
      </c>
    </row>
    <row r="938" spans="1:9" x14ac:dyDescent="0.2">
      <c r="A938" s="2">
        <v>13</v>
      </c>
      <c r="B938" s="1" t="s">
        <v>140</v>
      </c>
      <c r="C938" s="4">
        <v>4</v>
      </c>
      <c r="D938" s="8">
        <v>1.9</v>
      </c>
      <c r="E938" s="4">
        <v>3</v>
      </c>
      <c r="F938" s="8">
        <v>2.4</v>
      </c>
      <c r="G938" s="4">
        <v>1</v>
      </c>
      <c r="H938" s="8">
        <v>1.25</v>
      </c>
      <c r="I938" s="4">
        <v>0</v>
      </c>
    </row>
    <row r="939" spans="1:9" x14ac:dyDescent="0.2">
      <c r="A939" s="2">
        <v>14</v>
      </c>
      <c r="B939" s="1" t="s">
        <v>174</v>
      </c>
      <c r="C939" s="4">
        <v>3</v>
      </c>
      <c r="D939" s="8">
        <v>1.43</v>
      </c>
      <c r="E939" s="4">
        <v>2</v>
      </c>
      <c r="F939" s="8">
        <v>1.6</v>
      </c>
      <c r="G939" s="4">
        <v>1</v>
      </c>
      <c r="H939" s="8">
        <v>1.25</v>
      </c>
      <c r="I939" s="4">
        <v>0</v>
      </c>
    </row>
    <row r="940" spans="1:9" x14ac:dyDescent="0.2">
      <c r="A940" s="2">
        <v>14</v>
      </c>
      <c r="B940" s="1" t="s">
        <v>188</v>
      </c>
      <c r="C940" s="4">
        <v>3</v>
      </c>
      <c r="D940" s="8">
        <v>1.43</v>
      </c>
      <c r="E940" s="4">
        <v>3</v>
      </c>
      <c r="F940" s="8">
        <v>2.4</v>
      </c>
      <c r="G940" s="4">
        <v>0</v>
      </c>
      <c r="H940" s="8">
        <v>0</v>
      </c>
      <c r="I940" s="4">
        <v>0</v>
      </c>
    </row>
    <row r="941" spans="1:9" x14ac:dyDescent="0.2">
      <c r="A941" s="2">
        <v>14</v>
      </c>
      <c r="B941" s="1" t="s">
        <v>189</v>
      </c>
      <c r="C941" s="4">
        <v>3</v>
      </c>
      <c r="D941" s="8">
        <v>1.43</v>
      </c>
      <c r="E941" s="4">
        <v>1</v>
      </c>
      <c r="F941" s="8">
        <v>0.8</v>
      </c>
      <c r="G941" s="4">
        <v>2</v>
      </c>
      <c r="H941" s="8">
        <v>2.5</v>
      </c>
      <c r="I941" s="4">
        <v>0</v>
      </c>
    </row>
    <row r="942" spans="1:9" x14ac:dyDescent="0.2">
      <c r="A942" s="2">
        <v>14</v>
      </c>
      <c r="B942" s="1" t="s">
        <v>180</v>
      </c>
      <c r="C942" s="4">
        <v>3</v>
      </c>
      <c r="D942" s="8">
        <v>1.43</v>
      </c>
      <c r="E942" s="4">
        <v>3</v>
      </c>
      <c r="F942" s="8">
        <v>2.4</v>
      </c>
      <c r="G942" s="4">
        <v>0</v>
      </c>
      <c r="H942" s="8">
        <v>0</v>
      </c>
      <c r="I942" s="4">
        <v>0</v>
      </c>
    </row>
    <row r="943" spans="1:9" x14ac:dyDescent="0.2">
      <c r="A943" s="2">
        <v>14</v>
      </c>
      <c r="B943" s="1" t="s">
        <v>123</v>
      </c>
      <c r="C943" s="4">
        <v>3</v>
      </c>
      <c r="D943" s="8">
        <v>1.43</v>
      </c>
      <c r="E943" s="4">
        <v>3</v>
      </c>
      <c r="F943" s="8">
        <v>2.4</v>
      </c>
      <c r="G943" s="4">
        <v>0</v>
      </c>
      <c r="H943" s="8">
        <v>0</v>
      </c>
      <c r="I943" s="4">
        <v>0</v>
      </c>
    </row>
    <row r="944" spans="1:9" x14ac:dyDescent="0.2">
      <c r="A944" s="2">
        <v>14</v>
      </c>
      <c r="B944" s="1" t="s">
        <v>168</v>
      </c>
      <c r="C944" s="4">
        <v>3</v>
      </c>
      <c r="D944" s="8">
        <v>1.43</v>
      </c>
      <c r="E944" s="4">
        <v>3</v>
      </c>
      <c r="F944" s="8">
        <v>2.4</v>
      </c>
      <c r="G944" s="4">
        <v>0</v>
      </c>
      <c r="H944" s="8">
        <v>0</v>
      </c>
      <c r="I944" s="4">
        <v>0</v>
      </c>
    </row>
    <row r="945" spans="1:9" x14ac:dyDescent="0.2">
      <c r="A945" s="2">
        <v>14</v>
      </c>
      <c r="B945" s="1" t="s">
        <v>128</v>
      </c>
      <c r="C945" s="4">
        <v>3</v>
      </c>
      <c r="D945" s="8">
        <v>1.43</v>
      </c>
      <c r="E945" s="4">
        <v>0</v>
      </c>
      <c r="F945" s="8">
        <v>0</v>
      </c>
      <c r="G945" s="4">
        <v>3</v>
      </c>
      <c r="H945" s="8">
        <v>3.75</v>
      </c>
      <c r="I945" s="4">
        <v>0</v>
      </c>
    </row>
    <row r="946" spans="1:9" x14ac:dyDescent="0.2">
      <c r="A946" s="2">
        <v>14</v>
      </c>
      <c r="B946" s="1" t="s">
        <v>130</v>
      </c>
      <c r="C946" s="4">
        <v>3</v>
      </c>
      <c r="D946" s="8">
        <v>1.43</v>
      </c>
      <c r="E946" s="4">
        <v>2</v>
      </c>
      <c r="F946" s="8">
        <v>1.6</v>
      </c>
      <c r="G946" s="4">
        <v>0</v>
      </c>
      <c r="H946" s="8">
        <v>0</v>
      </c>
      <c r="I946" s="4">
        <v>0</v>
      </c>
    </row>
    <row r="947" spans="1:9" x14ac:dyDescent="0.2">
      <c r="A947" s="2">
        <v>14</v>
      </c>
      <c r="B947" s="1" t="s">
        <v>152</v>
      </c>
      <c r="C947" s="4">
        <v>3</v>
      </c>
      <c r="D947" s="8">
        <v>1.43</v>
      </c>
      <c r="E947" s="4">
        <v>2</v>
      </c>
      <c r="F947" s="8">
        <v>1.6</v>
      </c>
      <c r="G947" s="4">
        <v>1</v>
      </c>
      <c r="H947" s="8">
        <v>1.25</v>
      </c>
      <c r="I947" s="4">
        <v>0</v>
      </c>
    </row>
    <row r="948" spans="1:9" x14ac:dyDescent="0.2">
      <c r="A948" s="2">
        <v>14</v>
      </c>
      <c r="B948" s="1" t="s">
        <v>136</v>
      </c>
      <c r="C948" s="4">
        <v>3</v>
      </c>
      <c r="D948" s="8">
        <v>1.43</v>
      </c>
      <c r="E948" s="4">
        <v>2</v>
      </c>
      <c r="F948" s="8">
        <v>1.6</v>
      </c>
      <c r="G948" s="4">
        <v>1</v>
      </c>
      <c r="H948" s="8">
        <v>1.25</v>
      </c>
      <c r="I948" s="4">
        <v>0</v>
      </c>
    </row>
    <row r="949" spans="1:9" x14ac:dyDescent="0.2">
      <c r="A949" s="1"/>
      <c r="C949" s="4"/>
      <c r="D949" s="8"/>
      <c r="E949" s="4"/>
      <c r="F949" s="8"/>
      <c r="G949" s="4"/>
      <c r="H949" s="8"/>
      <c r="I949" s="4"/>
    </row>
    <row r="950" spans="1:9" x14ac:dyDescent="0.2">
      <c r="A950" s="1" t="s">
        <v>41</v>
      </c>
      <c r="C950" s="4"/>
      <c r="D950" s="8"/>
      <c r="E950" s="4"/>
      <c r="F950" s="8"/>
      <c r="G950" s="4"/>
      <c r="H950" s="8"/>
      <c r="I950" s="4"/>
    </row>
    <row r="951" spans="1:9" x14ac:dyDescent="0.2">
      <c r="A951" s="2">
        <v>1</v>
      </c>
      <c r="B951" s="1" t="s">
        <v>120</v>
      </c>
      <c r="C951" s="4">
        <v>36</v>
      </c>
      <c r="D951" s="8">
        <v>6.14</v>
      </c>
      <c r="E951" s="4">
        <v>29</v>
      </c>
      <c r="F951" s="8">
        <v>8.26</v>
      </c>
      <c r="G951" s="4">
        <v>7</v>
      </c>
      <c r="H951" s="8">
        <v>3.02</v>
      </c>
      <c r="I951" s="4">
        <v>0</v>
      </c>
    </row>
    <row r="952" spans="1:9" x14ac:dyDescent="0.2">
      <c r="A952" s="2">
        <v>2</v>
      </c>
      <c r="B952" s="1" t="s">
        <v>133</v>
      </c>
      <c r="C952" s="4">
        <v>26</v>
      </c>
      <c r="D952" s="8">
        <v>4.4400000000000004</v>
      </c>
      <c r="E952" s="4">
        <v>26</v>
      </c>
      <c r="F952" s="8">
        <v>7.41</v>
      </c>
      <c r="G952" s="4">
        <v>0</v>
      </c>
      <c r="H952" s="8">
        <v>0</v>
      </c>
      <c r="I952" s="4">
        <v>0</v>
      </c>
    </row>
    <row r="953" spans="1:9" x14ac:dyDescent="0.2">
      <c r="A953" s="2">
        <v>3</v>
      </c>
      <c r="B953" s="1" t="s">
        <v>137</v>
      </c>
      <c r="C953" s="4">
        <v>25</v>
      </c>
      <c r="D953" s="8">
        <v>4.2699999999999996</v>
      </c>
      <c r="E953" s="4">
        <v>22</v>
      </c>
      <c r="F953" s="8">
        <v>6.27</v>
      </c>
      <c r="G953" s="4">
        <v>3</v>
      </c>
      <c r="H953" s="8">
        <v>1.29</v>
      </c>
      <c r="I953" s="4">
        <v>0</v>
      </c>
    </row>
    <row r="954" spans="1:9" x14ac:dyDescent="0.2">
      <c r="A954" s="2">
        <v>4</v>
      </c>
      <c r="B954" s="1" t="s">
        <v>146</v>
      </c>
      <c r="C954" s="4">
        <v>23</v>
      </c>
      <c r="D954" s="8">
        <v>3.92</v>
      </c>
      <c r="E954" s="4">
        <v>13</v>
      </c>
      <c r="F954" s="8">
        <v>3.7</v>
      </c>
      <c r="G954" s="4">
        <v>10</v>
      </c>
      <c r="H954" s="8">
        <v>4.3099999999999996</v>
      </c>
      <c r="I954" s="4">
        <v>0</v>
      </c>
    </row>
    <row r="955" spans="1:9" x14ac:dyDescent="0.2">
      <c r="A955" s="2">
        <v>5</v>
      </c>
      <c r="B955" s="1" t="s">
        <v>121</v>
      </c>
      <c r="C955" s="4">
        <v>21</v>
      </c>
      <c r="D955" s="8">
        <v>3.58</v>
      </c>
      <c r="E955" s="4">
        <v>8</v>
      </c>
      <c r="F955" s="8">
        <v>2.2799999999999998</v>
      </c>
      <c r="G955" s="4">
        <v>13</v>
      </c>
      <c r="H955" s="8">
        <v>5.6</v>
      </c>
      <c r="I955" s="4">
        <v>0</v>
      </c>
    </row>
    <row r="956" spans="1:9" x14ac:dyDescent="0.2">
      <c r="A956" s="2">
        <v>5</v>
      </c>
      <c r="B956" s="1" t="s">
        <v>126</v>
      </c>
      <c r="C956" s="4">
        <v>21</v>
      </c>
      <c r="D956" s="8">
        <v>3.58</v>
      </c>
      <c r="E956" s="4">
        <v>12</v>
      </c>
      <c r="F956" s="8">
        <v>3.42</v>
      </c>
      <c r="G956" s="4">
        <v>9</v>
      </c>
      <c r="H956" s="8">
        <v>3.88</v>
      </c>
      <c r="I956" s="4">
        <v>0</v>
      </c>
    </row>
    <row r="957" spans="1:9" x14ac:dyDescent="0.2">
      <c r="A957" s="2">
        <v>7</v>
      </c>
      <c r="B957" s="1" t="s">
        <v>153</v>
      </c>
      <c r="C957" s="4">
        <v>20</v>
      </c>
      <c r="D957" s="8">
        <v>3.41</v>
      </c>
      <c r="E957" s="4">
        <v>2</v>
      </c>
      <c r="F957" s="8">
        <v>0.56999999999999995</v>
      </c>
      <c r="G957" s="4">
        <v>18</v>
      </c>
      <c r="H957" s="8">
        <v>7.76</v>
      </c>
      <c r="I957" s="4">
        <v>0</v>
      </c>
    </row>
    <row r="958" spans="1:9" x14ac:dyDescent="0.2">
      <c r="A958" s="2">
        <v>7</v>
      </c>
      <c r="B958" s="1" t="s">
        <v>134</v>
      </c>
      <c r="C958" s="4">
        <v>20</v>
      </c>
      <c r="D958" s="8">
        <v>3.41</v>
      </c>
      <c r="E958" s="4">
        <v>19</v>
      </c>
      <c r="F958" s="8">
        <v>5.41</v>
      </c>
      <c r="G958" s="4">
        <v>1</v>
      </c>
      <c r="H958" s="8">
        <v>0.43</v>
      </c>
      <c r="I958" s="4">
        <v>0</v>
      </c>
    </row>
    <row r="959" spans="1:9" x14ac:dyDescent="0.2">
      <c r="A959" s="2">
        <v>9</v>
      </c>
      <c r="B959" s="1" t="s">
        <v>145</v>
      </c>
      <c r="C959" s="4">
        <v>19</v>
      </c>
      <c r="D959" s="8">
        <v>3.24</v>
      </c>
      <c r="E959" s="4">
        <v>14</v>
      </c>
      <c r="F959" s="8">
        <v>3.99</v>
      </c>
      <c r="G959" s="4">
        <v>5</v>
      </c>
      <c r="H959" s="8">
        <v>2.16</v>
      </c>
      <c r="I959" s="4">
        <v>0</v>
      </c>
    </row>
    <row r="960" spans="1:9" x14ac:dyDescent="0.2">
      <c r="A960" s="2">
        <v>10</v>
      </c>
      <c r="B960" s="1" t="s">
        <v>119</v>
      </c>
      <c r="C960" s="4">
        <v>13</v>
      </c>
      <c r="D960" s="8">
        <v>2.2200000000000002</v>
      </c>
      <c r="E960" s="4">
        <v>7</v>
      </c>
      <c r="F960" s="8">
        <v>1.99</v>
      </c>
      <c r="G960" s="4">
        <v>6</v>
      </c>
      <c r="H960" s="8">
        <v>2.59</v>
      </c>
      <c r="I960" s="4">
        <v>0</v>
      </c>
    </row>
    <row r="961" spans="1:9" x14ac:dyDescent="0.2">
      <c r="A961" s="2">
        <v>10</v>
      </c>
      <c r="B961" s="1" t="s">
        <v>168</v>
      </c>
      <c r="C961" s="4">
        <v>13</v>
      </c>
      <c r="D961" s="8">
        <v>2.2200000000000002</v>
      </c>
      <c r="E961" s="4">
        <v>7</v>
      </c>
      <c r="F961" s="8">
        <v>1.99</v>
      </c>
      <c r="G961" s="4">
        <v>6</v>
      </c>
      <c r="H961" s="8">
        <v>2.59</v>
      </c>
      <c r="I961" s="4">
        <v>0</v>
      </c>
    </row>
    <row r="962" spans="1:9" x14ac:dyDescent="0.2">
      <c r="A962" s="2">
        <v>12</v>
      </c>
      <c r="B962" s="1" t="s">
        <v>124</v>
      </c>
      <c r="C962" s="4">
        <v>11</v>
      </c>
      <c r="D962" s="8">
        <v>1.88</v>
      </c>
      <c r="E962" s="4">
        <v>5</v>
      </c>
      <c r="F962" s="8">
        <v>1.42</v>
      </c>
      <c r="G962" s="4">
        <v>6</v>
      </c>
      <c r="H962" s="8">
        <v>2.59</v>
      </c>
      <c r="I962" s="4">
        <v>0</v>
      </c>
    </row>
    <row r="963" spans="1:9" x14ac:dyDescent="0.2">
      <c r="A963" s="2">
        <v>13</v>
      </c>
      <c r="B963" s="1" t="s">
        <v>118</v>
      </c>
      <c r="C963" s="4">
        <v>9</v>
      </c>
      <c r="D963" s="8">
        <v>1.54</v>
      </c>
      <c r="E963" s="4">
        <v>3</v>
      </c>
      <c r="F963" s="8">
        <v>0.85</v>
      </c>
      <c r="G963" s="4">
        <v>6</v>
      </c>
      <c r="H963" s="8">
        <v>2.59</v>
      </c>
      <c r="I963" s="4">
        <v>0</v>
      </c>
    </row>
    <row r="964" spans="1:9" x14ac:dyDescent="0.2">
      <c r="A964" s="2">
        <v>13</v>
      </c>
      <c r="B964" s="1" t="s">
        <v>122</v>
      </c>
      <c r="C964" s="4">
        <v>9</v>
      </c>
      <c r="D964" s="8">
        <v>1.54</v>
      </c>
      <c r="E964" s="4">
        <v>6</v>
      </c>
      <c r="F964" s="8">
        <v>1.71</v>
      </c>
      <c r="G964" s="4">
        <v>3</v>
      </c>
      <c r="H964" s="8">
        <v>1.29</v>
      </c>
      <c r="I964" s="4">
        <v>0</v>
      </c>
    </row>
    <row r="965" spans="1:9" x14ac:dyDescent="0.2">
      <c r="A965" s="2">
        <v>13</v>
      </c>
      <c r="B965" s="1" t="s">
        <v>157</v>
      </c>
      <c r="C965" s="4">
        <v>9</v>
      </c>
      <c r="D965" s="8">
        <v>1.54</v>
      </c>
      <c r="E965" s="4">
        <v>7</v>
      </c>
      <c r="F965" s="8">
        <v>1.99</v>
      </c>
      <c r="G965" s="4">
        <v>2</v>
      </c>
      <c r="H965" s="8">
        <v>0.86</v>
      </c>
      <c r="I965" s="4">
        <v>0</v>
      </c>
    </row>
    <row r="966" spans="1:9" x14ac:dyDescent="0.2">
      <c r="A966" s="2">
        <v>16</v>
      </c>
      <c r="B966" s="1" t="s">
        <v>167</v>
      </c>
      <c r="C966" s="4">
        <v>8</v>
      </c>
      <c r="D966" s="8">
        <v>1.37</v>
      </c>
      <c r="E966" s="4">
        <v>6</v>
      </c>
      <c r="F966" s="8">
        <v>1.71</v>
      </c>
      <c r="G966" s="4">
        <v>2</v>
      </c>
      <c r="H966" s="8">
        <v>0.86</v>
      </c>
      <c r="I966" s="4">
        <v>0</v>
      </c>
    </row>
    <row r="967" spans="1:9" x14ac:dyDescent="0.2">
      <c r="A967" s="2">
        <v>17</v>
      </c>
      <c r="B967" s="1" t="s">
        <v>151</v>
      </c>
      <c r="C967" s="4">
        <v>7</v>
      </c>
      <c r="D967" s="8">
        <v>1.19</v>
      </c>
      <c r="E967" s="4">
        <v>3</v>
      </c>
      <c r="F967" s="8">
        <v>0.85</v>
      </c>
      <c r="G967" s="4">
        <v>4</v>
      </c>
      <c r="H967" s="8">
        <v>1.72</v>
      </c>
      <c r="I967" s="4">
        <v>0</v>
      </c>
    </row>
    <row r="968" spans="1:9" x14ac:dyDescent="0.2">
      <c r="A968" s="2">
        <v>17</v>
      </c>
      <c r="B968" s="1" t="s">
        <v>166</v>
      </c>
      <c r="C968" s="4">
        <v>7</v>
      </c>
      <c r="D968" s="8">
        <v>1.19</v>
      </c>
      <c r="E968" s="4">
        <v>4</v>
      </c>
      <c r="F968" s="8">
        <v>1.1399999999999999</v>
      </c>
      <c r="G968" s="4">
        <v>3</v>
      </c>
      <c r="H968" s="8">
        <v>1.29</v>
      </c>
      <c r="I968" s="4">
        <v>0</v>
      </c>
    </row>
    <row r="969" spans="1:9" x14ac:dyDescent="0.2">
      <c r="A969" s="2">
        <v>17</v>
      </c>
      <c r="B969" s="1" t="s">
        <v>190</v>
      </c>
      <c r="C969" s="4">
        <v>7</v>
      </c>
      <c r="D969" s="8">
        <v>1.19</v>
      </c>
      <c r="E969" s="4">
        <v>7</v>
      </c>
      <c r="F969" s="8">
        <v>1.99</v>
      </c>
      <c r="G969" s="4">
        <v>0</v>
      </c>
      <c r="H969" s="8">
        <v>0</v>
      </c>
      <c r="I969" s="4">
        <v>0</v>
      </c>
    </row>
    <row r="970" spans="1:9" x14ac:dyDescent="0.2">
      <c r="A970" s="2">
        <v>17</v>
      </c>
      <c r="B970" s="1" t="s">
        <v>130</v>
      </c>
      <c r="C970" s="4">
        <v>7</v>
      </c>
      <c r="D970" s="8">
        <v>1.19</v>
      </c>
      <c r="E970" s="4">
        <v>5</v>
      </c>
      <c r="F970" s="8">
        <v>1.42</v>
      </c>
      <c r="G970" s="4">
        <v>2</v>
      </c>
      <c r="H970" s="8">
        <v>0.86</v>
      </c>
      <c r="I970" s="4">
        <v>0</v>
      </c>
    </row>
    <row r="971" spans="1:9" x14ac:dyDescent="0.2">
      <c r="A971" s="2">
        <v>17</v>
      </c>
      <c r="B971" s="1" t="s">
        <v>132</v>
      </c>
      <c r="C971" s="4">
        <v>7</v>
      </c>
      <c r="D971" s="8">
        <v>1.19</v>
      </c>
      <c r="E971" s="4">
        <v>7</v>
      </c>
      <c r="F971" s="8">
        <v>1.99</v>
      </c>
      <c r="G971" s="4">
        <v>0</v>
      </c>
      <c r="H971" s="8">
        <v>0</v>
      </c>
      <c r="I971" s="4">
        <v>0</v>
      </c>
    </row>
    <row r="972" spans="1:9" x14ac:dyDescent="0.2">
      <c r="A972" s="2">
        <v>17</v>
      </c>
      <c r="B972" s="1" t="s">
        <v>136</v>
      </c>
      <c r="C972" s="4">
        <v>7</v>
      </c>
      <c r="D972" s="8">
        <v>1.19</v>
      </c>
      <c r="E972" s="4">
        <v>7</v>
      </c>
      <c r="F972" s="8">
        <v>1.99</v>
      </c>
      <c r="G972" s="4">
        <v>0</v>
      </c>
      <c r="H972" s="8">
        <v>0</v>
      </c>
      <c r="I972" s="4">
        <v>0</v>
      </c>
    </row>
    <row r="973" spans="1:9" x14ac:dyDescent="0.2">
      <c r="A973" s="1"/>
      <c r="C973" s="4"/>
      <c r="D973" s="8"/>
      <c r="E973" s="4"/>
      <c r="F973" s="8"/>
      <c r="G973" s="4"/>
      <c r="H973" s="8"/>
      <c r="I973" s="4"/>
    </row>
    <row r="974" spans="1:9" x14ac:dyDescent="0.2">
      <c r="A974" s="1" t="s">
        <v>42</v>
      </c>
      <c r="C974" s="4"/>
      <c r="D974" s="8"/>
      <c r="E974" s="4"/>
      <c r="F974" s="8"/>
      <c r="G974" s="4"/>
      <c r="H974" s="8"/>
      <c r="I974" s="4"/>
    </row>
    <row r="975" spans="1:9" x14ac:dyDescent="0.2">
      <c r="A975" s="2">
        <v>1</v>
      </c>
      <c r="B975" s="1" t="s">
        <v>120</v>
      </c>
      <c r="C975" s="4">
        <v>21</v>
      </c>
      <c r="D975" s="8">
        <v>9.09</v>
      </c>
      <c r="E975" s="4">
        <v>13</v>
      </c>
      <c r="F975" s="8">
        <v>12.62</v>
      </c>
      <c r="G975" s="4">
        <v>8</v>
      </c>
      <c r="H975" s="8">
        <v>6.5</v>
      </c>
      <c r="I975" s="4">
        <v>0</v>
      </c>
    </row>
    <row r="976" spans="1:9" x14ac:dyDescent="0.2">
      <c r="A976" s="2">
        <v>2</v>
      </c>
      <c r="B976" s="1" t="s">
        <v>146</v>
      </c>
      <c r="C976" s="4">
        <v>13</v>
      </c>
      <c r="D976" s="8">
        <v>5.63</v>
      </c>
      <c r="E976" s="4">
        <v>2</v>
      </c>
      <c r="F976" s="8">
        <v>1.94</v>
      </c>
      <c r="G976" s="4">
        <v>11</v>
      </c>
      <c r="H976" s="8">
        <v>8.94</v>
      </c>
      <c r="I976" s="4">
        <v>0</v>
      </c>
    </row>
    <row r="977" spans="1:9" x14ac:dyDescent="0.2">
      <c r="A977" s="2">
        <v>3</v>
      </c>
      <c r="B977" s="1" t="s">
        <v>118</v>
      </c>
      <c r="C977" s="4">
        <v>9</v>
      </c>
      <c r="D977" s="8">
        <v>3.9</v>
      </c>
      <c r="E977" s="4">
        <v>1</v>
      </c>
      <c r="F977" s="8">
        <v>0.97</v>
      </c>
      <c r="G977" s="4">
        <v>8</v>
      </c>
      <c r="H977" s="8">
        <v>6.5</v>
      </c>
      <c r="I977" s="4">
        <v>0</v>
      </c>
    </row>
    <row r="978" spans="1:9" x14ac:dyDescent="0.2">
      <c r="A978" s="2">
        <v>3</v>
      </c>
      <c r="B978" s="1" t="s">
        <v>133</v>
      </c>
      <c r="C978" s="4">
        <v>9</v>
      </c>
      <c r="D978" s="8">
        <v>3.9</v>
      </c>
      <c r="E978" s="4">
        <v>9</v>
      </c>
      <c r="F978" s="8">
        <v>8.74</v>
      </c>
      <c r="G978" s="4">
        <v>0</v>
      </c>
      <c r="H978" s="8">
        <v>0</v>
      </c>
      <c r="I978" s="4">
        <v>0</v>
      </c>
    </row>
    <row r="979" spans="1:9" x14ac:dyDescent="0.2">
      <c r="A979" s="2">
        <v>5</v>
      </c>
      <c r="B979" s="1" t="s">
        <v>121</v>
      </c>
      <c r="C979" s="4">
        <v>8</v>
      </c>
      <c r="D979" s="8">
        <v>3.46</v>
      </c>
      <c r="E979" s="4">
        <v>4</v>
      </c>
      <c r="F979" s="8">
        <v>3.88</v>
      </c>
      <c r="G979" s="4">
        <v>4</v>
      </c>
      <c r="H979" s="8">
        <v>3.25</v>
      </c>
      <c r="I979" s="4">
        <v>0</v>
      </c>
    </row>
    <row r="980" spans="1:9" x14ac:dyDescent="0.2">
      <c r="A980" s="2">
        <v>5</v>
      </c>
      <c r="B980" s="1" t="s">
        <v>122</v>
      </c>
      <c r="C980" s="4">
        <v>8</v>
      </c>
      <c r="D980" s="8">
        <v>3.46</v>
      </c>
      <c r="E980" s="4">
        <v>4</v>
      </c>
      <c r="F980" s="8">
        <v>3.88</v>
      </c>
      <c r="G980" s="4">
        <v>4</v>
      </c>
      <c r="H980" s="8">
        <v>3.25</v>
      </c>
      <c r="I980" s="4">
        <v>0</v>
      </c>
    </row>
    <row r="981" spans="1:9" x14ac:dyDescent="0.2">
      <c r="A981" s="2">
        <v>7</v>
      </c>
      <c r="B981" s="1" t="s">
        <v>134</v>
      </c>
      <c r="C981" s="4">
        <v>6</v>
      </c>
      <c r="D981" s="8">
        <v>2.6</v>
      </c>
      <c r="E981" s="4">
        <v>6</v>
      </c>
      <c r="F981" s="8">
        <v>5.83</v>
      </c>
      <c r="G981" s="4">
        <v>0</v>
      </c>
      <c r="H981" s="8">
        <v>0</v>
      </c>
      <c r="I981" s="4">
        <v>0</v>
      </c>
    </row>
    <row r="982" spans="1:9" x14ac:dyDescent="0.2">
      <c r="A982" s="2">
        <v>7</v>
      </c>
      <c r="B982" s="1" t="s">
        <v>137</v>
      </c>
      <c r="C982" s="4">
        <v>6</v>
      </c>
      <c r="D982" s="8">
        <v>2.6</v>
      </c>
      <c r="E982" s="4">
        <v>4</v>
      </c>
      <c r="F982" s="8">
        <v>3.88</v>
      </c>
      <c r="G982" s="4">
        <v>2</v>
      </c>
      <c r="H982" s="8">
        <v>1.63</v>
      </c>
      <c r="I982" s="4">
        <v>0</v>
      </c>
    </row>
    <row r="983" spans="1:9" x14ac:dyDescent="0.2">
      <c r="A983" s="2">
        <v>9</v>
      </c>
      <c r="B983" s="1" t="s">
        <v>173</v>
      </c>
      <c r="C983" s="4">
        <v>5</v>
      </c>
      <c r="D983" s="8">
        <v>2.16</v>
      </c>
      <c r="E983" s="4">
        <v>2</v>
      </c>
      <c r="F983" s="8">
        <v>1.94</v>
      </c>
      <c r="G983" s="4">
        <v>3</v>
      </c>
      <c r="H983" s="8">
        <v>2.44</v>
      </c>
      <c r="I983" s="4">
        <v>0</v>
      </c>
    </row>
    <row r="984" spans="1:9" x14ac:dyDescent="0.2">
      <c r="A984" s="2">
        <v>9</v>
      </c>
      <c r="B984" s="1" t="s">
        <v>150</v>
      </c>
      <c r="C984" s="4">
        <v>5</v>
      </c>
      <c r="D984" s="8">
        <v>2.16</v>
      </c>
      <c r="E984" s="4">
        <v>3</v>
      </c>
      <c r="F984" s="8">
        <v>2.91</v>
      </c>
      <c r="G984" s="4">
        <v>2</v>
      </c>
      <c r="H984" s="8">
        <v>1.63</v>
      </c>
      <c r="I984" s="4">
        <v>0</v>
      </c>
    </row>
    <row r="985" spans="1:9" x14ac:dyDescent="0.2">
      <c r="A985" s="2">
        <v>9</v>
      </c>
      <c r="B985" s="1" t="s">
        <v>123</v>
      </c>
      <c r="C985" s="4">
        <v>5</v>
      </c>
      <c r="D985" s="8">
        <v>2.16</v>
      </c>
      <c r="E985" s="4">
        <v>3</v>
      </c>
      <c r="F985" s="8">
        <v>2.91</v>
      </c>
      <c r="G985" s="4">
        <v>2</v>
      </c>
      <c r="H985" s="8">
        <v>1.63</v>
      </c>
      <c r="I985" s="4">
        <v>0</v>
      </c>
    </row>
    <row r="986" spans="1:9" x14ac:dyDescent="0.2">
      <c r="A986" s="2">
        <v>9</v>
      </c>
      <c r="B986" s="1" t="s">
        <v>124</v>
      </c>
      <c r="C986" s="4">
        <v>5</v>
      </c>
      <c r="D986" s="8">
        <v>2.16</v>
      </c>
      <c r="E986" s="4">
        <v>4</v>
      </c>
      <c r="F986" s="8">
        <v>3.88</v>
      </c>
      <c r="G986" s="4">
        <v>1</v>
      </c>
      <c r="H986" s="8">
        <v>0.81</v>
      </c>
      <c r="I986" s="4">
        <v>0</v>
      </c>
    </row>
    <row r="987" spans="1:9" x14ac:dyDescent="0.2">
      <c r="A987" s="2">
        <v>9</v>
      </c>
      <c r="B987" s="1" t="s">
        <v>130</v>
      </c>
      <c r="C987" s="4">
        <v>5</v>
      </c>
      <c r="D987" s="8">
        <v>2.16</v>
      </c>
      <c r="E987" s="4">
        <v>2</v>
      </c>
      <c r="F987" s="8">
        <v>1.94</v>
      </c>
      <c r="G987" s="4">
        <v>3</v>
      </c>
      <c r="H987" s="8">
        <v>2.44</v>
      </c>
      <c r="I987" s="4">
        <v>0</v>
      </c>
    </row>
    <row r="988" spans="1:9" x14ac:dyDescent="0.2">
      <c r="A988" s="2">
        <v>9</v>
      </c>
      <c r="B988" s="1" t="s">
        <v>135</v>
      </c>
      <c r="C988" s="4">
        <v>5</v>
      </c>
      <c r="D988" s="8">
        <v>2.16</v>
      </c>
      <c r="E988" s="4">
        <v>4</v>
      </c>
      <c r="F988" s="8">
        <v>3.88</v>
      </c>
      <c r="G988" s="4">
        <v>1</v>
      </c>
      <c r="H988" s="8">
        <v>0.81</v>
      </c>
      <c r="I988" s="4">
        <v>0</v>
      </c>
    </row>
    <row r="989" spans="1:9" x14ac:dyDescent="0.2">
      <c r="A989" s="2">
        <v>15</v>
      </c>
      <c r="B989" s="1" t="s">
        <v>119</v>
      </c>
      <c r="C989" s="4">
        <v>4</v>
      </c>
      <c r="D989" s="8">
        <v>1.73</v>
      </c>
      <c r="E989" s="4">
        <v>2</v>
      </c>
      <c r="F989" s="8">
        <v>1.94</v>
      </c>
      <c r="G989" s="4">
        <v>2</v>
      </c>
      <c r="H989" s="8">
        <v>1.63</v>
      </c>
      <c r="I989" s="4">
        <v>0</v>
      </c>
    </row>
    <row r="990" spans="1:9" x14ac:dyDescent="0.2">
      <c r="A990" s="2">
        <v>15</v>
      </c>
      <c r="B990" s="1" t="s">
        <v>167</v>
      </c>
      <c r="C990" s="4">
        <v>4</v>
      </c>
      <c r="D990" s="8">
        <v>1.73</v>
      </c>
      <c r="E990" s="4">
        <v>3</v>
      </c>
      <c r="F990" s="8">
        <v>2.91</v>
      </c>
      <c r="G990" s="4">
        <v>1</v>
      </c>
      <c r="H990" s="8">
        <v>0.81</v>
      </c>
      <c r="I990" s="4">
        <v>0</v>
      </c>
    </row>
    <row r="991" spans="1:9" x14ac:dyDescent="0.2">
      <c r="A991" s="2">
        <v>15</v>
      </c>
      <c r="B991" s="1" t="s">
        <v>177</v>
      </c>
      <c r="C991" s="4">
        <v>4</v>
      </c>
      <c r="D991" s="8">
        <v>1.73</v>
      </c>
      <c r="E991" s="4">
        <v>0</v>
      </c>
      <c r="F991" s="8">
        <v>0</v>
      </c>
      <c r="G991" s="4">
        <v>4</v>
      </c>
      <c r="H991" s="8">
        <v>3.25</v>
      </c>
      <c r="I991" s="4">
        <v>0</v>
      </c>
    </row>
    <row r="992" spans="1:9" x14ac:dyDescent="0.2">
      <c r="A992" s="2">
        <v>15</v>
      </c>
      <c r="B992" s="1" t="s">
        <v>131</v>
      </c>
      <c r="C992" s="4">
        <v>4</v>
      </c>
      <c r="D992" s="8">
        <v>1.73</v>
      </c>
      <c r="E992" s="4">
        <v>4</v>
      </c>
      <c r="F992" s="8">
        <v>3.88</v>
      </c>
      <c r="G992" s="4">
        <v>0</v>
      </c>
      <c r="H992" s="8">
        <v>0</v>
      </c>
      <c r="I992" s="4">
        <v>0</v>
      </c>
    </row>
    <row r="993" spans="1:9" x14ac:dyDescent="0.2">
      <c r="A993" s="2">
        <v>15</v>
      </c>
      <c r="B993" s="1" t="s">
        <v>148</v>
      </c>
      <c r="C993" s="4">
        <v>4</v>
      </c>
      <c r="D993" s="8">
        <v>1.73</v>
      </c>
      <c r="E993" s="4">
        <v>3</v>
      </c>
      <c r="F993" s="8">
        <v>2.91</v>
      </c>
      <c r="G993" s="4">
        <v>1</v>
      </c>
      <c r="H993" s="8">
        <v>0.81</v>
      </c>
      <c r="I993" s="4">
        <v>0</v>
      </c>
    </row>
    <row r="994" spans="1:9" x14ac:dyDescent="0.2">
      <c r="A994" s="2">
        <v>15</v>
      </c>
      <c r="B994" s="1" t="s">
        <v>132</v>
      </c>
      <c r="C994" s="4">
        <v>4</v>
      </c>
      <c r="D994" s="8">
        <v>1.73</v>
      </c>
      <c r="E994" s="4">
        <v>4</v>
      </c>
      <c r="F994" s="8">
        <v>3.88</v>
      </c>
      <c r="G994" s="4">
        <v>0</v>
      </c>
      <c r="H994" s="8">
        <v>0</v>
      </c>
      <c r="I994" s="4">
        <v>0</v>
      </c>
    </row>
    <row r="995" spans="1:9" x14ac:dyDescent="0.2">
      <c r="A995" s="2">
        <v>15</v>
      </c>
      <c r="B995" s="1" t="s">
        <v>136</v>
      </c>
      <c r="C995" s="4">
        <v>4</v>
      </c>
      <c r="D995" s="8">
        <v>1.73</v>
      </c>
      <c r="E995" s="4">
        <v>3</v>
      </c>
      <c r="F995" s="8">
        <v>2.91</v>
      </c>
      <c r="G995" s="4">
        <v>1</v>
      </c>
      <c r="H995" s="8">
        <v>0.81</v>
      </c>
      <c r="I995" s="4">
        <v>0</v>
      </c>
    </row>
    <row r="996" spans="1:9" x14ac:dyDescent="0.2">
      <c r="A996" s="1"/>
      <c r="C996" s="4"/>
      <c r="D996" s="8"/>
      <c r="E996" s="4"/>
      <c r="F996" s="8"/>
      <c r="G996" s="4"/>
      <c r="H996" s="8"/>
      <c r="I996" s="4"/>
    </row>
    <row r="997" spans="1:9" x14ac:dyDescent="0.2">
      <c r="A997" s="1" t="s">
        <v>43</v>
      </c>
      <c r="C997" s="4"/>
      <c r="D997" s="8"/>
      <c r="E997" s="4"/>
      <c r="F997" s="8"/>
      <c r="G997" s="4"/>
      <c r="H997" s="8"/>
      <c r="I997" s="4"/>
    </row>
    <row r="998" spans="1:9" x14ac:dyDescent="0.2">
      <c r="A998" s="2">
        <v>1</v>
      </c>
      <c r="B998" s="1" t="s">
        <v>120</v>
      </c>
      <c r="C998" s="4">
        <v>45</v>
      </c>
      <c r="D998" s="8">
        <v>5.39</v>
      </c>
      <c r="E998" s="4">
        <v>33</v>
      </c>
      <c r="F998" s="8">
        <v>6.52</v>
      </c>
      <c r="G998" s="4">
        <v>12</v>
      </c>
      <c r="H998" s="8">
        <v>3.7</v>
      </c>
      <c r="I998" s="4">
        <v>0</v>
      </c>
    </row>
    <row r="999" spans="1:9" x14ac:dyDescent="0.2">
      <c r="A999" s="2">
        <v>2</v>
      </c>
      <c r="B999" s="1" t="s">
        <v>129</v>
      </c>
      <c r="C999" s="4">
        <v>34</v>
      </c>
      <c r="D999" s="8">
        <v>4.07</v>
      </c>
      <c r="E999" s="4">
        <v>29</v>
      </c>
      <c r="F999" s="8">
        <v>5.73</v>
      </c>
      <c r="G999" s="4">
        <v>5</v>
      </c>
      <c r="H999" s="8">
        <v>1.54</v>
      </c>
      <c r="I999" s="4">
        <v>0</v>
      </c>
    </row>
    <row r="1000" spans="1:9" x14ac:dyDescent="0.2">
      <c r="A1000" s="2">
        <v>3</v>
      </c>
      <c r="B1000" s="1" t="s">
        <v>134</v>
      </c>
      <c r="C1000" s="4">
        <v>32</v>
      </c>
      <c r="D1000" s="8">
        <v>3.83</v>
      </c>
      <c r="E1000" s="4">
        <v>30</v>
      </c>
      <c r="F1000" s="8">
        <v>5.93</v>
      </c>
      <c r="G1000" s="4">
        <v>2</v>
      </c>
      <c r="H1000" s="8">
        <v>0.62</v>
      </c>
      <c r="I1000" s="4">
        <v>0</v>
      </c>
    </row>
    <row r="1001" spans="1:9" x14ac:dyDescent="0.2">
      <c r="A1001" s="2">
        <v>4</v>
      </c>
      <c r="B1001" s="1" t="s">
        <v>133</v>
      </c>
      <c r="C1001" s="4">
        <v>31</v>
      </c>
      <c r="D1001" s="8">
        <v>3.71</v>
      </c>
      <c r="E1001" s="4">
        <v>28</v>
      </c>
      <c r="F1001" s="8">
        <v>5.53</v>
      </c>
      <c r="G1001" s="4">
        <v>3</v>
      </c>
      <c r="H1001" s="8">
        <v>0.93</v>
      </c>
      <c r="I1001" s="4">
        <v>0</v>
      </c>
    </row>
    <row r="1002" spans="1:9" x14ac:dyDescent="0.2">
      <c r="A1002" s="2">
        <v>5</v>
      </c>
      <c r="B1002" s="1" t="s">
        <v>124</v>
      </c>
      <c r="C1002" s="4">
        <v>28</v>
      </c>
      <c r="D1002" s="8">
        <v>3.35</v>
      </c>
      <c r="E1002" s="4">
        <v>14</v>
      </c>
      <c r="F1002" s="8">
        <v>2.77</v>
      </c>
      <c r="G1002" s="4">
        <v>14</v>
      </c>
      <c r="H1002" s="8">
        <v>4.32</v>
      </c>
      <c r="I1002" s="4">
        <v>0</v>
      </c>
    </row>
    <row r="1003" spans="1:9" x14ac:dyDescent="0.2">
      <c r="A1003" s="2">
        <v>6</v>
      </c>
      <c r="B1003" s="1" t="s">
        <v>137</v>
      </c>
      <c r="C1003" s="4">
        <v>26</v>
      </c>
      <c r="D1003" s="8">
        <v>3.11</v>
      </c>
      <c r="E1003" s="4">
        <v>18</v>
      </c>
      <c r="F1003" s="8">
        <v>3.56</v>
      </c>
      <c r="G1003" s="4">
        <v>8</v>
      </c>
      <c r="H1003" s="8">
        <v>2.4700000000000002</v>
      </c>
      <c r="I1003" s="4">
        <v>0</v>
      </c>
    </row>
    <row r="1004" spans="1:9" x14ac:dyDescent="0.2">
      <c r="A1004" s="2">
        <v>7</v>
      </c>
      <c r="B1004" s="1" t="s">
        <v>121</v>
      </c>
      <c r="C1004" s="4">
        <v>23</v>
      </c>
      <c r="D1004" s="8">
        <v>2.75</v>
      </c>
      <c r="E1004" s="4">
        <v>12</v>
      </c>
      <c r="F1004" s="8">
        <v>2.37</v>
      </c>
      <c r="G1004" s="4">
        <v>11</v>
      </c>
      <c r="H1004" s="8">
        <v>3.4</v>
      </c>
      <c r="I1004" s="4">
        <v>0</v>
      </c>
    </row>
    <row r="1005" spans="1:9" x14ac:dyDescent="0.2">
      <c r="A1005" s="2">
        <v>8</v>
      </c>
      <c r="B1005" s="1" t="s">
        <v>131</v>
      </c>
      <c r="C1005" s="4">
        <v>18</v>
      </c>
      <c r="D1005" s="8">
        <v>2.16</v>
      </c>
      <c r="E1005" s="4">
        <v>16</v>
      </c>
      <c r="F1005" s="8">
        <v>3.16</v>
      </c>
      <c r="G1005" s="4">
        <v>2</v>
      </c>
      <c r="H1005" s="8">
        <v>0.62</v>
      </c>
      <c r="I1005" s="4">
        <v>0</v>
      </c>
    </row>
    <row r="1006" spans="1:9" x14ac:dyDescent="0.2">
      <c r="A1006" s="2">
        <v>9</v>
      </c>
      <c r="B1006" s="1" t="s">
        <v>132</v>
      </c>
      <c r="C1006" s="4">
        <v>17</v>
      </c>
      <c r="D1006" s="8">
        <v>2.04</v>
      </c>
      <c r="E1006" s="4">
        <v>16</v>
      </c>
      <c r="F1006" s="8">
        <v>3.16</v>
      </c>
      <c r="G1006" s="4">
        <v>1</v>
      </c>
      <c r="H1006" s="8">
        <v>0.31</v>
      </c>
      <c r="I1006" s="4">
        <v>0</v>
      </c>
    </row>
    <row r="1007" spans="1:9" x14ac:dyDescent="0.2">
      <c r="A1007" s="2">
        <v>10</v>
      </c>
      <c r="B1007" s="1" t="s">
        <v>123</v>
      </c>
      <c r="C1007" s="4">
        <v>15</v>
      </c>
      <c r="D1007" s="8">
        <v>1.8</v>
      </c>
      <c r="E1007" s="4">
        <v>12</v>
      </c>
      <c r="F1007" s="8">
        <v>2.37</v>
      </c>
      <c r="G1007" s="4">
        <v>3</v>
      </c>
      <c r="H1007" s="8">
        <v>0.93</v>
      </c>
      <c r="I1007" s="4">
        <v>0</v>
      </c>
    </row>
    <row r="1008" spans="1:9" x14ac:dyDescent="0.2">
      <c r="A1008" s="2">
        <v>10</v>
      </c>
      <c r="B1008" s="1" t="s">
        <v>127</v>
      </c>
      <c r="C1008" s="4">
        <v>15</v>
      </c>
      <c r="D1008" s="8">
        <v>1.8</v>
      </c>
      <c r="E1008" s="4">
        <v>11</v>
      </c>
      <c r="F1008" s="8">
        <v>2.17</v>
      </c>
      <c r="G1008" s="4">
        <v>4</v>
      </c>
      <c r="H1008" s="8">
        <v>1.23</v>
      </c>
      <c r="I1008" s="4">
        <v>0</v>
      </c>
    </row>
    <row r="1009" spans="1:9" x14ac:dyDescent="0.2">
      <c r="A1009" s="2">
        <v>12</v>
      </c>
      <c r="B1009" s="1" t="s">
        <v>136</v>
      </c>
      <c r="C1009" s="4">
        <v>14</v>
      </c>
      <c r="D1009" s="8">
        <v>1.68</v>
      </c>
      <c r="E1009" s="4">
        <v>13</v>
      </c>
      <c r="F1009" s="8">
        <v>2.57</v>
      </c>
      <c r="G1009" s="4">
        <v>1</v>
      </c>
      <c r="H1009" s="8">
        <v>0.31</v>
      </c>
      <c r="I1009" s="4">
        <v>0</v>
      </c>
    </row>
    <row r="1010" spans="1:9" x14ac:dyDescent="0.2">
      <c r="A1010" s="2">
        <v>13</v>
      </c>
      <c r="B1010" s="1" t="s">
        <v>119</v>
      </c>
      <c r="C1010" s="4">
        <v>13</v>
      </c>
      <c r="D1010" s="8">
        <v>1.56</v>
      </c>
      <c r="E1010" s="4">
        <v>7</v>
      </c>
      <c r="F1010" s="8">
        <v>1.38</v>
      </c>
      <c r="G1010" s="4">
        <v>6</v>
      </c>
      <c r="H1010" s="8">
        <v>1.85</v>
      </c>
      <c r="I1010" s="4">
        <v>0</v>
      </c>
    </row>
    <row r="1011" spans="1:9" x14ac:dyDescent="0.2">
      <c r="A1011" s="2">
        <v>14</v>
      </c>
      <c r="B1011" s="1" t="s">
        <v>144</v>
      </c>
      <c r="C1011" s="4">
        <v>11</v>
      </c>
      <c r="D1011" s="8">
        <v>1.32</v>
      </c>
      <c r="E1011" s="4">
        <v>3</v>
      </c>
      <c r="F1011" s="8">
        <v>0.59</v>
      </c>
      <c r="G1011" s="4">
        <v>8</v>
      </c>
      <c r="H1011" s="8">
        <v>2.4700000000000002</v>
      </c>
      <c r="I1011" s="4">
        <v>0</v>
      </c>
    </row>
    <row r="1012" spans="1:9" x14ac:dyDescent="0.2">
      <c r="A1012" s="2">
        <v>14</v>
      </c>
      <c r="B1012" s="1" t="s">
        <v>154</v>
      </c>
      <c r="C1012" s="4">
        <v>11</v>
      </c>
      <c r="D1012" s="8">
        <v>1.32</v>
      </c>
      <c r="E1012" s="4">
        <v>8</v>
      </c>
      <c r="F1012" s="8">
        <v>1.58</v>
      </c>
      <c r="G1012" s="4">
        <v>3</v>
      </c>
      <c r="H1012" s="8">
        <v>0.93</v>
      </c>
      <c r="I1012" s="4">
        <v>0</v>
      </c>
    </row>
    <row r="1013" spans="1:9" x14ac:dyDescent="0.2">
      <c r="A1013" s="2">
        <v>16</v>
      </c>
      <c r="B1013" s="1" t="s">
        <v>153</v>
      </c>
      <c r="C1013" s="4">
        <v>10</v>
      </c>
      <c r="D1013" s="8">
        <v>1.2</v>
      </c>
      <c r="E1013" s="4">
        <v>6</v>
      </c>
      <c r="F1013" s="8">
        <v>1.19</v>
      </c>
      <c r="G1013" s="4">
        <v>4</v>
      </c>
      <c r="H1013" s="8">
        <v>1.23</v>
      </c>
      <c r="I1013" s="4">
        <v>0</v>
      </c>
    </row>
    <row r="1014" spans="1:9" x14ac:dyDescent="0.2">
      <c r="A1014" s="2">
        <v>16</v>
      </c>
      <c r="B1014" s="1" t="s">
        <v>146</v>
      </c>
      <c r="C1014" s="4">
        <v>10</v>
      </c>
      <c r="D1014" s="8">
        <v>1.2</v>
      </c>
      <c r="E1014" s="4">
        <v>6</v>
      </c>
      <c r="F1014" s="8">
        <v>1.19</v>
      </c>
      <c r="G1014" s="4">
        <v>4</v>
      </c>
      <c r="H1014" s="8">
        <v>1.23</v>
      </c>
      <c r="I1014" s="4">
        <v>0</v>
      </c>
    </row>
    <row r="1015" spans="1:9" x14ac:dyDescent="0.2">
      <c r="A1015" s="2">
        <v>16</v>
      </c>
      <c r="B1015" s="1" t="s">
        <v>122</v>
      </c>
      <c r="C1015" s="4">
        <v>10</v>
      </c>
      <c r="D1015" s="8">
        <v>1.2</v>
      </c>
      <c r="E1015" s="4">
        <v>2</v>
      </c>
      <c r="F1015" s="8">
        <v>0.4</v>
      </c>
      <c r="G1015" s="4">
        <v>8</v>
      </c>
      <c r="H1015" s="8">
        <v>2.4700000000000002</v>
      </c>
      <c r="I1015" s="4">
        <v>0</v>
      </c>
    </row>
    <row r="1016" spans="1:9" x14ac:dyDescent="0.2">
      <c r="A1016" s="2">
        <v>16</v>
      </c>
      <c r="B1016" s="1" t="s">
        <v>174</v>
      </c>
      <c r="C1016" s="4">
        <v>10</v>
      </c>
      <c r="D1016" s="8">
        <v>1.2</v>
      </c>
      <c r="E1016" s="4">
        <v>8</v>
      </c>
      <c r="F1016" s="8">
        <v>1.58</v>
      </c>
      <c r="G1016" s="4">
        <v>2</v>
      </c>
      <c r="H1016" s="8">
        <v>0.62</v>
      </c>
      <c r="I1016" s="4">
        <v>0</v>
      </c>
    </row>
    <row r="1017" spans="1:9" x14ac:dyDescent="0.2">
      <c r="A1017" s="2">
        <v>16</v>
      </c>
      <c r="B1017" s="1" t="s">
        <v>157</v>
      </c>
      <c r="C1017" s="4">
        <v>10</v>
      </c>
      <c r="D1017" s="8">
        <v>1.2</v>
      </c>
      <c r="E1017" s="4">
        <v>8</v>
      </c>
      <c r="F1017" s="8">
        <v>1.58</v>
      </c>
      <c r="G1017" s="4">
        <v>2</v>
      </c>
      <c r="H1017" s="8">
        <v>0.62</v>
      </c>
      <c r="I1017" s="4">
        <v>0</v>
      </c>
    </row>
    <row r="1018" spans="1:9" x14ac:dyDescent="0.2">
      <c r="A1018" s="2">
        <v>16</v>
      </c>
      <c r="B1018" s="1" t="s">
        <v>126</v>
      </c>
      <c r="C1018" s="4">
        <v>10</v>
      </c>
      <c r="D1018" s="8">
        <v>1.2</v>
      </c>
      <c r="E1018" s="4">
        <v>3</v>
      </c>
      <c r="F1018" s="8">
        <v>0.59</v>
      </c>
      <c r="G1018" s="4">
        <v>7</v>
      </c>
      <c r="H1018" s="8">
        <v>2.16</v>
      </c>
      <c r="I1018" s="4">
        <v>0</v>
      </c>
    </row>
    <row r="1019" spans="1:9" x14ac:dyDescent="0.2">
      <c r="A1019" s="2">
        <v>16</v>
      </c>
      <c r="B1019" s="1" t="s">
        <v>139</v>
      </c>
      <c r="C1019" s="4">
        <v>10</v>
      </c>
      <c r="D1019" s="8">
        <v>1.2</v>
      </c>
      <c r="E1019" s="4">
        <v>6</v>
      </c>
      <c r="F1019" s="8">
        <v>1.19</v>
      </c>
      <c r="G1019" s="4">
        <v>4</v>
      </c>
      <c r="H1019" s="8">
        <v>1.23</v>
      </c>
      <c r="I1019" s="4">
        <v>0</v>
      </c>
    </row>
    <row r="1020" spans="1:9" x14ac:dyDescent="0.2">
      <c r="A1020" s="1"/>
      <c r="C1020" s="4"/>
      <c r="D1020" s="8"/>
      <c r="E1020" s="4"/>
      <c r="F1020" s="8"/>
      <c r="G1020" s="4"/>
      <c r="H1020" s="8"/>
      <c r="I1020" s="4"/>
    </row>
    <row r="1021" spans="1:9" x14ac:dyDescent="0.2">
      <c r="A1021" s="1" t="s">
        <v>44</v>
      </c>
      <c r="C1021" s="4"/>
      <c r="D1021" s="8"/>
      <c r="E1021" s="4"/>
      <c r="F1021" s="8"/>
      <c r="G1021" s="4"/>
      <c r="H1021" s="8"/>
      <c r="I1021" s="4"/>
    </row>
    <row r="1022" spans="1:9" x14ac:dyDescent="0.2">
      <c r="A1022" s="2">
        <v>1</v>
      </c>
      <c r="B1022" s="1" t="s">
        <v>134</v>
      </c>
      <c r="C1022" s="4">
        <v>18</v>
      </c>
      <c r="D1022" s="8">
        <v>7</v>
      </c>
      <c r="E1022" s="4">
        <v>18</v>
      </c>
      <c r="F1022" s="8">
        <v>13.14</v>
      </c>
      <c r="G1022" s="4">
        <v>0</v>
      </c>
      <c r="H1022" s="8">
        <v>0</v>
      </c>
      <c r="I1022" s="4">
        <v>0</v>
      </c>
    </row>
    <row r="1023" spans="1:9" x14ac:dyDescent="0.2">
      <c r="A1023" s="2">
        <v>2</v>
      </c>
      <c r="B1023" s="1" t="s">
        <v>121</v>
      </c>
      <c r="C1023" s="4">
        <v>9</v>
      </c>
      <c r="D1023" s="8">
        <v>3.5</v>
      </c>
      <c r="E1023" s="4">
        <v>2</v>
      </c>
      <c r="F1023" s="8">
        <v>1.46</v>
      </c>
      <c r="G1023" s="4">
        <v>7</v>
      </c>
      <c r="H1023" s="8">
        <v>6.09</v>
      </c>
      <c r="I1023" s="4">
        <v>0</v>
      </c>
    </row>
    <row r="1024" spans="1:9" x14ac:dyDescent="0.2">
      <c r="A1024" s="2">
        <v>2</v>
      </c>
      <c r="B1024" s="1" t="s">
        <v>124</v>
      </c>
      <c r="C1024" s="4">
        <v>9</v>
      </c>
      <c r="D1024" s="8">
        <v>3.5</v>
      </c>
      <c r="E1024" s="4">
        <v>6</v>
      </c>
      <c r="F1024" s="8">
        <v>4.38</v>
      </c>
      <c r="G1024" s="4">
        <v>3</v>
      </c>
      <c r="H1024" s="8">
        <v>2.61</v>
      </c>
      <c r="I1024" s="4">
        <v>0</v>
      </c>
    </row>
    <row r="1025" spans="1:9" x14ac:dyDescent="0.2">
      <c r="A1025" s="2">
        <v>4</v>
      </c>
      <c r="B1025" s="1" t="s">
        <v>133</v>
      </c>
      <c r="C1025" s="4">
        <v>8</v>
      </c>
      <c r="D1025" s="8">
        <v>3.11</v>
      </c>
      <c r="E1025" s="4">
        <v>8</v>
      </c>
      <c r="F1025" s="8">
        <v>5.84</v>
      </c>
      <c r="G1025" s="4">
        <v>0</v>
      </c>
      <c r="H1025" s="8">
        <v>0</v>
      </c>
      <c r="I1025" s="4">
        <v>0</v>
      </c>
    </row>
    <row r="1026" spans="1:9" x14ac:dyDescent="0.2">
      <c r="A1026" s="2">
        <v>4</v>
      </c>
      <c r="B1026" s="1" t="s">
        <v>137</v>
      </c>
      <c r="C1026" s="4">
        <v>8</v>
      </c>
      <c r="D1026" s="8">
        <v>3.11</v>
      </c>
      <c r="E1026" s="4">
        <v>5</v>
      </c>
      <c r="F1026" s="8">
        <v>3.65</v>
      </c>
      <c r="G1026" s="4">
        <v>3</v>
      </c>
      <c r="H1026" s="8">
        <v>2.61</v>
      </c>
      <c r="I1026" s="4">
        <v>0</v>
      </c>
    </row>
    <row r="1027" spans="1:9" x14ac:dyDescent="0.2">
      <c r="A1027" s="2">
        <v>6</v>
      </c>
      <c r="B1027" s="1" t="s">
        <v>118</v>
      </c>
      <c r="C1027" s="4">
        <v>7</v>
      </c>
      <c r="D1027" s="8">
        <v>2.72</v>
      </c>
      <c r="E1027" s="4">
        <v>0</v>
      </c>
      <c r="F1027" s="8">
        <v>0</v>
      </c>
      <c r="G1027" s="4">
        <v>7</v>
      </c>
      <c r="H1027" s="8">
        <v>6.09</v>
      </c>
      <c r="I1027" s="4">
        <v>0</v>
      </c>
    </row>
    <row r="1028" spans="1:9" x14ac:dyDescent="0.2">
      <c r="A1028" s="2">
        <v>6</v>
      </c>
      <c r="B1028" s="1" t="s">
        <v>120</v>
      </c>
      <c r="C1028" s="4">
        <v>7</v>
      </c>
      <c r="D1028" s="8">
        <v>2.72</v>
      </c>
      <c r="E1028" s="4">
        <v>5</v>
      </c>
      <c r="F1028" s="8">
        <v>3.65</v>
      </c>
      <c r="G1028" s="4">
        <v>2</v>
      </c>
      <c r="H1028" s="8">
        <v>1.74</v>
      </c>
      <c r="I1028" s="4">
        <v>0</v>
      </c>
    </row>
    <row r="1029" spans="1:9" x14ac:dyDescent="0.2">
      <c r="A1029" s="2">
        <v>8</v>
      </c>
      <c r="B1029" s="1" t="s">
        <v>131</v>
      </c>
      <c r="C1029" s="4">
        <v>6</v>
      </c>
      <c r="D1029" s="8">
        <v>2.33</v>
      </c>
      <c r="E1029" s="4">
        <v>5</v>
      </c>
      <c r="F1029" s="8">
        <v>3.65</v>
      </c>
      <c r="G1029" s="4">
        <v>1</v>
      </c>
      <c r="H1029" s="8">
        <v>0.87</v>
      </c>
      <c r="I1029" s="4">
        <v>0</v>
      </c>
    </row>
    <row r="1030" spans="1:9" x14ac:dyDescent="0.2">
      <c r="A1030" s="2">
        <v>9</v>
      </c>
      <c r="B1030" s="1" t="s">
        <v>151</v>
      </c>
      <c r="C1030" s="4">
        <v>5</v>
      </c>
      <c r="D1030" s="8">
        <v>1.95</v>
      </c>
      <c r="E1030" s="4">
        <v>1</v>
      </c>
      <c r="F1030" s="8">
        <v>0.73</v>
      </c>
      <c r="G1030" s="4">
        <v>4</v>
      </c>
      <c r="H1030" s="8">
        <v>3.48</v>
      </c>
      <c r="I1030" s="4">
        <v>0</v>
      </c>
    </row>
    <row r="1031" spans="1:9" x14ac:dyDescent="0.2">
      <c r="A1031" s="2">
        <v>9</v>
      </c>
      <c r="B1031" s="1" t="s">
        <v>181</v>
      </c>
      <c r="C1031" s="4">
        <v>5</v>
      </c>
      <c r="D1031" s="8">
        <v>1.95</v>
      </c>
      <c r="E1031" s="4">
        <v>0</v>
      </c>
      <c r="F1031" s="8">
        <v>0</v>
      </c>
      <c r="G1031" s="4">
        <v>5</v>
      </c>
      <c r="H1031" s="8">
        <v>4.3499999999999996</v>
      </c>
      <c r="I1031" s="4">
        <v>0</v>
      </c>
    </row>
    <row r="1032" spans="1:9" x14ac:dyDescent="0.2">
      <c r="A1032" s="2">
        <v>9</v>
      </c>
      <c r="B1032" s="1" t="s">
        <v>147</v>
      </c>
      <c r="C1032" s="4">
        <v>5</v>
      </c>
      <c r="D1032" s="8">
        <v>1.95</v>
      </c>
      <c r="E1032" s="4">
        <v>4</v>
      </c>
      <c r="F1032" s="8">
        <v>2.92</v>
      </c>
      <c r="G1032" s="4">
        <v>1</v>
      </c>
      <c r="H1032" s="8">
        <v>0.87</v>
      </c>
      <c r="I1032" s="4">
        <v>0</v>
      </c>
    </row>
    <row r="1033" spans="1:9" x14ac:dyDescent="0.2">
      <c r="A1033" s="2">
        <v>9</v>
      </c>
      <c r="B1033" s="1" t="s">
        <v>140</v>
      </c>
      <c r="C1033" s="4">
        <v>5</v>
      </c>
      <c r="D1033" s="8">
        <v>1.95</v>
      </c>
      <c r="E1033" s="4">
        <v>3</v>
      </c>
      <c r="F1033" s="8">
        <v>2.19</v>
      </c>
      <c r="G1033" s="4">
        <v>2</v>
      </c>
      <c r="H1033" s="8">
        <v>1.74</v>
      </c>
      <c r="I1033" s="4">
        <v>0</v>
      </c>
    </row>
    <row r="1034" spans="1:9" x14ac:dyDescent="0.2">
      <c r="A1034" s="2">
        <v>9</v>
      </c>
      <c r="B1034" s="1" t="s">
        <v>127</v>
      </c>
      <c r="C1034" s="4">
        <v>5</v>
      </c>
      <c r="D1034" s="8">
        <v>1.95</v>
      </c>
      <c r="E1034" s="4">
        <v>1</v>
      </c>
      <c r="F1034" s="8">
        <v>0.73</v>
      </c>
      <c r="G1034" s="4">
        <v>4</v>
      </c>
      <c r="H1034" s="8">
        <v>3.48</v>
      </c>
      <c r="I1034" s="4">
        <v>0</v>
      </c>
    </row>
    <row r="1035" spans="1:9" x14ac:dyDescent="0.2">
      <c r="A1035" s="2">
        <v>9</v>
      </c>
      <c r="B1035" s="1" t="s">
        <v>130</v>
      </c>
      <c r="C1035" s="4">
        <v>5</v>
      </c>
      <c r="D1035" s="8">
        <v>1.95</v>
      </c>
      <c r="E1035" s="4">
        <v>3</v>
      </c>
      <c r="F1035" s="8">
        <v>2.19</v>
      </c>
      <c r="G1035" s="4">
        <v>2</v>
      </c>
      <c r="H1035" s="8">
        <v>1.74</v>
      </c>
      <c r="I1035" s="4">
        <v>0</v>
      </c>
    </row>
    <row r="1036" spans="1:9" x14ac:dyDescent="0.2">
      <c r="A1036" s="2">
        <v>9</v>
      </c>
      <c r="B1036" s="1" t="s">
        <v>139</v>
      </c>
      <c r="C1036" s="4">
        <v>5</v>
      </c>
      <c r="D1036" s="8">
        <v>1.95</v>
      </c>
      <c r="E1036" s="4">
        <v>4</v>
      </c>
      <c r="F1036" s="8">
        <v>2.92</v>
      </c>
      <c r="G1036" s="4">
        <v>1</v>
      </c>
      <c r="H1036" s="8">
        <v>0.87</v>
      </c>
      <c r="I1036" s="4">
        <v>0</v>
      </c>
    </row>
    <row r="1037" spans="1:9" x14ac:dyDescent="0.2">
      <c r="A1037" s="2">
        <v>9</v>
      </c>
      <c r="B1037" s="1" t="s">
        <v>135</v>
      </c>
      <c r="C1037" s="4">
        <v>5</v>
      </c>
      <c r="D1037" s="8">
        <v>1.95</v>
      </c>
      <c r="E1037" s="4">
        <v>5</v>
      </c>
      <c r="F1037" s="8">
        <v>3.65</v>
      </c>
      <c r="G1037" s="4">
        <v>0</v>
      </c>
      <c r="H1037" s="8">
        <v>0</v>
      </c>
      <c r="I1037" s="4">
        <v>0</v>
      </c>
    </row>
    <row r="1038" spans="1:9" x14ac:dyDescent="0.2">
      <c r="A1038" s="2">
        <v>17</v>
      </c>
      <c r="B1038" s="1" t="s">
        <v>153</v>
      </c>
      <c r="C1038" s="4">
        <v>4</v>
      </c>
      <c r="D1038" s="8">
        <v>1.56</v>
      </c>
      <c r="E1038" s="4">
        <v>1</v>
      </c>
      <c r="F1038" s="8">
        <v>0.73</v>
      </c>
      <c r="G1038" s="4">
        <v>3</v>
      </c>
      <c r="H1038" s="8">
        <v>2.61</v>
      </c>
      <c r="I1038" s="4">
        <v>0</v>
      </c>
    </row>
    <row r="1039" spans="1:9" x14ac:dyDescent="0.2">
      <c r="A1039" s="2">
        <v>17</v>
      </c>
      <c r="B1039" s="1" t="s">
        <v>155</v>
      </c>
      <c r="C1039" s="4">
        <v>4</v>
      </c>
      <c r="D1039" s="8">
        <v>1.56</v>
      </c>
      <c r="E1039" s="4">
        <v>3</v>
      </c>
      <c r="F1039" s="8">
        <v>2.19</v>
      </c>
      <c r="G1039" s="4">
        <v>1</v>
      </c>
      <c r="H1039" s="8">
        <v>0.87</v>
      </c>
      <c r="I1039" s="4">
        <v>0</v>
      </c>
    </row>
    <row r="1040" spans="1:9" x14ac:dyDescent="0.2">
      <c r="A1040" s="2">
        <v>17</v>
      </c>
      <c r="B1040" s="1" t="s">
        <v>123</v>
      </c>
      <c r="C1040" s="4">
        <v>4</v>
      </c>
      <c r="D1040" s="8">
        <v>1.56</v>
      </c>
      <c r="E1040" s="4">
        <v>4</v>
      </c>
      <c r="F1040" s="8">
        <v>2.92</v>
      </c>
      <c r="G1040" s="4">
        <v>0</v>
      </c>
      <c r="H1040" s="8">
        <v>0</v>
      </c>
      <c r="I1040" s="4">
        <v>0</v>
      </c>
    </row>
    <row r="1041" spans="1:9" x14ac:dyDescent="0.2">
      <c r="A1041" s="2">
        <v>17</v>
      </c>
      <c r="B1041" s="1" t="s">
        <v>191</v>
      </c>
      <c r="C1041" s="4">
        <v>4</v>
      </c>
      <c r="D1041" s="8">
        <v>1.56</v>
      </c>
      <c r="E1041" s="4">
        <v>2</v>
      </c>
      <c r="F1041" s="8">
        <v>1.46</v>
      </c>
      <c r="G1041" s="4">
        <v>2</v>
      </c>
      <c r="H1041" s="8">
        <v>1.74</v>
      </c>
      <c r="I1041" s="4">
        <v>0</v>
      </c>
    </row>
    <row r="1042" spans="1:9" x14ac:dyDescent="0.2">
      <c r="A1042" s="2">
        <v>17</v>
      </c>
      <c r="B1042" s="1" t="s">
        <v>170</v>
      </c>
      <c r="C1042" s="4">
        <v>4</v>
      </c>
      <c r="D1042" s="8">
        <v>1.56</v>
      </c>
      <c r="E1042" s="4">
        <v>2</v>
      </c>
      <c r="F1042" s="8">
        <v>1.46</v>
      </c>
      <c r="G1042" s="4">
        <v>2</v>
      </c>
      <c r="H1042" s="8">
        <v>1.74</v>
      </c>
      <c r="I1042" s="4">
        <v>0</v>
      </c>
    </row>
    <row r="1043" spans="1:9" x14ac:dyDescent="0.2">
      <c r="A1043" s="2">
        <v>17</v>
      </c>
      <c r="B1043" s="1" t="s">
        <v>126</v>
      </c>
      <c r="C1043" s="4">
        <v>4</v>
      </c>
      <c r="D1043" s="8">
        <v>1.56</v>
      </c>
      <c r="E1043" s="4">
        <v>1</v>
      </c>
      <c r="F1043" s="8">
        <v>0.73</v>
      </c>
      <c r="G1043" s="4">
        <v>3</v>
      </c>
      <c r="H1043" s="8">
        <v>2.61</v>
      </c>
      <c r="I1043" s="4">
        <v>0</v>
      </c>
    </row>
    <row r="1044" spans="1:9" x14ac:dyDescent="0.2">
      <c r="A1044" s="2">
        <v>17</v>
      </c>
      <c r="B1044" s="1" t="s">
        <v>136</v>
      </c>
      <c r="C1044" s="4">
        <v>4</v>
      </c>
      <c r="D1044" s="8">
        <v>1.56</v>
      </c>
      <c r="E1044" s="4">
        <v>4</v>
      </c>
      <c r="F1044" s="8">
        <v>2.92</v>
      </c>
      <c r="G1044" s="4">
        <v>0</v>
      </c>
      <c r="H1044" s="8">
        <v>0</v>
      </c>
      <c r="I1044" s="4">
        <v>0</v>
      </c>
    </row>
    <row r="1045" spans="1:9" x14ac:dyDescent="0.2">
      <c r="A1045" s="1"/>
      <c r="C1045" s="4"/>
      <c r="D1045" s="8"/>
      <c r="E1045" s="4"/>
      <c r="F1045" s="8"/>
      <c r="G1045" s="4"/>
      <c r="H1045" s="8"/>
      <c r="I104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4AFC-D756-4D6B-8ABE-28DEFE3E06A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0.24</v>
      </c>
      <c r="E5" s="12">
        <v>0</v>
      </c>
      <c r="F5" s="8">
        <v>0</v>
      </c>
      <c r="G5" s="12">
        <v>1</v>
      </c>
      <c r="H5" s="8">
        <v>0.88</v>
      </c>
      <c r="I5" s="12">
        <v>0</v>
      </c>
    </row>
    <row r="6" spans="2:9" ht="15" customHeight="1" x14ac:dyDescent="0.2">
      <c r="B6" t="s">
        <v>46</v>
      </c>
      <c r="C6" s="12">
        <v>107</v>
      </c>
      <c r="D6" s="8">
        <v>25.42</v>
      </c>
      <c r="E6" s="12">
        <v>71</v>
      </c>
      <c r="F6" s="8">
        <v>23.51</v>
      </c>
      <c r="G6" s="12">
        <v>36</v>
      </c>
      <c r="H6" s="8">
        <v>31.58</v>
      </c>
      <c r="I6" s="12">
        <v>0</v>
      </c>
    </row>
    <row r="7" spans="2:9" ht="15" customHeight="1" x14ac:dyDescent="0.2">
      <c r="B7" t="s">
        <v>47</v>
      </c>
      <c r="C7" s="12">
        <v>48</v>
      </c>
      <c r="D7" s="8">
        <v>11.4</v>
      </c>
      <c r="E7" s="12">
        <v>32</v>
      </c>
      <c r="F7" s="8">
        <v>10.6</v>
      </c>
      <c r="G7" s="12">
        <v>16</v>
      </c>
      <c r="H7" s="8">
        <v>14.04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0.71</v>
      </c>
      <c r="E8" s="12">
        <v>0</v>
      </c>
      <c r="F8" s="8">
        <v>0</v>
      </c>
      <c r="G8" s="12">
        <v>2</v>
      </c>
      <c r="H8" s="8">
        <v>1.75</v>
      </c>
      <c r="I8" s="12">
        <v>0</v>
      </c>
    </row>
    <row r="9" spans="2:9" ht="15" customHeight="1" x14ac:dyDescent="0.2">
      <c r="B9" t="s">
        <v>49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0.88</v>
      </c>
      <c r="I9" s="12">
        <v>0</v>
      </c>
    </row>
    <row r="10" spans="2:9" ht="15" customHeight="1" x14ac:dyDescent="0.2">
      <c r="B10" t="s">
        <v>50</v>
      </c>
      <c r="C10" s="12">
        <v>4</v>
      </c>
      <c r="D10" s="8">
        <v>0.95</v>
      </c>
      <c r="E10" s="12">
        <v>2</v>
      </c>
      <c r="F10" s="8">
        <v>0.66</v>
      </c>
      <c r="G10" s="12">
        <v>2</v>
      </c>
      <c r="H10" s="8">
        <v>1.75</v>
      </c>
      <c r="I10" s="12">
        <v>0</v>
      </c>
    </row>
    <row r="11" spans="2:9" ht="15" customHeight="1" x14ac:dyDescent="0.2">
      <c r="B11" t="s">
        <v>51</v>
      </c>
      <c r="C11" s="12">
        <v>98</v>
      </c>
      <c r="D11" s="8">
        <v>23.28</v>
      </c>
      <c r="E11" s="12">
        <v>75</v>
      </c>
      <c r="F11" s="8">
        <v>24.83</v>
      </c>
      <c r="G11" s="12">
        <v>23</v>
      </c>
      <c r="H11" s="8">
        <v>20.18</v>
      </c>
      <c r="I11" s="12">
        <v>0</v>
      </c>
    </row>
    <row r="12" spans="2:9" ht="15" customHeight="1" x14ac:dyDescent="0.2">
      <c r="B12" t="s">
        <v>52</v>
      </c>
      <c r="C12" s="12">
        <v>3</v>
      </c>
      <c r="D12" s="8">
        <v>0.71</v>
      </c>
      <c r="E12" s="12">
        <v>2</v>
      </c>
      <c r="F12" s="8">
        <v>0.66</v>
      </c>
      <c r="G12" s="12">
        <v>1</v>
      </c>
      <c r="H12" s="8">
        <v>0.88</v>
      </c>
      <c r="I12" s="12">
        <v>0</v>
      </c>
    </row>
    <row r="13" spans="2:9" ht="15" customHeight="1" x14ac:dyDescent="0.2">
      <c r="B13" t="s">
        <v>53</v>
      </c>
      <c r="C13" s="12">
        <v>7</v>
      </c>
      <c r="D13" s="8">
        <v>1.66</v>
      </c>
      <c r="E13" s="12">
        <v>2</v>
      </c>
      <c r="F13" s="8">
        <v>0.66</v>
      </c>
      <c r="G13" s="12">
        <v>5</v>
      </c>
      <c r="H13" s="8">
        <v>4.3899999999999997</v>
      </c>
      <c r="I13" s="12">
        <v>0</v>
      </c>
    </row>
    <row r="14" spans="2:9" ht="15" customHeight="1" x14ac:dyDescent="0.2">
      <c r="B14" t="s">
        <v>54</v>
      </c>
      <c r="C14" s="12">
        <v>20</v>
      </c>
      <c r="D14" s="8">
        <v>4.75</v>
      </c>
      <c r="E14" s="12">
        <v>12</v>
      </c>
      <c r="F14" s="8">
        <v>3.97</v>
      </c>
      <c r="G14" s="12">
        <v>7</v>
      </c>
      <c r="H14" s="8">
        <v>6.14</v>
      </c>
      <c r="I14" s="12">
        <v>0</v>
      </c>
    </row>
    <row r="15" spans="2:9" ht="15" customHeight="1" x14ac:dyDescent="0.2">
      <c r="B15" t="s">
        <v>55</v>
      </c>
      <c r="C15" s="12">
        <v>23</v>
      </c>
      <c r="D15" s="8">
        <v>5.46</v>
      </c>
      <c r="E15" s="12">
        <v>21</v>
      </c>
      <c r="F15" s="8">
        <v>6.95</v>
      </c>
      <c r="G15" s="12">
        <v>2</v>
      </c>
      <c r="H15" s="8">
        <v>1.75</v>
      </c>
      <c r="I15" s="12">
        <v>0</v>
      </c>
    </row>
    <row r="16" spans="2:9" ht="15" customHeight="1" x14ac:dyDescent="0.2">
      <c r="B16" t="s">
        <v>56</v>
      </c>
      <c r="C16" s="12">
        <v>55</v>
      </c>
      <c r="D16" s="8">
        <v>13.06</v>
      </c>
      <c r="E16" s="12">
        <v>44</v>
      </c>
      <c r="F16" s="8">
        <v>14.57</v>
      </c>
      <c r="G16" s="12">
        <v>11</v>
      </c>
      <c r="H16" s="8">
        <v>9.65</v>
      </c>
      <c r="I16" s="12">
        <v>0</v>
      </c>
    </row>
    <row r="17" spans="2:9" ht="15" customHeight="1" x14ac:dyDescent="0.2">
      <c r="B17" t="s">
        <v>57</v>
      </c>
      <c r="C17" s="12">
        <v>12</v>
      </c>
      <c r="D17" s="8">
        <v>2.85</v>
      </c>
      <c r="E17" s="12">
        <v>10</v>
      </c>
      <c r="F17" s="8">
        <v>3.31</v>
      </c>
      <c r="G17" s="12">
        <v>1</v>
      </c>
      <c r="H17" s="8">
        <v>0.88</v>
      </c>
      <c r="I17" s="12">
        <v>0</v>
      </c>
    </row>
    <row r="18" spans="2:9" ht="15" customHeight="1" x14ac:dyDescent="0.2">
      <c r="B18" t="s">
        <v>58</v>
      </c>
      <c r="C18" s="12">
        <v>13</v>
      </c>
      <c r="D18" s="8">
        <v>3.09</v>
      </c>
      <c r="E18" s="12">
        <v>10</v>
      </c>
      <c r="F18" s="8">
        <v>3.31</v>
      </c>
      <c r="G18" s="12">
        <v>1</v>
      </c>
      <c r="H18" s="8">
        <v>0.88</v>
      </c>
      <c r="I18" s="12">
        <v>0</v>
      </c>
    </row>
    <row r="19" spans="2:9" ht="15" customHeight="1" x14ac:dyDescent="0.2">
      <c r="B19" t="s">
        <v>59</v>
      </c>
      <c r="C19" s="12">
        <v>26</v>
      </c>
      <c r="D19" s="8">
        <v>6.18</v>
      </c>
      <c r="E19" s="12">
        <v>21</v>
      </c>
      <c r="F19" s="8">
        <v>6.95</v>
      </c>
      <c r="G19" s="12">
        <v>5</v>
      </c>
      <c r="H19" s="8">
        <v>4.3899999999999997</v>
      </c>
      <c r="I19" s="12">
        <v>0</v>
      </c>
    </row>
    <row r="20" spans="2:9" ht="15" customHeight="1" x14ac:dyDescent="0.2">
      <c r="B20" s="9" t="s">
        <v>195</v>
      </c>
      <c r="C20" s="12">
        <f>SUM(LTBL_08310[総数／事業所数])</f>
        <v>421</v>
      </c>
      <c r="E20" s="12">
        <f>SUBTOTAL(109,LTBL_08310[個人／事業所数])</f>
        <v>302</v>
      </c>
      <c r="G20" s="12">
        <f>SUBTOTAL(109,LTBL_08310[法人／事業所数])</f>
        <v>114</v>
      </c>
      <c r="I20" s="12">
        <f>SUBTOTAL(109,LTBL_08310[法人以外の団体／事業所数])</f>
        <v>0</v>
      </c>
    </row>
    <row r="21" spans="2:9" ht="15" customHeight="1" x14ac:dyDescent="0.2">
      <c r="E21" s="11">
        <f>LTBL_08310[[#Totals],[個人／事業所数]]/LTBL_08310[[#Totals],[総数／事業所数]]</f>
        <v>0.71733966745843225</v>
      </c>
      <c r="G21" s="11">
        <f>LTBL_08310[[#Totals],[法人／事業所数]]/LTBL_08310[[#Totals],[総数／事業所数]]</f>
        <v>0.27078384798099764</v>
      </c>
      <c r="I21" s="11">
        <f>LTBL_08310[[#Totals],[法人以外の団体／事業所数]]/LTBL_08310[[#Totals],[総数／事業所数]]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69</v>
      </c>
      <c r="C24" s="12">
        <v>47</v>
      </c>
      <c r="D24" s="8">
        <v>11.16</v>
      </c>
      <c r="E24" s="12">
        <v>33</v>
      </c>
      <c r="F24" s="8">
        <v>10.93</v>
      </c>
      <c r="G24" s="12">
        <v>14</v>
      </c>
      <c r="H24" s="8">
        <v>12.28</v>
      </c>
      <c r="I24" s="12">
        <v>0</v>
      </c>
    </row>
    <row r="25" spans="2:9" ht="15" customHeight="1" x14ac:dyDescent="0.2">
      <c r="B25" t="s">
        <v>83</v>
      </c>
      <c r="C25" s="12">
        <v>45</v>
      </c>
      <c r="D25" s="8">
        <v>10.69</v>
      </c>
      <c r="E25" s="12">
        <v>39</v>
      </c>
      <c r="F25" s="8">
        <v>12.91</v>
      </c>
      <c r="G25" s="12">
        <v>6</v>
      </c>
      <c r="H25" s="8">
        <v>5.26</v>
      </c>
      <c r="I25" s="12">
        <v>0</v>
      </c>
    </row>
    <row r="26" spans="2:9" ht="15" customHeight="1" x14ac:dyDescent="0.2">
      <c r="B26" t="s">
        <v>68</v>
      </c>
      <c r="C26" s="12">
        <v>36</v>
      </c>
      <c r="D26" s="8">
        <v>8.5500000000000007</v>
      </c>
      <c r="E26" s="12">
        <v>24</v>
      </c>
      <c r="F26" s="8">
        <v>7.95</v>
      </c>
      <c r="G26" s="12">
        <v>12</v>
      </c>
      <c r="H26" s="8">
        <v>10.53</v>
      </c>
      <c r="I26" s="12">
        <v>0</v>
      </c>
    </row>
    <row r="27" spans="2:9" ht="15" customHeight="1" x14ac:dyDescent="0.2">
      <c r="B27" t="s">
        <v>77</v>
      </c>
      <c r="C27" s="12">
        <v>33</v>
      </c>
      <c r="D27" s="8">
        <v>7.84</v>
      </c>
      <c r="E27" s="12">
        <v>23</v>
      </c>
      <c r="F27" s="8">
        <v>7.62</v>
      </c>
      <c r="G27" s="12">
        <v>10</v>
      </c>
      <c r="H27" s="8">
        <v>8.77</v>
      </c>
      <c r="I27" s="12">
        <v>0</v>
      </c>
    </row>
    <row r="28" spans="2:9" ht="15" customHeight="1" x14ac:dyDescent="0.2">
      <c r="B28" t="s">
        <v>75</v>
      </c>
      <c r="C28" s="12">
        <v>27</v>
      </c>
      <c r="D28" s="8">
        <v>6.41</v>
      </c>
      <c r="E28" s="12">
        <v>24</v>
      </c>
      <c r="F28" s="8">
        <v>7.95</v>
      </c>
      <c r="G28" s="12">
        <v>3</v>
      </c>
      <c r="H28" s="8">
        <v>2.63</v>
      </c>
      <c r="I28" s="12">
        <v>0</v>
      </c>
    </row>
    <row r="29" spans="2:9" ht="15" customHeight="1" x14ac:dyDescent="0.2">
      <c r="B29" t="s">
        <v>70</v>
      </c>
      <c r="C29" s="12">
        <v>24</v>
      </c>
      <c r="D29" s="8">
        <v>5.7</v>
      </c>
      <c r="E29" s="12">
        <v>14</v>
      </c>
      <c r="F29" s="8">
        <v>4.6399999999999997</v>
      </c>
      <c r="G29" s="12">
        <v>10</v>
      </c>
      <c r="H29" s="8">
        <v>8.77</v>
      </c>
      <c r="I29" s="12">
        <v>0</v>
      </c>
    </row>
    <row r="30" spans="2:9" ht="15" customHeight="1" x14ac:dyDescent="0.2">
      <c r="B30" t="s">
        <v>82</v>
      </c>
      <c r="C30" s="12">
        <v>20</v>
      </c>
      <c r="D30" s="8">
        <v>4.75</v>
      </c>
      <c r="E30" s="12">
        <v>19</v>
      </c>
      <c r="F30" s="8">
        <v>6.29</v>
      </c>
      <c r="G30" s="12">
        <v>1</v>
      </c>
      <c r="H30" s="8">
        <v>0.88</v>
      </c>
      <c r="I30" s="12">
        <v>0</v>
      </c>
    </row>
    <row r="31" spans="2:9" ht="15" customHeight="1" x14ac:dyDescent="0.2">
      <c r="B31" t="s">
        <v>87</v>
      </c>
      <c r="C31" s="12">
        <v>18</v>
      </c>
      <c r="D31" s="8">
        <v>4.28</v>
      </c>
      <c r="E31" s="12">
        <v>16</v>
      </c>
      <c r="F31" s="8">
        <v>5.3</v>
      </c>
      <c r="G31" s="12">
        <v>2</v>
      </c>
      <c r="H31" s="8">
        <v>1.75</v>
      </c>
      <c r="I31" s="12">
        <v>0</v>
      </c>
    </row>
    <row r="32" spans="2:9" ht="15" customHeight="1" x14ac:dyDescent="0.2">
      <c r="B32" t="s">
        <v>76</v>
      </c>
      <c r="C32" s="12">
        <v>17</v>
      </c>
      <c r="D32" s="8">
        <v>4.04</v>
      </c>
      <c r="E32" s="12">
        <v>13</v>
      </c>
      <c r="F32" s="8">
        <v>4.3</v>
      </c>
      <c r="G32" s="12">
        <v>4</v>
      </c>
      <c r="H32" s="8">
        <v>3.51</v>
      </c>
      <c r="I32" s="12">
        <v>0</v>
      </c>
    </row>
    <row r="33" spans="2:9" ht="15" customHeight="1" x14ac:dyDescent="0.2">
      <c r="B33" t="s">
        <v>81</v>
      </c>
      <c r="C33" s="12">
        <v>12</v>
      </c>
      <c r="D33" s="8">
        <v>2.85</v>
      </c>
      <c r="E33" s="12">
        <v>5</v>
      </c>
      <c r="F33" s="8">
        <v>1.66</v>
      </c>
      <c r="G33" s="12">
        <v>6</v>
      </c>
      <c r="H33" s="8">
        <v>5.26</v>
      </c>
      <c r="I33" s="12">
        <v>0</v>
      </c>
    </row>
    <row r="34" spans="2:9" ht="15" customHeight="1" x14ac:dyDescent="0.2">
      <c r="B34" t="s">
        <v>85</v>
      </c>
      <c r="C34" s="12">
        <v>12</v>
      </c>
      <c r="D34" s="8">
        <v>2.85</v>
      </c>
      <c r="E34" s="12">
        <v>10</v>
      </c>
      <c r="F34" s="8">
        <v>3.31</v>
      </c>
      <c r="G34" s="12">
        <v>1</v>
      </c>
      <c r="H34" s="8">
        <v>0.88</v>
      </c>
      <c r="I34" s="12">
        <v>0</v>
      </c>
    </row>
    <row r="35" spans="2:9" ht="15" customHeight="1" x14ac:dyDescent="0.2">
      <c r="B35" t="s">
        <v>86</v>
      </c>
      <c r="C35" s="12">
        <v>12</v>
      </c>
      <c r="D35" s="8">
        <v>2.85</v>
      </c>
      <c r="E35" s="12">
        <v>10</v>
      </c>
      <c r="F35" s="8">
        <v>3.31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10</v>
      </c>
      <c r="D36" s="8">
        <v>2.38</v>
      </c>
      <c r="E36" s="12">
        <v>6</v>
      </c>
      <c r="F36" s="8">
        <v>1.99</v>
      </c>
      <c r="G36" s="12">
        <v>4</v>
      </c>
      <c r="H36" s="8">
        <v>3.51</v>
      </c>
      <c r="I36" s="12">
        <v>0</v>
      </c>
    </row>
    <row r="37" spans="2:9" ht="15" customHeight="1" x14ac:dyDescent="0.2">
      <c r="B37" t="s">
        <v>95</v>
      </c>
      <c r="C37" s="12">
        <v>8</v>
      </c>
      <c r="D37" s="8">
        <v>1.9</v>
      </c>
      <c r="E37" s="12">
        <v>6</v>
      </c>
      <c r="F37" s="8">
        <v>1.99</v>
      </c>
      <c r="G37" s="12">
        <v>2</v>
      </c>
      <c r="H37" s="8">
        <v>1.75</v>
      </c>
      <c r="I37" s="12">
        <v>0</v>
      </c>
    </row>
    <row r="38" spans="2:9" ht="15" customHeight="1" x14ac:dyDescent="0.2">
      <c r="B38" t="s">
        <v>80</v>
      </c>
      <c r="C38" s="12">
        <v>8</v>
      </c>
      <c r="D38" s="8">
        <v>1.9</v>
      </c>
      <c r="E38" s="12">
        <v>7</v>
      </c>
      <c r="F38" s="8">
        <v>2.3199999999999998</v>
      </c>
      <c r="G38" s="12">
        <v>1</v>
      </c>
      <c r="H38" s="8">
        <v>0.88</v>
      </c>
      <c r="I38" s="12">
        <v>0</v>
      </c>
    </row>
    <row r="39" spans="2:9" ht="15" customHeight="1" x14ac:dyDescent="0.2">
      <c r="B39" t="s">
        <v>84</v>
      </c>
      <c r="C39" s="12">
        <v>7</v>
      </c>
      <c r="D39" s="8">
        <v>1.66</v>
      </c>
      <c r="E39" s="12">
        <v>4</v>
      </c>
      <c r="F39" s="8">
        <v>1.32</v>
      </c>
      <c r="G39" s="12">
        <v>3</v>
      </c>
      <c r="H39" s="8">
        <v>2.63</v>
      </c>
      <c r="I39" s="12">
        <v>0</v>
      </c>
    </row>
    <row r="40" spans="2:9" ht="15" customHeight="1" x14ac:dyDescent="0.2">
      <c r="B40" t="s">
        <v>97</v>
      </c>
      <c r="C40" s="12">
        <v>5</v>
      </c>
      <c r="D40" s="8">
        <v>1.19</v>
      </c>
      <c r="E40" s="12">
        <v>4</v>
      </c>
      <c r="F40" s="8">
        <v>1.32</v>
      </c>
      <c r="G40" s="12">
        <v>1</v>
      </c>
      <c r="H40" s="8">
        <v>0.88</v>
      </c>
      <c r="I40" s="12">
        <v>0</v>
      </c>
    </row>
    <row r="41" spans="2:9" ht="15" customHeight="1" x14ac:dyDescent="0.2">
      <c r="B41" t="s">
        <v>110</v>
      </c>
      <c r="C41" s="12">
        <v>5</v>
      </c>
      <c r="D41" s="8">
        <v>1.19</v>
      </c>
      <c r="E41" s="12">
        <v>5</v>
      </c>
      <c r="F41" s="8">
        <v>1.66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91</v>
      </c>
      <c r="C42" s="12">
        <v>5</v>
      </c>
      <c r="D42" s="8">
        <v>1.19</v>
      </c>
      <c r="E42" s="12">
        <v>3</v>
      </c>
      <c r="F42" s="8">
        <v>0.99</v>
      </c>
      <c r="G42" s="12">
        <v>2</v>
      </c>
      <c r="H42" s="8">
        <v>1.75</v>
      </c>
      <c r="I42" s="12">
        <v>0</v>
      </c>
    </row>
    <row r="43" spans="2:9" ht="15" customHeight="1" x14ac:dyDescent="0.2">
      <c r="B43" t="s">
        <v>94</v>
      </c>
      <c r="C43" s="12">
        <v>4</v>
      </c>
      <c r="D43" s="8">
        <v>0.95</v>
      </c>
      <c r="E43" s="12">
        <v>3</v>
      </c>
      <c r="F43" s="8">
        <v>0.99</v>
      </c>
      <c r="G43" s="12">
        <v>1</v>
      </c>
      <c r="H43" s="8">
        <v>0.88</v>
      </c>
      <c r="I43" s="12">
        <v>0</v>
      </c>
    </row>
    <row r="44" spans="2:9" ht="15" customHeight="1" x14ac:dyDescent="0.2">
      <c r="B44" t="s">
        <v>109</v>
      </c>
      <c r="C44" s="12">
        <v>4</v>
      </c>
      <c r="D44" s="8">
        <v>0.95</v>
      </c>
      <c r="E44" s="12">
        <v>3</v>
      </c>
      <c r="F44" s="8">
        <v>0.99</v>
      </c>
      <c r="G44" s="12">
        <v>1</v>
      </c>
      <c r="H44" s="8">
        <v>0.88</v>
      </c>
      <c r="I44" s="12">
        <v>0</v>
      </c>
    </row>
    <row r="45" spans="2:9" ht="15" customHeight="1" x14ac:dyDescent="0.2">
      <c r="B45" t="s">
        <v>74</v>
      </c>
      <c r="C45" s="12">
        <v>4</v>
      </c>
      <c r="D45" s="8">
        <v>0.95</v>
      </c>
      <c r="E45" s="12">
        <v>4</v>
      </c>
      <c r="F45" s="8">
        <v>1.32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78</v>
      </c>
      <c r="C46" s="12">
        <v>4</v>
      </c>
      <c r="D46" s="8">
        <v>0.95</v>
      </c>
      <c r="E46" s="12">
        <v>1</v>
      </c>
      <c r="F46" s="8">
        <v>0.33</v>
      </c>
      <c r="G46" s="12">
        <v>3</v>
      </c>
      <c r="H46" s="8">
        <v>2.63</v>
      </c>
      <c r="I46" s="12">
        <v>0</v>
      </c>
    </row>
    <row r="49" spans="2:9" ht="33" customHeight="1" x14ac:dyDescent="0.2">
      <c r="B49" t="s">
        <v>197</v>
      </c>
      <c r="C49" s="10" t="s">
        <v>61</v>
      </c>
      <c r="D49" s="10" t="s">
        <v>62</v>
      </c>
      <c r="E49" s="10" t="s">
        <v>63</v>
      </c>
      <c r="F49" s="10" t="s">
        <v>64</v>
      </c>
      <c r="G49" s="10" t="s">
        <v>65</v>
      </c>
      <c r="H49" s="10" t="s">
        <v>66</v>
      </c>
      <c r="I49" s="10" t="s">
        <v>67</v>
      </c>
    </row>
    <row r="50" spans="2:9" ht="15" customHeight="1" x14ac:dyDescent="0.2">
      <c r="B50" t="s">
        <v>134</v>
      </c>
      <c r="C50" s="12">
        <v>25</v>
      </c>
      <c r="D50" s="8">
        <v>5.94</v>
      </c>
      <c r="E50" s="12">
        <v>22</v>
      </c>
      <c r="F50" s="8">
        <v>7.28</v>
      </c>
      <c r="G50" s="12">
        <v>3</v>
      </c>
      <c r="H50" s="8">
        <v>2.63</v>
      </c>
      <c r="I50" s="12">
        <v>0</v>
      </c>
    </row>
    <row r="51" spans="2:9" ht="15" customHeight="1" x14ac:dyDescent="0.2">
      <c r="B51" t="s">
        <v>120</v>
      </c>
      <c r="C51" s="12">
        <v>20</v>
      </c>
      <c r="D51" s="8">
        <v>4.75</v>
      </c>
      <c r="E51" s="12">
        <v>17</v>
      </c>
      <c r="F51" s="8">
        <v>5.63</v>
      </c>
      <c r="G51" s="12">
        <v>3</v>
      </c>
      <c r="H51" s="8">
        <v>2.63</v>
      </c>
      <c r="I51" s="12">
        <v>0</v>
      </c>
    </row>
    <row r="52" spans="2:9" ht="15" customHeight="1" x14ac:dyDescent="0.2">
      <c r="B52" t="s">
        <v>137</v>
      </c>
      <c r="C52" s="12">
        <v>18</v>
      </c>
      <c r="D52" s="8">
        <v>4.28</v>
      </c>
      <c r="E52" s="12">
        <v>16</v>
      </c>
      <c r="F52" s="8">
        <v>5.3</v>
      </c>
      <c r="G52" s="12">
        <v>2</v>
      </c>
      <c r="H52" s="8">
        <v>1.75</v>
      </c>
      <c r="I52" s="12">
        <v>0</v>
      </c>
    </row>
    <row r="53" spans="2:9" ht="15" customHeight="1" x14ac:dyDescent="0.2">
      <c r="B53" t="s">
        <v>133</v>
      </c>
      <c r="C53" s="12">
        <v>17</v>
      </c>
      <c r="D53" s="8">
        <v>4.04</v>
      </c>
      <c r="E53" s="12">
        <v>17</v>
      </c>
      <c r="F53" s="8">
        <v>5.63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122</v>
      </c>
      <c r="C54" s="12">
        <v>12</v>
      </c>
      <c r="D54" s="8">
        <v>2.85</v>
      </c>
      <c r="E54" s="12">
        <v>9</v>
      </c>
      <c r="F54" s="8">
        <v>2.98</v>
      </c>
      <c r="G54" s="12">
        <v>3</v>
      </c>
      <c r="H54" s="8">
        <v>2.63</v>
      </c>
      <c r="I54" s="12">
        <v>0</v>
      </c>
    </row>
    <row r="55" spans="2:9" ht="15" customHeight="1" x14ac:dyDescent="0.2">
      <c r="B55" t="s">
        <v>124</v>
      </c>
      <c r="C55" s="12">
        <v>12</v>
      </c>
      <c r="D55" s="8">
        <v>2.85</v>
      </c>
      <c r="E55" s="12">
        <v>10</v>
      </c>
      <c r="F55" s="8">
        <v>3.31</v>
      </c>
      <c r="G55" s="12">
        <v>2</v>
      </c>
      <c r="H55" s="8">
        <v>1.75</v>
      </c>
      <c r="I55" s="12">
        <v>0</v>
      </c>
    </row>
    <row r="56" spans="2:9" ht="15" customHeight="1" x14ac:dyDescent="0.2">
      <c r="B56" t="s">
        <v>118</v>
      </c>
      <c r="C56" s="12">
        <v>11</v>
      </c>
      <c r="D56" s="8">
        <v>2.61</v>
      </c>
      <c r="E56" s="12">
        <v>5</v>
      </c>
      <c r="F56" s="8">
        <v>1.66</v>
      </c>
      <c r="G56" s="12">
        <v>6</v>
      </c>
      <c r="H56" s="8">
        <v>5.26</v>
      </c>
      <c r="I56" s="12">
        <v>0</v>
      </c>
    </row>
    <row r="57" spans="2:9" ht="15" customHeight="1" x14ac:dyDescent="0.2">
      <c r="B57" t="s">
        <v>123</v>
      </c>
      <c r="C57" s="12">
        <v>10</v>
      </c>
      <c r="D57" s="8">
        <v>2.38</v>
      </c>
      <c r="E57" s="12">
        <v>10</v>
      </c>
      <c r="F57" s="8">
        <v>3.31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121</v>
      </c>
      <c r="C58" s="12">
        <v>9</v>
      </c>
      <c r="D58" s="8">
        <v>2.14</v>
      </c>
      <c r="E58" s="12">
        <v>5</v>
      </c>
      <c r="F58" s="8">
        <v>1.66</v>
      </c>
      <c r="G58" s="12">
        <v>4</v>
      </c>
      <c r="H58" s="8">
        <v>3.51</v>
      </c>
      <c r="I58" s="12">
        <v>0</v>
      </c>
    </row>
    <row r="59" spans="2:9" ht="15" customHeight="1" x14ac:dyDescent="0.2">
      <c r="B59" t="s">
        <v>130</v>
      </c>
      <c r="C59" s="12">
        <v>9</v>
      </c>
      <c r="D59" s="8">
        <v>2.14</v>
      </c>
      <c r="E59" s="12">
        <v>2</v>
      </c>
      <c r="F59" s="8">
        <v>0.66</v>
      </c>
      <c r="G59" s="12">
        <v>6</v>
      </c>
      <c r="H59" s="8">
        <v>5.26</v>
      </c>
      <c r="I59" s="12">
        <v>0</v>
      </c>
    </row>
    <row r="60" spans="2:9" ht="15" customHeight="1" x14ac:dyDescent="0.2">
      <c r="B60" t="s">
        <v>145</v>
      </c>
      <c r="C60" s="12">
        <v>8</v>
      </c>
      <c r="D60" s="8">
        <v>1.9</v>
      </c>
      <c r="E60" s="12">
        <v>7</v>
      </c>
      <c r="F60" s="8">
        <v>2.3199999999999998</v>
      </c>
      <c r="G60" s="12">
        <v>1</v>
      </c>
      <c r="H60" s="8">
        <v>0.88</v>
      </c>
      <c r="I60" s="12">
        <v>0</v>
      </c>
    </row>
    <row r="61" spans="2:9" ht="15" customHeight="1" x14ac:dyDescent="0.2">
      <c r="B61" t="s">
        <v>153</v>
      </c>
      <c r="C61" s="12">
        <v>7</v>
      </c>
      <c r="D61" s="8">
        <v>1.66</v>
      </c>
      <c r="E61" s="12">
        <v>1</v>
      </c>
      <c r="F61" s="8">
        <v>0.33</v>
      </c>
      <c r="G61" s="12">
        <v>6</v>
      </c>
      <c r="H61" s="8">
        <v>5.26</v>
      </c>
      <c r="I61" s="12">
        <v>0</v>
      </c>
    </row>
    <row r="62" spans="2:9" ht="15" customHeight="1" x14ac:dyDescent="0.2">
      <c r="B62" t="s">
        <v>173</v>
      </c>
      <c r="C62" s="12">
        <v>7</v>
      </c>
      <c r="D62" s="8">
        <v>1.66</v>
      </c>
      <c r="E62" s="12">
        <v>7</v>
      </c>
      <c r="F62" s="8">
        <v>2.3199999999999998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174</v>
      </c>
      <c r="C63" s="12">
        <v>7</v>
      </c>
      <c r="D63" s="8">
        <v>1.66</v>
      </c>
      <c r="E63" s="12">
        <v>3</v>
      </c>
      <c r="F63" s="8">
        <v>0.99</v>
      </c>
      <c r="G63" s="12">
        <v>4</v>
      </c>
      <c r="H63" s="8">
        <v>3.51</v>
      </c>
      <c r="I63" s="12">
        <v>0</v>
      </c>
    </row>
    <row r="64" spans="2:9" ht="15" customHeight="1" x14ac:dyDescent="0.2">
      <c r="B64" t="s">
        <v>125</v>
      </c>
      <c r="C64" s="12">
        <v>7</v>
      </c>
      <c r="D64" s="8">
        <v>1.66</v>
      </c>
      <c r="E64" s="12">
        <v>2</v>
      </c>
      <c r="F64" s="8">
        <v>0.66</v>
      </c>
      <c r="G64" s="12">
        <v>5</v>
      </c>
      <c r="H64" s="8">
        <v>4.3899999999999997</v>
      </c>
      <c r="I64" s="12">
        <v>0</v>
      </c>
    </row>
    <row r="65" spans="2:9" ht="15" customHeight="1" x14ac:dyDescent="0.2">
      <c r="B65" t="s">
        <v>143</v>
      </c>
      <c r="C65" s="12">
        <v>7</v>
      </c>
      <c r="D65" s="8">
        <v>1.66</v>
      </c>
      <c r="E65" s="12">
        <v>5</v>
      </c>
      <c r="F65" s="8">
        <v>1.66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144</v>
      </c>
      <c r="C66" s="12">
        <v>6</v>
      </c>
      <c r="D66" s="8">
        <v>1.43</v>
      </c>
      <c r="E66" s="12">
        <v>5</v>
      </c>
      <c r="F66" s="8">
        <v>1.66</v>
      </c>
      <c r="G66" s="12">
        <v>1</v>
      </c>
      <c r="H66" s="8">
        <v>0.88</v>
      </c>
      <c r="I66" s="12">
        <v>0</v>
      </c>
    </row>
    <row r="67" spans="2:9" ht="15" customHeight="1" x14ac:dyDescent="0.2">
      <c r="B67" t="s">
        <v>155</v>
      </c>
      <c r="C67" s="12">
        <v>6</v>
      </c>
      <c r="D67" s="8">
        <v>1.43</v>
      </c>
      <c r="E67" s="12">
        <v>4</v>
      </c>
      <c r="F67" s="8">
        <v>1.32</v>
      </c>
      <c r="G67" s="12">
        <v>2</v>
      </c>
      <c r="H67" s="8">
        <v>1.75</v>
      </c>
      <c r="I67" s="12">
        <v>0</v>
      </c>
    </row>
    <row r="68" spans="2:9" ht="15" customHeight="1" x14ac:dyDescent="0.2">
      <c r="B68" t="s">
        <v>146</v>
      </c>
      <c r="C68" s="12">
        <v>6</v>
      </c>
      <c r="D68" s="8">
        <v>1.43</v>
      </c>
      <c r="E68" s="12">
        <v>4</v>
      </c>
      <c r="F68" s="8">
        <v>1.32</v>
      </c>
      <c r="G68" s="12">
        <v>2</v>
      </c>
      <c r="H68" s="8">
        <v>1.75</v>
      </c>
      <c r="I68" s="12">
        <v>0</v>
      </c>
    </row>
    <row r="69" spans="2:9" ht="15" customHeight="1" x14ac:dyDescent="0.2">
      <c r="B69" t="s">
        <v>170</v>
      </c>
      <c r="C69" s="12">
        <v>6</v>
      </c>
      <c r="D69" s="8">
        <v>1.43</v>
      </c>
      <c r="E69" s="12">
        <v>5</v>
      </c>
      <c r="F69" s="8">
        <v>1.66</v>
      </c>
      <c r="G69" s="12">
        <v>1</v>
      </c>
      <c r="H69" s="8">
        <v>0.88</v>
      </c>
      <c r="I69" s="12">
        <v>0</v>
      </c>
    </row>
    <row r="70" spans="2:9" ht="15" customHeight="1" x14ac:dyDescent="0.2">
      <c r="B70" t="s">
        <v>127</v>
      </c>
      <c r="C70" s="12">
        <v>6</v>
      </c>
      <c r="D70" s="8">
        <v>1.43</v>
      </c>
      <c r="E70" s="12">
        <v>5</v>
      </c>
      <c r="F70" s="8">
        <v>1.66</v>
      </c>
      <c r="G70" s="12">
        <v>1</v>
      </c>
      <c r="H70" s="8">
        <v>0.88</v>
      </c>
      <c r="I70" s="12">
        <v>0</v>
      </c>
    </row>
    <row r="71" spans="2:9" ht="15" customHeight="1" x14ac:dyDescent="0.2">
      <c r="B71" t="s">
        <v>135</v>
      </c>
      <c r="C71" s="12">
        <v>6</v>
      </c>
      <c r="D71" s="8">
        <v>1.43</v>
      </c>
      <c r="E71" s="12">
        <v>6</v>
      </c>
      <c r="F71" s="8">
        <v>1.99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33A7-80DC-450D-B2BC-542C4806D8B3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106</v>
      </c>
      <c r="D6" s="8">
        <v>17.43</v>
      </c>
      <c r="E6" s="12">
        <v>20</v>
      </c>
      <c r="F6" s="8">
        <v>6.27</v>
      </c>
      <c r="G6" s="12">
        <v>86</v>
      </c>
      <c r="H6" s="8">
        <v>30.18</v>
      </c>
      <c r="I6" s="12">
        <v>0</v>
      </c>
    </row>
    <row r="7" spans="2:9" ht="15" customHeight="1" x14ac:dyDescent="0.2">
      <c r="B7" t="s">
        <v>47</v>
      </c>
      <c r="C7" s="12">
        <v>45</v>
      </c>
      <c r="D7" s="8">
        <v>7.4</v>
      </c>
      <c r="E7" s="12">
        <v>18</v>
      </c>
      <c r="F7" s="8">
        <v>5.64</v>
      </c>
      <c r="G7" s="12">
        <v>27</v>
      </c>
      <c r="H7" s="8">
        <v>9.4700000000000006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0.49</v>
      </c>
      <c r="E8" s="12">
        <v>0</v>
      </c>
      <c r="F8" s="8">
        <v>0</v>
      </c>
      <c r="G8" s="12">
        <v>3</v>
      </c>
      <c r="H8" s="8">
        <v>1.05</v>
      </c>
      <c r="I8" s="12">
        <v>0</v>
      </c>
    </row>
    <row r="9" spans="2:9" ht="15" customHeight="1" x14ac:dyDescent="0.2">
      <c r="B9" t="s">
        <v>49</v>
      </c>
      <c r="C9" s="12">
        <v>8</v>
      </c>
      <c r="D9" s="8">
        <v>1.32</v>
      </c>
      <c r="E9" s="12">
        <v>0</v>
      </c>
      <c r="F9" s="8">
        <v>0</v>
      </c>
      <c r="G9" s="12">
        <v>8</v>
      </c>
      <c r="H9" s="8">
        <v>2.81</v>
      </c>
      <c r="I9" s="12">
        <v>0</v>
      </c>
    </row>
    <row r="10" spans="2:9" ht="15" customHeight="1" x14ac:dyDescent="0.2">
      <c r="B10" t="s">
        <v>50</v>
      </c>
      <c r="C10" s="12">
        <v>11</v>
      </c>
      <c r="D10" s="8">
        <v>1.81</v>
      </c>
      <c r="E10" s="12">
        <v>2</v>
      </c>
      <c r="F10" s="8">
        <v>0.63</v>
      </c>
      <c r="G10" s="12">
        <v>9</v>
      </c>
      <c r="H10" s="8">
        <v>3.16</v>
      </c>
      <c r="I10" s="12">
        <v>0</v>
      </c>
    </row>
    <row r="11" spans="2:9" ht="15" customHeight="1" x14ac:dyDescent="0.2">
      <c r="B11" t="s">
        <v>51</v>
      </c>
      <c r="C11" s="12">
        <v>114</v>
      </c>
      <c r="D11" s="8">
        <v>18.75</v>
      </c>
      <c r="E11" s="12">
        <v>52</v>
      </c>
      <c r="F11" s="8">
        <v>16.3</v>
      </c>
      <c r="G11" s="12">
        <v>62</v>
      </c>
      <c r="H11" s="8">
        <v>21.75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0.16</v>
      </c>
      <c r="E12" s="12">
        <v>0</v>
      </c>
      <c r="F12" s="8">
        <v>0</v>
      </c>
      <c r="G12" s="12">
        <v>1</v>
      </c>
      <c r="H12" s="8">
        <v>0.35</v>
      </c>
      <c r="I12" s="12">
        <v>0</v>
      </c>
    </row>
    <row r="13" spans="2:9" ht="15" customHeight="1" x14ac:dyDescent="0.2">
      <c r="B13" t="s">
        <v>53</v>
      </c>
      <c r="C13" s="12">
        <v>50</v>
      </c>
      <c r="D13" s="8">
        <v>8.2200000000000006</v>
      </c>
      <c r="E13" s="12">
        <v>29</v>
      </c>
      <c r="F13" s="8">
        <v>9.09</v>
      </c>
      <c r="G13" s="12">
        <v>21</v>
      </c>
      <c r="H13" s="8">
        <v>7.37</v>
      </c>
      <c r="I13" s="12">
        <v>0</v>
      </c>
    </row>
    <row r="14" spans="2:9" ht="15" customHeight="1" x14ac:dyDescent="0.2">
      <c r="B14" t="s">
        <v>54</v>
      </c>
      <c r="C14" s="12">
        <v>22</v>
      </c>
      <c r="D14" s="8">
        <v>3.62</v>
      </c>
      <c r="E14" s="12">
        <v>7</v>
      </c>
      <c r="F14" s="8">
        <v>2.19</v>
      </c>
      <c r="G14" s="12">
        <v>14</v>
      </c>
      <c r="H14" s="8">
        <v>4.91</v>
      </c>
      <c r="I14" s="12">
        <v>0</v>
      </c>
    </row>
    <row r="15" spans="2:9" ht="15" customHeight="1" x14ac:dyDescent="0.2">
      <c r="B15" t="s">
        <v>55</v>
      </c>
      <c r="C15" s="12">
        <v>75</v>
      </c>
      <c r="D15" s="8">
        <v>12.34</v>
      </c>
      <c r="E15" s="12">
        <v>60</v>
      </c>
      <c r="F15" s="8">
        <v>18.809999999999999</v>
      </c>
      <c r="G15" s="12">
        <v>15</v>
      </c>
      <c r="H15" s="8">
        <v>5.26</v>
      </c>
      <c r="I15" s="12">
        <v>0</v>
      </c>
    </row>
    <row r="16" spans="2:9" ht="15" customHeight="1" x14ac:dyDescent="0.2">
      <c r="B16" t="s">
        <v>56</v>
      </c>
      <c r="C16" s="12">
        <v>88</v>
      </c>
      <c r="D16" s="8">
        <v>14.47</v>
      </c>
      <c r="E16" s="12">
        <v>80</v>
      </c>
      <c r="F16" s="8">
        <v>25.08</v>
      </c>
      <c r="G16" s="12">
        <v>8</v>
      </c>
      <c r="H16" s="8">
        <v>2.81</v>
      </c>
      <c r="I16" s="12">
        <v>0</v>
      </c>
    </row>
    <row r="17" spans="2:9" ht="15" customHeight="1" x14ac:dyDescent="0.2">
      <c r="B17" t="s">
        <v>57</v>
      </c>
      <c r="C17" s="12">
        <v>24</v>
      </c>
      <c r="D17" s="8">
        <v>3.95</v>
      </c>
      <c r="E17" s="12">
        <v>13</v>
      </c>
      <c r="F17" s="8">
        <v>4.08</v>
      </c>
      <c r="G17" s="12">
        <v>9</v>
      </c>
      <c r="H17" s="8">
        <v>3.16</v>
      </c>
      <c r="I17" s="12">
        <v>0</v>
      </c>
    </row>
    <row r="18" spans="2:9" ht="15" customHeight="1" x14ac:dyDescent="0.2">
      <c r="B18" t="s">
        <v>58</v>
      </c>
      <c r="C18" s="12">
        <v>26</v>
      </c>
      <c r="D18" s="8">
        <v>4.28</v>
      </c>
      <c r="E18" s="12">
        <v>17</v>
      </c>
      <c r="F18" s="8">
        <v>5.33</v>
      </c>
      <c r="G18" s="12">
        <v>8</v>
      </c>
      <c r="H18" s="8">
        <v>2.81</v>
      </c>
      <c r="I18" s="12">
        <v>0</v>
      </c>
    </row>
    <row r="19" spans="2:9" ht="15" customHeight="1" x14ac:dyDescent="0.2">
      <c r="B19" t="s">
        <v>59</v>
      </c>
      <c r="C19" s="12">
        <v>35</v>
      </c>
      <c r="D19" s="8">
        <v>5.76</v>
      </c>
      <c r="E19" s="12">
        <v>21</v>
      </c>
      <c r="F19" s="8">
        <v>6.58</v>
      </c>
      <c r="G19" s="12">
        <v>14</v>
      </c>
      <c r="H19" s="8">
        <v>4.91</v>
      </c>
      <c r="I19" s="12">
        <v>0</v>
      </c>
    </row>
    <row r="20" spans="2:9" ht="15" customHeight="1" x14ac:dyDescent="0.2">
      <c r="B20" s="9" t="s">
        <v>195</v>
      </c>
      <c r="C20" s="12">
        <f>SUM(LTBL_08341[総数／事業所数])</f>
        <v>608</v>
      </c>
      <c r="E20" s="12">
        <f>SUBTOTAL(109,LTBL_08341[個人／事業所数])</f>
        <v>319</v>
      </c>
      <c r="G20" s="12">
        <f>SUBTOTAL(109,LTBL_08341[法人／事業所数])</f>
        <v>285</v>
      </c>
      <c r="I20" s="12">
        <f>SUBTOTAL(109,LTBL_08341[法人以外の団体／事業所数])</f>
        <v>0</v>
      </c>
    </row>
    <row r="21" spans="2:9" ht="15" customHeight="1" x14ac:dyDescent="0.2">
      <c r="E21" s="11">
        <f>LTBL_08341[[#Totals],[個人／事業所数]]/LTBL_08341[[#Totals],[総数／事業所数]]</f>
        <v>0.52467105263157898</v>
      </c>
      <c r="G21" s="11">
        <f>LTBL_08341[[#Totals],[法人／事業所数]]/LTBL_08341[[#Totals],[総数／事業所数]]</f>
        <v>0.46875</v>
      </c>
      <c r="I21" s="11">
        <f>LTBL_08341[[#Totals],[法人以外の団体／事業所数]]/LTBL_08341[[#Totals],[総数／事業所数]]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79</v>
      </c>
      <c r="D24" s="8">
        <v>12.99</v>
      </c>
      <c r="E24" s="12">
        <v>74</v>
      </c>
      <c r="F24" s="8">
        <v>23.2</v>
      </c>
      <c r="G24" s="12">
        <v>5</v>
      </c>
      <c r="H24" s="8">
        <v>1.75</v>
      </c>
      <c r="I24" s="12">
        <v>0</v>
      </c>
    </row>
    <row r="25" spans="2:9" ht="15" customHeight="1" x14ac:dyDescent="0.2">
      <c r="B25" t="s">
        <v>82</v>
      </c>
      <c r="C25" s="12">
        <v>56</v>
      </c>
      <c r="D25" s="8">
        <v>9.2100000000000009</v>
      </c>
      <c r="E25" s="12">
        <v>49</v>
      </c>
      <c r="F25" s="8">
        <v>15.36</v>
      </c>
      <c r="G25" s="12">
        <v>7</v>
      </c>
      <c r="H25" s="8">
        <v>2.46</v>
      </c>
      <c r="I25" s="12">
        <v>0</v>
      </c>
    </row>
    <row r="26" spans="2:9" ht="15" customHeight="1" x14ac:dyDescent="0.2">
      <c r="B26" t="s">
        <v>79</v>
      </c>
      <c r="C26" s="12">
        <v>44</v>
      </c>
      <c r="D26" s="8">
        <v>7.24</v>
      </c>
      <c r="E26" s="12">
        <v>29</v>
      </c>
      <c r="F26" s="8">
        <v>9.09</v>
      </c>
      <c r="G26" s="12">
        <v>15</v>
      </c>
      <c r="H26" s="8">
        <v>5.26</v>
      </c>
      <c r="I26" s="12">
        <v>0</v>
      </c>
    </row>
    <row r="27" spans="2:9" ht="15" customHeight="1" x14ac:dyDescent="0.2">
      <c r="B27" t="s">
        <v>68</v>
      </c>
      <c r="C27" s="12">
        <v>37</v>
      </c>
      <c r="D27" s="8">
        <v>6.09</v>
      </c>
      <c r="E27" s="12">
        <v>5</v>
      </c>
      <c r="F27" s="8">
        <v>1.57</v>
      </c>
      <c r="G27" s="12">
        <v>32</v>
      </c>
      <c r="H27" s="8">
        <v>11.23</v>
      </c>
      <c r="I27" s="12">
        <v>0</v>
      </c>
    </row>
    <row r="28" spans="2:9" ht="15" customHeight="1" x14ac:dyDescent="0.2">
      <c r="B28" t="s">
        <v>70</v>
      </c>
      <c r="C28" s="12">
        <v>37</v>
      </c>
      <c r="D28" s="8">
        <v>6.09</v>
      </c>
      <c r="E28" s="12">
        <v>5</v>
      </c>
      <c r="F28" s="8">
        <v>1.57</v>
      </c>
      <c r="G28" s="12">
        <v>32</v>
      </c>
      <c r="H28" s="8">
        <v>11.23</v>
      </c>
      <c r="I28" s="12">
        <v>0</v>
      </c>
    </row>
    <row r="29" spans="2:9" ht="15" customHeight="1" x14ac:dyDescent="0.2">
      <c r="B29" t="s">
        <v>77</v>
      </c>
      <c r="C29" s="12">
        <v>37</v>
      </c>
      <c r="D29" s="8">
        <v>6.09</v>
      </c>
      <c r="E29" s="12">
        <v>17</v>
      </c>
      <c r="F29" s="8">
        <v>5.33</v>
      </c>
      <c r="G29" s="12">
        <v>20</v>
      </c>
      <c r="H29" s="8">
        <v>7.02</v>
      </c>
      <c r="I29" s="12">
        <v>0</v>
      </c>
    </row>
    <row r="30" spans="2:9" ht="15" customHeight="1" x14ac:dyDescent="0.2">
      <c r="B30" t="s">
        <v>69</v>
      </c>
      <c r="C30" s="12">
        <v>32</v>
      </c>
      <c r="D30" s="8">
        <v>5.26</v>
      </c>
      <c r="E30" s="12">
        <v>10</v>
      </c>
      <c r="F30" s="8">
        <v>3.13</v>
      </c>
      <c r="G30" s="12">
        <v>22</v>
      </c>
      <c r="H30" s="8">
        <v>7.72</v>
      </c>
      <c r="I30" s="12">
        <v>0</v>
      </c>
    </row>
    <row r="31" spans="2:9" ht="15" customHeight="1" x14ac:dyDescent="0.2">
      <c r="B31" t="s">
        <v>75</v>
      </c>
      <c r="C31" s="12">
        <v>26</v>
      </c>
      <c r="D31" s="8">
        <v>4.28</v>
      </c>
      <c r="E31" s="12">
        <v>16</v>
      </c>
      <c r="F31" s="8">
        <v>5.0199999999999996</v>
      </c>
      <c r="G31" s="12">
        <v>10</v>
      </c>
      <c r="H31" s="8">
        <v>3.51</v>
      </c>
      <c r="I31" s="12">
        <v>0</v>
      </c>
    </row>
    <row r="32" spans="2:9" ht="15" customHeight="1" x14ac:dyDescent="0.2">
      <c r="B32" t="s">
        <v>85</v>
      </c>
      <c r="C32" s="12">
        <v>24</v>
      </c>
      <c r="D32" s="8">
        <v>3.95</v>
      </c>
      <c r="E32" s="12">
        <v>13</v>
      </c>
      <c r="F32" s="8">
        <v>4.08</v>
      </c>
      <c r="G32" s="12">
        <v>9</v>
      </c>
      <c r="H32" s="8">
        <v>3.16</v>
      </c>
      <c r="I32" s="12">
        <v>0</v>
      </c>
    </row>
    <row r="33" spans="2:9" ht="15" customHeight="1" x14ac:dyDescent="0.2">
      <c r="B33" t="s">
        <v>86</v>
      </c>
      <c r="C33" s="12">
        <v>20</v>
      </c>
      <c r="D33" s="8">
        <v>3.29</v>
      </c>
      <c r="E33" s="12">
        <v>17</v>
      </c>
      <c r="F33" s="8">
        <v>5.33</v>
      </c>
      <c r="G33" s="12">
        <v>3</v>
      </c>
      <c r="H33" s="8">
        <v>1.05</v>
      </c>
      <c r="I33" s="12">
        <v>0</v>
      </c>
    </row>
    <row r="34" spans="2:9" ht="15" customHeight="1" x14ac:dyDescent="0.2">
      <c r="B34" t="s">
        <v>87</v>
      </c>
      <c r="C34" s="12">
        <v>19</v>
      </c>
      <c r="D34" s="8">
        <v>3.13</v>
      </c>
      <c r="E34" s="12">
        <v>17</v>
      </c>
      <c r="F34" s="8">
        <v>5.33</v>
      </c>
      <c r="G34" s="12">
        <v>2</v>
      </c>
      <c r="H34" s="8">
        <v>0.7</v>
      </c>
      <c r="I34" s="12">
        <v>0</v>
      </c>
    </row>
    <row r="35" spans="2:9" ht="15" customHeight="1" x14ac:dyDescent="0.2">
      <c r="B35" t="s">
        <v>76</v>
      </c>
      <c r="C35" s="12">
        <v>16</v>
      </c>
      <c r="D35" s="8">
        <v>2.63</v>
      </c>
      <c r="E35" s="12">
        <v>10</v>
      </c>
      <c r="F35" s="8">
        <v>3.13</v>
      </c>
      <c r="G35" s="12">
        <v>6</v>
      </c>
      <c r="H35" s="8">
        <v>2.11</v>
      </c>
      <c r="I35" s="12">
        <v>0</v>
      </c>
    </row>
    <row r="36" spans="2:9" ht="15" customHeight="1" x14ac:dyDescent="0.2">
      <c r="B36" t="s">
        <v>81</v>
      </c>
      <c r="C36" s="12">
        <v>14</v>
      </c>
      <c r="D36" s="8">
        <v>2.2999999999999998</v>
      </c>
      <c r="E36" s="12">
        <v>4</v>
      </c>
      <c r="F36" s="8">
        <v>1.25</v>
      </c>
      <c r="G36" s="12">
        <v>9</v>
      </c>
      <c r="H36" s="8">
        <v>3.16</v>
      </c>
      <c r="I36" s="12">
        <v>0</v>
      </c>
    </row>
    <row r="37" spans="2:9" ht="15" customHeight="1" x14ac:dyDescent="0.2">
      <c r="B37" t="s">
        <v>99</v>
      </c>
      <c r="C37" s="12">
        <v>14</v>
      </c>
      <c r="D37" s="8">
        <v>2.2999999999999998</v>
      </c>
      <c r="E37" s="12">
        <v>9</v>
      </c>
      <c r="F37" s="8">
        <v>2.82</v>
      </c>
      <c r="G37" s="12">
        <v>5</v>
      </c>
      <c r="H37" s="8">
        <v>1.75</v>
      </c>
      <c r="I37" s="12">
        <v>0</v>
      </c>
    </row>
    <row r="38" spans="2:9" ht="15" customHeight="1" x14ac:dyDescent="0.2">
      <c r="B38" t="s">
        <v>73</v>
      </c>
      <c r="C38" s="12">
        <v>13</v>
      </c>
      <c r="D38" s="8">
        <v>2.14</v>
      </c>
      <c r="E38" s="12">
        <v>2</v>
      </c>
      <c r="F38" s="8">
        <v>0.63</v>
      </c>
      <c r="G38" s="12">
        <v>11</v>
      </c>
      <c r="H38" s="8">
        <v>3.86</v>
      </c>
      <c r="I38" s="12">
        <v>0</v>
      </c>
    </row>
    <row r="39" spans="2:9" ht="15" customHeight="1" x14ac:dyDescent="0.2">
      <c r="B39" t="s">
        <v>71</v>
      </c>
      <c r="C39" s="12">
        <v>11</v>
      </c>
      <c r="D39" s="8">
        <v>1.81</v>
      </c>
      <c r="E39" s="12">
        <v>4</v>
      </c>
      <c r="F39" s="8">
        <v>1.25</v>
      </c>
      <c r="G39" s="12">
        <v>7</v>
      </c>
      <c r="H39" s="8">
        <v>2.46</v>
      </c>
      <c r="I39" s="12">
        <v>0</v>
      </c>
    </row>
    <row r="40" spans="2:9" ht="15" customHeight="1" x14ac:dyDescent="0.2">
      <c r="B40" t="s">
        <v>74</v>
      </c>
      <c r="C40" s="12">
        <v>10</v>
      </c>
      <c r="D40" s="8">
        <v>1.64</v>
      </c>
      <c r="E40" s="12">
        <v>5</v>
      </c>
      <c r="F40" s="8">
        <v>1.57</v>
      </c>
      <c r="G40" s="12">
        <v>5</v>
      </c>
      <c r="H40" s="8">
        <v>1.75</v>
      </c>
      <c r="I40" s="12">
        <v>0</v>
      </c>
    </row>
    <row r="41" spans="2:9" ht="15" customHeight="1" x14ac:dyDescent="0.2">
      <c r="B41" t="s">
        <v>84</v>
      </c>
      <c r="C41" s="12">
        <v>8</v>
      </c>
      <c r="D41" s="8">
        <v>1.32</v>
      </c>
      <c r="E41" s="12">
        <v>5</v>
      </c>
      <c r="F41" s="8">
        <v>1.57</v>
      </c>
      <c r="G41" s="12">
        <v>3</v>
      </c>
      <c r="H41" s="8">
        <v>1.05</v>
      </c>
      <c r="I41" s="12">
        <v>0</v>
      </c>
    </row>
    <row r="42" spans="2:9" ht="15" customHeight="1" x14ac:dyDescent="0.2">
      <c r="B42" t="s">
        <v>91</v>
      </c>
      <c r="C42" s="12">
        <v>6</v>
      </c>
      <c r="D42" s="8">
        <v>0.99</v>
      </c>
      <c r="E42" s="12">
        <v>1</v>
      </c>
      <c r="F42" s="8">
        <v>0.31</v>
      </c>
      <c r="G42" s="12">
        <v>5</v>
      </c>
      <c r="H42" s="8">
        <v>1.75</v>
      </c>
      <c r="I42" s="12">
        <v>0</v>
      </c>
    </row>
    <row r="43" spans="2:9" ht="15" customHeight="1" x14ac:dyDescent="0.2">
      <c r="B43" t="s">
        <v>92</v>
      </c>
      <c r="C43" s="12">
        <v>6</v>
      </c>
      <c r="D43" s="8">
        <v>0.99</v>
      </c>
      <c r="E43" s="12">
        <v>2</v>
      </c>
      <c r="F43" s="8">
        <v>0.63</v>
      </c>
      <c r="G43" s="12">
        <v>4</v>
      </c>
      <c r="H43" s="8">
        <v>1.4</v>
      </c>
      <c r="I43" s="12">
        <v>0</v>
      </c>
    </row>
    <row r="44" spans="2:9" ht="15" customHeight="1" x14ac:dyDescent="0.2">
      <c r="B44" t="s">
        <v>102</v>
      </c>
      <c r="C44" s="12">
        <v>6</v>
      </c>
      <c r="D44" s="8">
        <v>0.99</v>
      </c>
      <c r="E44" s="12">
        <v>0</v>
      </c>
      <c r="F44" s="8">
        <v>0</v>
      </c>
      <c r="G44" s="12">
        <v>6</v>
      </c>
      <c r="H44" s="8">
        <v>2.11</v>
      </c>
      <c r="I44" s="12">
        <v>0</v>
      </c>
    </row>
    <row r="45" spans="2:9" ht="15" customHeight="1" x14ac:dyDescent="0.2">
      <c r="B45" t="s">
        <v>111</v>
      </c>
      <c r="C45" s="12">
        <v>6</v>
      </c>
      <c r="D45" s="8">
        <v>0.99</v>
      </c>
      <c r="E45" s="12">
        <v>0</v>
      </c>
      <c r="F45" s="8">
        <v>0</v>
      </c>
      <c r="G45" s="12">
        <v>6</v>
      </c>
      <c r="H45" s="8">
        <v>2.11</v>
      </c>
      <c r="I45" s="12">
        <v>0</v>
      </c>
    </row>
    <row r="46" spans="2:9" ht="15" customHeight="1" x14ac:dyDescent="0.2">
      <c r="B46" t="s">
        <v>96</v>
      </c>
      <c r="C46" s="12">
        <v>6</v>
      </c>
      <c r="D46" s="8">
        <v>0.99</v>
      </c>
      <c r="E46" s="12">
        <v>0</v>
      </c>
      <c r="F46" s="8">
        <v>0</v>
      </c>
      <c r="G46" s="12">
        <v>5</v>
      </c>
      <c r="H46" s="8">
        <v>1.75</v>
      </c>
      <c r="I46" s="12">
        <v>0</v>
      </c>
    </row>
    <row r="47" spans="2:9" ht="15" customHeight="1" x14ac:dyDescent="0.2">
      <c r="B47" t="s">
        <v>106</v>
      </c>
      <c r="C47" s="12">
        <v>6</v>
      </c>
      <c r="D47" s="8">
        <v>0.99</v>
      </c>
      <c r="E47" s="12">
        <v>3</v>
      </c>
      <c r="F47" s="8">
        <v>0.94</v>
      </c>
      <c r="G47" s="12">
        <v>3</v>
      </c>
      <c r="H47" s="8">
        <v>1.05</v>
      </c>
      <c r="I47" s="12">
        <v>0</v>
      </c>
    </row>
    <row r="48" spans="2:9" ht="15" customHeight="1" x14ac:dyDescent="0.2">
      <c r="B48" t="s">
        <v>89</v>
      </c>
      <c r="C48" s="12">
        <v>6</v>
      </c>
      <c r="D48" s="8">
        <v>0.99</v>
      </c>
      <c r="E48" s="12">
        <v>1</v>
      </c>
      <c r="F48" s="8">
        <v>0.31</v>
      </c>
      <c r="G48" s="12">
        <v>5</v>
      </c>
      <c r="H48" s="8">
        <v>1.75</v>
      </c>
      <c r="I48" s="12">
        <v>0</v>
      </c>
    </row>
    <row r="51" spans="2:9" ht="33" customHeight="1" x14ac:dyDescent="0.2">
      <c r="B51" t="s">
        <v>197</v>
      </c>
      <c r="C51" s="10" t="s">
        <v>61</v>
      </c>
      <c r="D51" s="10" t="s">
        <v>62</v>
      </c>
      <c r="E51" s="10" t="s">
        <v>63</v>
      </c>
      <c r="F51" s="10" t="s">
        <v>64</v>
      </c>
      <c r="G51" s="10" t="s">
        <v>65</v>
      </c>
      <c r="H51" s="10" t="s">
        <v>66</v>
      </c>
      <c r="I51" s="10" t="s">
        <v>67</v>
      </c>
    </row>
    <row r="52" spans="2:9" ht="15" customHeight="1" x14ac:dyDescent="0.2">
      <c r="B52" t="s">
        <v>134</v>
      </c>
      <c r="C52" s="12">
        <v>44</v>
      </c>
      <c r="D52" s="8">
        <v>7.24</v>
      </c>
      <c r="E52" s="12">
        <v>42</v>
      </c>
      <c r="F52" s="8">
        <v>13.17</v>
      </c>
      <c r="G52" s="12">
        <v>2</v>
      </c>
      <c r="H52" s="8">
        <v>0.7</v>
      </c>
      <c r="I52" s="12">
        <v>0</v>
      </c>
    </row>
    <row r="53" spans="2:9" ht="15" customHeight="1" x14ac:dyDescent="0.2">
      <c r="B53" t="s">
        <v>129</v>
      </c>
      <c r="C53" s="12">
        <v>37</v>
      </c>
      <c r="D53" s="8">
        <v>6.09</v>
      </c>
      <c r="E53" s="12">
        <v>27</v>
      </c>
      <c r="F53" s="8">
        <v>8.4600000000000009</v>
      </c>
      <c r="G53" s="12">
        <v>10</v>
      </c>
      <c r="H53" s="8">
        <v>3.51</v>
      </c>
      <c r="I53" s="12">
        <v>0</v>
      </c>
    </row>
    <row r="54" spans="2:9" ht="15" customHeight="1" x14ac:dyDescent="0.2">
      <c r="B54" t="s">
        <v>133</v>
      </c>
      <c r="C54" s="12">
        <v>28</v>
      </c>
      <c r="D54" s="8">
        <v>4.6100000000000003</v>
      </c>
      <c r="E54" s="12">
        <v>28</v>
      </c>
      <c r="F54" s="8">
        <v>8.7799999999999994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118</v>
      </c>
      <c r="C55" s="12">
        <v>21</v>
      </c>
      <c r="D55" s="8">
        <v>3.45</v>
      </c>
      <c r="E55" s="12">
        <v>1</v>
      </c>
      <c r="F55" s="8">
        <v>0.31</v>
      </c>
      <c r="G55" s="12">
        <v>20</v>
      </c>
      <c r="H55" s="8">
        <v>7.02</v>
      </c>
      <c r="I55" s="12">
        <v>0</v>
      </c>
    </row>
    <row r="56" spans="2:9" ht="15" customHeight="1" x14ac:dyDescent="0.2">
      <c r="B56" t="s">
        <v>131</v>
      </c>
      <c r="C56" s="12">
        <v>20</v>
      </c>
      <c r="D56" s="8">
        <v>3.29</v>
      </c>
      <c r="E56" s="12">
        <v>19</v>
      </c>
      <c r="F56" s="8">
        <v>5.96</v>
      </c>
      <c r="G56" s="12">
        <v>1</v>
      </c>
      <c r="H56" s="8">
        <v>0.35</v>
      </c>
      <c r="I56" s="12">
        <v>0</v>
      </c>
    </row>
    <row r="57" spans="2:9" ht="15" customHeight="1" x14ac:dyDescent="0.2">
      <c r="B57" t="s">
        <v>137</v>
      </c>
      <c r="C57" s="12">
        <v>19</v>
      </c>
      <c r="D57" s="8">
        <v>3.13</v>
      </c>
      <c r="E57" s="12">
        <v>17</v>
      </c>
      <c r="F57" s="8">
        <v>5.33</v>
      </c>
      <c r="G57" s="12">
        <v>2</v>
      </c>
      <c r="H57" s="8">
        <v>0.7</v>
      </c>
      <c r="I57" s="12">
        <v>0</v>
      </c>
    </row>
    <row r="58" spans="2:9" ht="15" customHeight="1" x14ac:dyDescent="0.2">
      <c r="B58" t="s">
        <v>127</v>
      </c>
      <c r="C58" s="12">
        <v>17</v>
      </c>
      <c r="D58" s="8">
        <v>2.8</v>
      </c>
      <c r="E58" s="12">
        <v>11</v>
      </c>
      <c r="F58" s="8">
        <v>3.45</v>
      </c>
      <c r="G58" s="12">
        <v>6</v>
      </c>
      <c r="H58" s="8">
        <v>2.11</v>
      </c>
      <c r="I58" s="12">
        <v>0</v>
      </c>
    </row>
    <row r="59" spans="2:9" ht="15" customHeight="1" x14ac:dyDescent="0.2">
      <c r="B59" t="s">
        <v>121</v>
      </c>
      <c r="C59" s="12">
        <v>15</v>
      </c>
      <c r="D59" s="8">
        <v>2.4700000000000002</v>
      </c>
      <c r="E59" s="12">
        <v>3</v>
      </c>
      <c r="F59" s="8">
        <v>0.94</v>
      </c>
      <c r="G59" s="12">
        <v>12</v>
      </c>
      <c r="H59" s="8">
        <v>4.21</v>
      </c>
      <c r="I59" s="12">
        <v>0</v>
      </c>
    </row>
    <row r="60" spans="2:9" ht="15" customHeight="1" x14ac:dyDescent="0.2">
      <c r="B60" t="s">
        <v>123</v>
      </c>
      <c r="C60" s="12">
        <v>15</v>
      </c>
      <c r="D60" s="8">
        <v>2.4700000000000002</v>
      </c>
      <c r="E60" s="12">
        <v>8</v>
      </c>
      <c r="F60" s="8">
        <v>2.5099999999999998</v>
      </c>
      <c r="G60" s="12">
        <v>7</v>
      </c>
      <c r="H60" s="8">
        <v>2.46</v>
      </c>
      <c r="I60" s="12">
        <v>0</v>
      </c>
    </row>
    <row r="61" spans="2:9" ht="15" customHeight="1" x14ac:dyDescent="0.2">
      <c r="B61" t="s">
        <v>132</v>
      </c>
      <c r="C61" s="12">
        <v>15</v>
      </c>
      <c r="D61" s="8">
        <v>2.4700000000000002</v>
      </c>
      <c r="E61" s="12">
        <v>15</v>
      </c>
      <c r="F61" s="8">
        <v>4.7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136</v>
      </c>
      <c r="C62" s="12">
        <v>15</v>
      </c>
      <c r="D62" s="8">
        <v>2.4700000000000002</v>
      </c>
      <c r="E62" s="12">
        <v>12</v>
      </c>
      <c r="F62" s="8">
        <v>3.76</v>
      </c>
      <c r="G62" s="12">
        <v>3</v>
      </c>
      <c r="H62" s="8">
        <v>1.05</v>
      </c>
      <c r="I62" s="12">
        <v>0</v>
      </c>
    </row>
    <row r="63" spans="2:9" ht="15" customHeight="1" x14ac:dyDescent="0.2">
      <c r="B63" t="s">
        <v>122</v>
      </c>
      <c r="C63" s="12">
        <v>12</v>
      </c>
      <c r="D63" s="8">
        <v>1.97</v>
      </c>
      <c r="E63" s="12">
        <v>1</v>
      </c>
      <c r="F63" s="8">
        <v>0.31</v>
      </c>
      <c r="G63" s="12">
        <v>11</v>
      </c>
      <c r="H63" s="8">
        <v>3.86</v>
      </c>
      <c r="I63" s="12">
        <v>0</v>
      </c>
    </row>
    <row r="64" spans="2:9" ht="15" customHeight="1" x14ac:dyDescent="0.2">
      <c r="B64" t="s">
        <v>159</v>
      </c>
      <c r="C64" s="12">
        <v>12</v>
      </c>
      <c r="D64" s="8">
        <v>1.97</v>
      </c>
      <c r="E64" s="12">
        <v>9</v>
      </c>
      <c r="F64" s="8">
        <v>2.82</v>
      </c>
      <c r="G64" s="12">
        <v>3</v>
      </c>
      <c r="H64" s="8">
        <v>1.05</v>
      </c>
      <c r="I64" s="12">
        <v>0</v>
      </c>
    </row>
    <row r="65" spans="2:9" ht="15" customHeight="1" x14ac:dyDescent="0.2">
      <c r="B65" t="s">
        <v>135</v>
      </c>
      <c r="C65" s="12">
        <v>11</v>
      </c>
      <c r="D65" s="8">
        <v>1.81</v>
      </c>
      <c r="E65" s="12">
        <v>6</v>
      </c>
      <c r="F65" s="8">
        <v>1.88</v>
      </c>
      <c r="G65" s="12">
        <v>5</v>
      </c>
      <c r="H65" s="8">
        <v>1.75</v>
      </c>
      <c r="I65" s="12">
        <v>0</v>
      </c>
    </row>
    <row r="66" spans="2:9" ht="15" customHeight="1" x14ac:dyDescent="0.2">
      <c r="B66" t="s">
        <v>141</v>
      </c>
      <c r="C66" s="12">
        <v>10</v>
      </c>
      <c r="D66" s="8">
        <v>1.64</v>
      </c>
      <c r="E66" s="12">
        <v>7</v>
      </c>
      <c r="F66" s="8">
        <v>2.19</v>
      </c>
      <c r="G66" s="12">
        <v>3</v>
      </c>
      <c r="H66" s="8">
        <v>1.05</v>
      </c>
      <c r="I66" s="12">
        <v>0</v>
      </c>
    </row>
    <row r="67" spans="2:9" ht="15" customHeight="1" x14ac:dyDescent="0.2">
      <c r="B67" t="s">
        <v>120</v>
      </c>
      <c r="C67" s="12">
        <v>8</v>
      </c>
      <c r="D67" s="8">
        <v>1.32</v>
      </c>
      <c r="E67" s="12">
        <v>4</v>
      </c>
      <c r="F67" s="8">
        <v>1.25</v>
      </c>
      <c r="G67" s="12">
        <v>4</v>
      </c>
      <c r="H67" s="8">
        <v>1.4</v>
      </c>
      <c r="I67" s="12">
        <v>0</v>
      </c>
    </row>
    <row r="68" spans="2:9" ht="15" customHeight="1" x14ac:dyDescent="0.2">
      <c r="B68" t="s">
        <v>124</v>
      </c>
      <c r="C68" s="12">
        <v>8</v>
      </c>
      <c r="D68" s="8">
        <v>1.32</v>
      </c>
      <c r="E68" s="12">
        <v>5</v>
      </c>
      <c r="F68" s="8">
        <v>1.57</v>
      </c>
      <c r="G68" s="12">
        <v>3</v>
      </c>
      <c r="H68" s="8">
        <v>1.05</v>
      </c>
      <c r="I68" s="12">
        <v>0</v>
      </c>
    </row>
    <row r="69" spans="2:9" ht="15" customHeight="1" x14ac:dyDescent="0.2">
      <c r="B69" t="s">
        <v>125</v>
      </c>
      <c r="C69" s="12">
        <v>8</v>
      </c>
      <c r="D69" s="8">
        <v>1.32</v>
      </c>
      <c r="E69" s="12">
        <v>2</v>
      </c>
      <c r="F69" s="8">
        <v>0.63</v>
      </c>
      <c r="G69" s="12">
        <v>6</v>
      </c>
      <c r="H69" s="8">
        <v>2.11</v>
      </c>
      <c r="I69" s="12">
        <v>0</v>
      </c>
    </row>
    <row r="70" spans="2:9" ht="15" customHeight="1" x14ac:dyDescent="0.2">
      <c r="B70" t="s">
        <v>140</v>
      </c>
      <c r="C70" s="12">
        <v>7</v>
      </c>
      <c r="D70" s="8">
        <v>1.1499999999999999</v>
      </c>
      <c r="E70" s="12">
        <v>4</v>
      </c>
      <c r="F70" s="8">
        <v>1.25</v>
      </c>
      <c r="G70" s="12">
        <v>3</v>
      </c>
      <c r="H70" s="8">
        <v>1.05</v>
      </c>
      <c r="I70" s="12">
        <v>0</v>
      </c>
    </row>
    <row r="71" spans="2:9" ht="15" customHeight="1" x14ac:dyDescent="0.2">
      <c r="B71" t="s">
        <v>144</v>
      </c>
      <c r="C71" s="12">
        <v>6</v>
      </c>
      <c r="D71" s="8">
        <v>0.99</v>
      </c>
      <c r="E71" s="12">
        <v>3</v>
      </c>
      <c r="F71" s="8">
        <v>0.94</v>
      </c>
      <c r="G71" s="12">
        <v>3</v>
      </c>
      <c r="H71" s="8">
        <v>1.05</v>
      </c>
      <c r="I71" s="12">
        <v>0</v>
      </c>
    </row>
    <row r="72" spans="2:9" ht="15" customHeight="1" x14ac:dyDescent="0.2">
      <c r="B72" t="s">
        <v>146</v>
      </c>
      <c r="C72" s="12">
        <v>6</v>
      </c>
      <c r="D72" s="8">
        <v>0.99</v>
      </c>
      <c r="E72" s="12">
        <v>1</v>
      </c>
      <c r="F72" s="8">
        <v>0.31</v>
      </c>
      <c r="G72" s="12">
        <v>5</v>
      </c>
      <c r="H72" s="8">
        <v>1.75</v>
      </c>
      <c r="I72" s="12">
        <v>0</v>
      </c>
    </row>
    <row r="73" spans="2:9" ht="15" customHeight="1" x14ac:dyDescent="0.2">
      <c r="B73" t="s">
        <v>176</v>
      </c>
      <c r="C73" s="12">
        <v>6</v>
      </c>
      <c r="D73" s="8">
        <v>0.99</v>
      </c>
      <c r="E73" s="12">
        <v>0</v>
      </c>
      <c r="F73" s="8">
        <v>0</v>
      </c>
      <c r="G73" s="12">
        <v>6</v>
      </c>
      <c r="H73" s="8">
        <v>2.11</v>
      </c>
      <c r="I73" s="12">
        <v>0</v>
      </c>
    </row>
    <row r="74" spans="2:9" ht="15" customHeight="1" x14ac:dyDescent="0.2">
      <c r="B74" t="s">
        <v>181</v>
      </c>
      <c r="C74" s="12">
        <v>6</v>
      </c>
      <c r="D74" s="8">
        <v>0.99</v>
      </c>
      <c r="E74" s="12">
        <v>0</v>
      </c>
      <c r="F74" s="8">
        <v>0</v>
      </c>
      <c r="G74" s="12">
        <v>6</v>
      </c>
      <c r="H74" s="8">
        <v>2.11</v>
      </c>
      <c r="I74" s="12">
        <v>0</v>
      </c>
    </row>
    <row r="75" spans="2:9" ht="15" customHeight="1" x14ac:dyDescent="0.2">
      <c r="B75" t="s">
        <v>147</v>
      </c>
      <c r="C75" s="12">
        <v>6</v>
      </c>
      <c r="D75" s="8">
        <v>0.99</v>
      </c>
      <c r="E75" s="12">
        <v>4</v>
      </c>
      <c r="F75" s="8">
        <v>1.25</v>
      </c>
      <c r="G75" s="12">
        <v>2</v>
      </c>
      <c r="H75" s="8">
        <v>0.7</v>
      </c>
      <c r="I75" s="12">
        <v>0</v>
      </c>
    </row>
    <row r="77" spans="2:9" ht="15" customHeight="1" x14ac:dyDescent="0.2">
      <c r="B77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BCE2-7397-42C0-8978-5425C0BAD40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136</v>
      </c>
      <c r="D6" s="8">
        <v>22.15</v>
      </c>
      <c r="E6" s="12">
        <v>93</v>
      </c>
      <c r="F6" s="8">
        <v>20.99</v>
      </c>
      <c r="G6" s="12">
        <v>43</v>
      </c>
      <c r="H6" s="8">
        <v>27.22</v>
      </c>
      <c r="I6" s="12">
        <v>0</v>
      </c>
    </row>
    <row r="7" spans="2:9" ht="15" customHeight="1" x14ac:dyDescent="0.2">
      <c r="B7" t="s">
        <v>47</v>
      </c>
      <c r="C7" s="12">
        <v>56</v>
      </c>
      <c r="D7" s="8">
        <v>9.1199999999999992</v>
      </c>
      <c r="E7" s="12">
        <v>27</v>
      </c>
      <c r="F7" s="8">
        <v>6.09</v>
      </c>
      <c r="G7" s="12">
        <v>29</v>
      </c>
      <c r="H7" s="8">
        <v>18.350000000000001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0.16</v>
      </c>
      <c r="E8" s="12">
        <v>0</v>
      </c>
      <c r="F8" s="8">
        <v>0</v>
      </c>
      <c r="G8" s="12">
        <v>1</v>
      </c>
      <c r="H8" s="8">
        <v>0.63</v>
      </c>
      <c r="I8" s="12">
        <v>0</v>
      </c>
    </row>
    <row r="9" spans="2:9" ht="15" customHeight="1" x14ac:dyDescent="0.2">
      <c r="B9" t="s">
        <v>49</v>
      </c>
      <c r="C9" s="12">
        <v>3</v>
      </c>
      <c r="D9" s="8">
        <v>0.49</v>
      </c>
      <c r="E9" s="12">
        <v>0</v>
      </c>
      <c r="F9" s="8">
        <v>0</v>
      </c>
      <c r="G9" s="12">
        <v>3</v>
      </c>
      <c r="H9" s="8">
        <v>1.9</v>
      </c>
      <c r="I9" s="12">
        <v>0</v>
      </c>
    </row>
    <row r="10" spans="2:9" ht="15" customHeight="1" x14ac:dyDescent="0.2">
      <c r="B10" t="s">
        <v>50</v>
      </c>
      <c r="C10" s="12">
        <v>2</v>
      </c>
      <c r="D10" s="8">
        <v>0.33</v>
      </c>
      <c r="E10" s="12">
        <v>0</v>
      </c>
      <c r="F10" s="8">
        <v>0</v>
      </c>
      <c r="G10" s="12">
        <v>1</v>
      </c>
      <c r="H10" s="8">
        <v>0.63</v>
      </c>
      <c r="I10" s="12">
        <v>1</v>
      </c>
    </row>
    <row r="11" spans="2:9" ht="15" customHeight="1" x14ac:dyDescent="0.2">
      <c r="B11" t="s">
        <v>51</v>
      </c>
      <c r="C11" s="12">
        <v>193</v>
      </c>
      <c r="D11" s="8">
        <v>31.43</v>
      </c>
      <c r="E11" s="12">
        <v>144</v>
      </c>
      <c r="F11" s="8">
        <v>32.51</v>
      </c>
      <c r="G11" s="12">
        <v>49</v>
      </c>
      <c r="H11" s="8">
        <v>31.01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0.16</v>
      </c>
      <c r="E12" s="12">
        <v>0</v>
      </c>
      <c r="F12" s="8">
        <v>0</v>
      </c>
      <c r="G12" s="12">
        <v>1</v>
      </c>
      <c r="H12" s="8">
        <v>0.63</v>
      </c>
      <c r="I12" s="12">
        <v>0</v>
      </c>
    </row>
    <row r="13" spans="2:9" ht="15" customHeight="1" x14ac:dyDescent="0.2">
      <c r="B13" t="s">
        <v>53</v>
      </c>
      <c r="C13" s="12">
        <v>18</v>
      </c>
      <c r="D13" s="8">
        <v>2.93</v>
      </c>
      <c r="E13" s="12">
        <v>16</v>
      </c>
      <c r="F13" s="8">
        <v>3.61</v>
      </c>
      <c r="G13" s="12">
        <v>2</v>
      </c>
      <c r="H13" s="8">
        <v>1.27</v>
      </c>
      <c r="I13" s="12">
        <v>0</v>
      </c>
    </row>
    <row r="14" spans="2:9" ht="15" customHeight="1" x14ac:dyDescent="0.2">
      <c r="B14" t="s">
        <v>54</v>
      </c>
      <c r="C14" s="12">
        <v>13</v>
      </c>
      <c r="D14" s="8">
        <v>2.12</v>
      </c>
      <c r="E14" s="12">
        <v>10</v>
      </c>
      <c r="F14" s="8">
        <v>2.2599999999999998</v>
      </c>
      <c r="G14" s="12">
        <v>2</v>
      </c>
      <c r="H14" s="8">
        <v>1.27</v>
      </c>
      <c r="I14" s="12">
        <v>0</v>
      </c>
    </row>
    <row r="15" spans="2:9" ht="15" customHeight="1" x14ac:dyDescent="0.2">
      <c r="B15" t="s">
        <v>55</v>
      </c>
      <c r="C15" s="12">
        <v>70</v>
      </c>
      <c r="D15" s="8">
        <v>11.4</v>
      </c>
      <c r="E15" s="12">
        <v>60</v>
      </c>
      <c r="F15" s="8">
        <v>13.54</v>
      </c>
      <c r="G15" s="12">
        <v>10</v>
      </c>
      <c r="H15" s="8">
        <v>6.33</v>
      </c>
      <c r="I15" s="12">
        <v>0</v>
      </c>
    </row>
    <row r="16" spans="2:9" ht="15" customHeight="1" x14ac:dyDescent="0.2">
      <c r="B16" t="s">
        <v>56</v>
      </c>
      <c r="C16" s="12">
        <v>72</v>
      </c>
      <c r="D16" s="8">
        <v>11.73</v>
      </c>
      <c r="E16" s="12">
        <v>62</v>
      </c>
      <c r="F16" s="8">
        <v>14</v>
      </c>
      <c r="G16" s="12">
        <v>9</v>
      </c>
      <c r="H16" s="8">
        <v>5.7</v>
      </c>
      <c r="I16" s="12">
        <v>0</v>
      </c>
    </row>
    <row r="17" spans="2:9" ht="15" customHeight="1" x14ac:dyDescent="0.2">
      <c r="B17" t="s">
        <v>57</v>
      </c>
      <c r="C17" s="12">
        <v>17</v>
      </c>
      <c r="D17" s="8">
        <v>2.77</v>
      </c>
      <c r="E17" s="12">
        <v>8</v>
      </c>
      <c r="F17" s="8">
        <v>1.81</v>
      </c>
      <c r="G17" s="12">
        <v>1</v>
      </c>
      <c r="H17" s="8">
        <v>0.63</v>
      </c>
      <c r="I17" s="12">
        <v>0</v>
      </c>
    </row>
    <row r="18" spans="2:9" ht="15" customHeight="1" x14ac:dyDescent="0.2">
      <c r="B18" t="s">
        <v>58</v>
      </c>
      <c r="C18" s="12">
        <v>11</v>
      </c>
      <c r="D18" s="8">
        <v>1.79</v>
      </c>
      <c r="E18" s="12">
        <v>8</v>
      </c>
      <c r="F18" s="8">
        <v>1.81</v>
      </c>
      <c r="G18" s="12">
        <v>3</v>
      </c>
      <c r="H18" s="8">
        <v>1.9</v>
      </c>
      <c r="I18" s="12">
        <v>0</v>
      </c>
    </row>
    <row r="19" spans="2:9" ht="15" customHeight="1" x14ac:dyDescent="0.2">
      <c r="B19" t="s">
        <v>59</v>
      </c>
      <c r="C19" s="12">
        <v>21</v>
      </c>
      <c r="D19" s="8">
        <v>3.42</v>
      </c>
      <c r="E19" s="12">
        <v>15</v>
      </c>
      <c r="F19" s="8">
        <v>3.39</v>
      </c>
      <c r="G19" s="12">
        <v>4</v>
      </c>
      <c r="H19" s="8">
        <v>2.5299999999999998</v>
      </c>
      <c r="I19" s="12">
        <v>2</v>
      </c>
    </row>
    <row r="20" spans="2:9" ht="15" customHeight="1" x14ac:dyDescent="0.2">
      <c r="B20" s="9" t="s">
        <v>195</v>
      </c>
      <c r="C20" s="12">
        <f>SUM(LTBL_08364[総数／事業所数])</f>
        <v>614</v>
      </c>
      <c r="E20" s="12">
        <f>SUBTOTAL(109,LTBL_08364[個人／事業所数])</f>
        <v>443</v>
      </c>
      <c r="G20" s="12">
        <f>SUBTOTAL(109,LTBL_08364[法人／事業所数])</f>
        <v>158</v>
      </c>
      <c r="I20" s="12">
        <f>SUBTOTAL(109,LTBL_08364[法人以外の団体／事業所数])</f>
        <v>3</v>
      </c>
    </row>
    <row r="21" spans="2:9" ht="15" customHeight="1" x14ac:dyDescent="0.2">
      <c r="E21" s="11">
        <f>LTBL_08364[[#Totals],[個人／事業所数]]/LTBL_08364[[#Totals],[総数／事業所数]]</f>
        <v>0.72149837133550487</v>
      </c>
      <c r="G21" s="11">
        <f>LTBL_08364[[#Totals],[法人／事業所数]]/LTBL_08364[[#Totals],[総数／事業所数]]</f>
        <v>0.25732899022801303</v>
      </c>
      <c r="I21" s="11">
        <f>LTBL_08364[[#Totals],[法人以外の団体／事業所数]]/LTBL_08364[[#Totals],[総数／事業所数]]</f>
        <v>4.8859934853420191E-3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75</v>
      </c>
      <c r="C24" s="12">
        <v>78</v>
      </c>
      <c r="D24" s="8">
        <v>12.7</v>
      </c>
      <c r="E24" s="12">
        <v>66</v>
      </c>
      <c r="F24" s="8">
        <v>14.9</v>
      </c>
      <c r="G24" s="12">
        <v>12</v>
      </c>
      <c r="H24" s="8">
        <v>7.59</v>
      </c>
      <c r="I24" s="12">
        <v>0</v>
      </c>
    </row>
    <row r="25" spans="2:9" ht="15" customHeight="1" x14ac:dyDescent="0.2">
      <c r="B25" t="s">
        <v>68</v>
      </c>
      <c r="C25" s="12">
        <v>67</v>
      </c>
      <c r="D25" s="8">
        <v>10.91</v>
      </c>
      <c r="E25" s="12">
        <v>43</v>
      </c>
      <c r="F25" s="8">
        <v>9.7100000000000009</v>
      </c>
      <c r="G25" s="12">
        <v>24</v>
      </c>
      <c r="H25" s="8">
        <v>15.19</v>
      </c>
      <c r="I25" s="12">
        <v>0</v>
      </c>
    </row>
    <row r="26" spans="2:9" ht="15" customHeight="1" x14ac:dyDescent="0.2">
      <c r="B26" t="s">
        <v>77</v>
      </c>
      <c r="C26" s="12">
        <v>67</v>
      </c>
      <c r="D26" s="8">
        <v>10.91</v>
      </c>
      <c r="E26" s="12">
        <v>46</v>
      </c>
      <c r="F26" s="8">
        <v>10.38</v>
      </c>
      <c r="G26" s="12">
        <v>21</v>
      </c>
      <c r="H26" s="8">
        <v>13.29</v>
      </c>
      <c r="I26" s="12">
        <v>0</v>
      </c>
    </row>
    <row r="27" spans="2:9" ht="15" customHeight="1" x14ac:dyDescent="0.2">
      <c r="B27" t="s">
        <v>83</v>
      </c>
      <c r="C27" s="12">
        <v>66</v>
      </c>
      <c r="D27" s="8">
        <v>10.75</v>
      </c>
      <c r="E27" s="12">
        <v>60</v>
      </c>
      <c r="F27" s="8">
        <v>13.54</v>
      </c>
      <c r="G27" s="12">
        <v>6</v>
      </c>
      <c r="H27" s="8">
        <v>3.8</v>
      </c>
      <c r="I27" s="12">
        <v>0</v>
      </c>
    </row>
    <row r="28" spans="2:9" ht="15" customHeight="1" x14ac:dyDescent="0.2">
      <c r="B28" t="s">
        <v>82</v>
      </c>
      <c r="C28" s="12">
        <v>56</v>
      </c>
      <c r="D28" s="8">
        <v>9.1199999999999992</v>
      </c>
      <c r="E28" s="12">
        <v>50</v>
      </c>
      <c r="F28" s="8">
        <v>11.29</v>
      </c>
      <c r="G28" s="12">
        <v>6</v>
      </c>
      <c r="H28" s="8">
        <v>3.8</v>
      </c>
      <c r="I28" s="12">
        <v>0</v>
      </c>
    </row>
    <row r="29" spans="2:9" ht="15" customHeight="1" x14ac:dyDescent="0.2">
      <c r="B29" t="s">
        <v>69</v>
      </c>
      <c r="C29" s="12">
        <v>52</v>
      </c>
      <c r="D29" s="8">
        <v>8.4700000000000006</v>
      </c>
      <c r="E29" s="12">
        <v>39</v>
      </c>
      <c r="F29" s="8">
        <v>8.8000000000000007</v>
      </c>
      <c r="G29" s="12">
        <v>13</v>
      </c>
      <c r="H29" s="8">
        <v>8.23</v>
      </c>
      <c r="I29" s="12">
        <v>0</v>
      </c>
    </row>
    <row r="30" spans="2:9" ht="15" customHeight="1" x14ac:dyDescent="0.2">
      <c r="B30" t="s">
        <v>76</v>
      </c>
      <c r="C30" s="12">
        <v>19</v>
      </c>
      <c r="D30" s="8">
        <v>3.09</v>
      </c>
      <c r="E30" s="12">
        <v>16</v>
      </c>
      <c r="F30" s="8">
        <v>3.61</v>
      </c>
      <c r="G30" s="12">
        <v>3</v>
      </c>
      <c r="H30" s="8">
        <v>1.9</v>
      </c>
      <c r="I30" s="12">
        <v>0</v>
      </c>
    </row>
    <row r="31" spans="2:9" ht="15" customHeight="1" x14ac:dyDescent="0.2">
      <c r="B31" t="s">
        <v>70</v>
      </c>
      <c r="C31" s="12">
        <v>17</v>
      </c>
      <c r="D31" s="8">
        <v>2.77</v>
      </c>
      <c r="E31" s="12">
        <v>11</v>
      </c>
      <c r="F31" s="8">
        <v>2.48</v>
      </c>
      <c r="G31" s="12">
        <v>6</v>
      </c>
      <c r="H31" s="8">
        <v>3.8</v>
      </c>
      <c r="I31" s="12">
        <v>0</v>
      </c>
    </row>
    <row r="32" spans="2:9" ht="15" customHeight="1" x14ac:dyDescent="0.2">
      <c r="B32" t="s">
        <v>79</v>
      </c>
      <c r="C32" s="12">
        <v>17</v>
      </c>
      <c r="D32" s="8">
        <v>2.77</v>
      </c>
      <c r="E32" s="12">
        <v>16</v>
      </c>
      <c r="F32" s="8">
        <v>3.61</v>
      </c>
      <c r="G32" s="12">
        <v>1</v>
      </c>
      <c r="H32" s="8">
        <v>0.63</v>
      </c>
      <c r="I32" s="12">
        <v>0</v>
      </c>
    </row>
    <row r="33" spans="2:9" ht="15" customHeight="1" x14ac:dyDescent="0.2">
      <c r="B33" t="s">
        <v>85</v>
      </c>
      <c r="C33" s="12">
        <v>17</v>
      </c>
      <c r="D33" s="8">
        <v>2.77</v>
      </c>
      <c r="E33" s="12">
        <v>8</v>
      </c>
      <c r="F33" s="8">
        <v>1.81</v>
      </c>
      <c r="G33" s="12">
        <v>1</v>
      </c>
      <c r="H33" s="8">
        <v>0.63</v>
      </c>
      <c r="I33" s="12">
        <v>0</v>
      </c>
    </row>
    <row r="34" spans="2:9" ht="15" customHeight="1" x14ac:dyDescent="0.2">
      <c r="B34" t="s">
        <v>97</v>
      </c>
      <c r="C34" s="12">
        <v>14</v>
      </c>
      <c r="D34" s="8">
        <v>2.2799999999999998</v>
      </c>
      <c r="E34" s="12">
        <v>7</v>
      </c>
      <c r="F34" s="8">
        <v>1.58</v>
      </c>
      <c r="G34" s="12">
        <v>7</v>
      </c>
      <c r="H34" s="8">
        <v>4.43</v>
      </c>
      <c r="I34" s="12">
        <v>0</v>
      </c>
    </row>
    <row r="35" spans="2:9" ht="15" customHeight="1" x14ac:dyDescent="0.2">
      <c r="B35" t="s">
        <v>87</v>
      </c>
      <c r="C35" s="12">
        <v>14</v>
      </c>
      <c r="D35" s="8">
        <v>2.2799999999999998</v>
      </c>
      <c r="E35" s="12">
        <v>14</v>
      </c>
      <c r="F35" s="8">
        <v>3.16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74</v>
      </c>
      <c r="C36" s="12">
        <v>12</v>
      </c>
      <c r="D36" s="8">
        <v>1.95</v>
      </c>
      <c r="E36" s="12">
        <v>8</v>
      </c>
      <c r="F36" s="8">
        <v>1.81</v>
      </c>
      <c r="G36" s="12">
        <v>4</v>
      </c>
      <c r="H36" s="8">
        <v>2.5299999999999998</v>
      </c>
      <c r="I36" s="12">
        <v>0</v>
      </c>
    </row>
    <row r="37" spans="2:9" ht="15" customHeight="1" x14ac:dyDescent="0.2">
      <c r="B37" t="s">
        <v>99</v>
      </c>
      <c r="C37" s="12">
        <v>9</v>
      </c>
      <c r="D37" s="8">
        <v>1.47</v>
      </c>
      <c r="E37" s="12">
        <v>8</v>
      </c>
      <c r="F37" s="8">
        <v>1.81</v>
      </c>
      <c r="G37" s="12">
        <v>1</v>
      </c>
      <c r="H37" s="8">
        <v>0.63</v>
      </c>
      <c r="I37" s="12">
        <v>0</v>
      </c>
    </row>
    <row r="38" spans="2:9" ht="15" customHeight="1" x14ac:dyDescent="0.2">
      <c r="B38" t="s">
        <v>98</v>
      </c>
      <c r="C38" s="12">
        <v>8</v>
      </c>
      <c r="D38" s="8">
        <v>1.3</v>
      </c>
      <c r="E38" s="12">
        <v>2</v>
      </c>
      <c r="F38" s="8">
        <v>0.45</v>
      </c>
      <c r="G38" s="12">
        <v>6</v>
      </c>
      <c r="H38" s="8">
        <v>3.8</v>
      </c>
      <c r="I38" s="12">
        <v>0</v>
      </c>
    </row>
    <row r="39" spans="2:9" ht="15" customHeight="1" x14ac:dyDescent="0.2">
      <c r="B39" t="s">
        <v>86</v>
      </c>
      <c r="C39" s="12">
        <v>8</v>
      </c>
      <c r="D39" s="8">
        <v>1.3</v>
      </c>
      <c r="E39" s="12">
        <v>8</v>
      </c>
      <c r="F39" s="8">
        <v>1.81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110</v>
      </c>
      <c r="C40" s="12">
        <v>7</v>
      </c>
      <c r="D40" s="8">
        <v>1.1399999999999999</v>
      </c>
      <c r="E40" s="12">
        <v>3</v>
      </c>
      <c r="F40" s="8">
        <v>0.68</v>
      </c>
      <c r="G40" s="12">
        <v>4</v>
      </c>
      <c r="H40" s="8">
        <v>2.5299999999999998</v>
      </c>
      <c r="I40" s="12">
        <v>0</v>
      </c>
    </row>
    <row r="41" spans="2:9" ht="15" customHeight="1" x14ac:dyDescent="0.2">
      <c r="B41" t="s">
        <v>81</v>
      </c>
      <c r="C41" s="12">
        <v>7</v>
      </c>
      <c r="D41" s="8">
        <v>1.1399999999999999</v>
      </c>
      <c r="E41" s="12">
        <v>4</v>
      </c>
      <c r="F41" s="8">
        <v>0.9</v>
      </c>
      <c r="G41" s="12">
        <v>2</v>
      </c>
      <c r="H41" s="8">
        <v>1.27</v>
      </c>
      <c r="I41" s="12">
        <v>0</v>
      </c>
    </row>
    <row r="42" spans="2:9" ht="15" customHeight="1" x14ac:dyDescent="0.2">
      <c r="B42" t="s">
        <v>80</v>
      </c>
      <c r="C42" s="12">
        <v>6</v>
      </c>
      <c r="D42" s="8">
        <v>0.98</v>
      </c>
      <c r="E42" s="12">
        <v>6</v>
      </c>
      <c r="F42" s="8">
        <v>1.35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112</v>
      </c>
      <c r="C43" s="12">
        <v>5</v>
      </c>
      <c r="D43" s="8">
        <v>0.81</v>
      </c>
      <c r="E43" s="12">
        <v>4</v>
      </c>
      <c r="F43" s="8">
        <v>0.9</v>
      </c>
      <c r="G43" s="12">
        <v>1</v>
      </c>
      <c r="H43" s="8">
        <v>0.63</v>
      </c>
      <c r="I43" s="12">
        <v>0</v>
      </c>
    </row>
    <row r="44" spans="2:9" ht="15" customHeight="1" x14ac:dyDescent="0.2">
      <c r="B44" t="s">
        <v>104</v>
      </c>
      <c r="C44" s="12">
        <v>5</v>
      </c>
      <c r="D44" s="8">
        <v>0.81</v>
      </c>
      <c r="E44" s="12">
        <v>4</v>
      </c>
      <c r="F44" s="8">
        <v>0.9</v>
      </c>
      <c r="G44" s="12">
        <v>1</v>
      </c>
      <c r="H44" s="8">
        <v>0.63</v>
      </c>
      <c r="I44" s="12">
        <v>0</v>
      </c>
    </row>
    <row r="45" spans="2:9" ht="15" customHeight="1" x14ac:dyDescent="0.2">
      <c r="B45" t="s">
        <v>88</v>
      </c>
      <c r="C45" s="12">
        <v>5</v>
      </c>
      <c r="D45" s="8">
        <v>0.81</v>
      </c>
      <c r="E45" s="12">
        <v>2</v>
      </c>
      <c r="F45" s="8">
        <v>0.45</v>
      </c>
      <c r="G45" s="12">
        <v>3</v>
      </c>
      <c r="H45" s="8">
        <v>1.9</v>
      </c>
      <c r="I45" s="12">
        <v>0</v>
      </c>
    </row>
    <row r="46" spans="2:9" ht="15" customHeight="1" x14ac:dyDescent="0.2">
      <c r="B46" t="s">
        <v>105</v>
      </c>
      <c r="C46" s="12">
        <v>5</v>
      </c>
      <c r="D46" s="8">
        <v>0.81</v>
      </c>
      <c r="E46" s="12">
        <v>2</v>
      </c>
      <c r="F46" s="8">
        <v>0.45</v>
      </c>
      <c r="G46" s="12">
        <v>3</v>
      </c>
      <c r="H46" s="8">
        <v>1.9</v>
      </c>
      <c r="I46" s="12">
        <v>0</v>
      </c>
    </row>
    <row r="49" spans="2:9" ht="33" customHeight="1" x14ac:dyDescent="0.2">
      <c r="B49" t="s">
        <v>197</v>
      </c>
      <c r="C49" s="10" t="s">
        <v>61</v>
      </c>
      <c r="D49" s="10" t="s">
        <v>62</v>
      </c>
      <c r="E49" s="10" t="s">
        <v>63</v>
      </c>
      <c r="F49" s="10" t="s">
        <v>64</v>
      </c>
      <c r="G49" s="10" t="s">
        <v>65</v>
      </c>
      <c r="H49" s="10" t="s">
        <v>66</v>
      </c>
      <c r="I49" s="10" t="s">
        <v>67</v>
      </c>
    </row>
    <row r="50" spans="2:9" ht="15" customHeight="1" x14ac:dyDescent="0.2">
      <c r="B50" t="s">
        <v>134</v>
      </c>
      <c r="C50" s="12">
        <v>34</v>
      </c>
      <c r="D50" s="8">
        <v>5.54</v>
      </c>
      <c r="E50" s="12">
        <v>34</v>
      </c>
      <c r="F50" s="8">
        <v>7.67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32</v>
      </c>
      <c r="D51" s="8">
        <v>5.21</v>
      </c>
      <c r="E51" s="12">
        <v>28</v>
      </c>
      <c r="F51" s="8">
        <v>6.32</v>
      </c>
      <c r="G51" s="12">
        <v>4</v>
      </c>
      <c r="H51" s="8">
        <v>2.5299999999999998</v>
      </c>
      <c r="I51" s="12">
        <v>0</v>
      </c>
    </row>
    <row r="52" spans="2:9" ht="15" customHeight="1" x14ac:dyDescent="0.2">
      <c r="B52" t="s">
        <v>120</v>
      </c>
      <c r="C52" s="12">
        <v>28</v>
      </c>
      <c r="D52" s="8">
        <v>4.5599999999999996</v>
      </c>
      <c r="E52" s="12">
        <v>27</v>
      </c>
      <c r="F52" s="8">
        <v>6.09</v>
      </c>
      <c r="G52" s="12">
        <v>1</v>
      </c>
      <c r="H52" s="8">
        <v>0.63</v>
      </c>
      <c r="I52" s="12">
        <v>0</v>
      </c>
    </row>
    <row r="53" spans="2:9" ht="15" customHeight="1" x14ac:dyDescent="0.2">
      <c r="B53" t="s">
        <v>133</v>
      </c>
      <c r="C53" s="12">
        <v>23</v>
      </c>
      <c r="D53" s="8">
        <v>3.75</v>
      </c>
      <c r="E53" s="12">
        <v>20</v>
      </c>
      <c r="F53" s="8">
        <v>4.51</v>
      </c>
      <c r="G53" s="12">
        <v>3</v>
      </c>
      <c r="H53" s="8">
        <v>1.9</v>
      </c>
      <c r="I53" s="12">
        <v>0</v>
      </c>
    </row>
    <row r="54" spans="2:9" ht="15" customHeight="1" x14ac:dyDescent="0.2">
      <c r="B54" t="s">
        <v>131</v>
      </c>
      <c r="C54" s="12">
        <v>21</v>
      </c>
      <c r="D54" s="8">
        <v>3.42</v>
      </c>
      <c r="E54" s="12">
        <v>17</v>
      </c>
      <c r="F54" s="8">
        <v>3.84</v>
      </c>
      <c r="G54" s="12">
        <v>4</v>
      </c>
      <c r="H54" s="8">
        <v>2.5299999999999998</v>
      </c>
      <c r="I54" s="12">
        <v>0</v>
      </c>
    </row>
    <row r="55" spans="2:9" ht="15" customHeight="1" x14ac:dyDescent="0.2">
      <c r="B55" t="s">
        <v>127</v>
      </c>
      <c r="C55" s="12">
        <v>18</v>
      </c>
      <c r="D55" s="8">
        <v>2.93</v>
      </c>
      <c r="E55" s="12">
        <v>15</v>
      </c>
      <c r="F55" s="8">
        <v>3.39</v>
      </c>
      <c r="G55" s="12">
        <v>3</v>
      </c>
      <c r="H55" s="8">
        <v>1.9</v>
      </c>
      <c r="I55" s="12">
        <v>0</v>
      </c>
    </row>
    <row r="56" spans="2:9" ht="15" customHeight="1" x14ac:dyDescent="0.2">
      <c r="B56" t="s">
        <v>118</v>
      </c>
      <c r="C56" s="12">
        <v>17</v>
      </c>
      <c r="D56" s="8">
        <v>2.77</v>
      </c>
      <c r="E56" s="12">
        <v>1</v>
      </c>
      <c r="F56" s="8">
        <v>0.23</v>
      </c>
      <c r="G56" s="12">
        <v>16</v>
      </c>
      <c r="H56" s="8">
        <v>10.130000000000001</v>
      </c>
      <c r="I56" s="12">
        <v>0</v>
      </c>
    </row>
    <row r="57" spans="2:9" ht="15" customHeight="1" x14ac:dyDescent="0.2">
      <c r="B57" t="s">
        <v>157</v>
      </c>
      <c r="C57" s="12">
        <v>17</v>
      </c>
      <c r="D57" s="8">
        <v>2.77</v>
      </c>
      <c r="E57" s="12">
        <v>15</v>
      </c>
      <c r="F57" s="8">
        <v>3.39</v>
      </c>
      <c r="G57" s="12">
        <v>2</v>
      </c>
      <c r="H57" s="8">
        <v>1.27</v>
      </c>
      <c r="I57" s="12">
        <v>0</v>
      </c>
    </row>
    <row r="58" spans="2:9" ht="15" customHeight="1" x14ac:dyDescent="0.2">
      <c r="B58" t="s">
        <v>126</v>
      </c>
      <c r="C58" s="12">
        <v>17</v>
      </c>
      <c r="D58" s="8">
        <v>2.77</v>
      </c>
      <c r="E58" s="12">
        <v>6</v>
      </c>
      <c r="F58" s="8">
        <v>1.35</v>
      </c>
      <c r="G58" s="12">
        <v>11</v>
      </c>
      <c r="H58" s="8">
        <v>6.96</v>
      </c>
      <c r="I58" s="12">
        <v>0</v>
      </c>
    </row>
    <row r="59" spans="2:9" ht="15" customHeight="1" x14ac:dyDescent="0.2">
      <c r="B59" t="s">
        <v>152</v>
      </c>
      <c r="C59" s="12">
        <v>16</v>
      </c>
      <c r="D59" s="8">
        <v>2.61</v>
      </c>
      <c r="E59" s="12">
        <v>15</v>
      </c>
      <c r="F59" s="8">
        <v>3.39</v>
      </c>
      <c r="G59" s="12">
        <v>1</v>
      </c>
      <c r="H59" s="8">
        <v>0.63</v>
      </c>
      <c r="I59" s="12">
        <v>0</v>
      </c>
    </row>
    <row r="60" spans="2:9" ht="15" customHeight="1" x14ac:dyDescent="0.2">
      <c r="B60" t="s">
        <v>119</v>
      </c>
      <c r="C60" s="12">
        <v>15</v>
      </c>
      <c r="D60" s="8">
        <v>2.44</v>
      </c>
      <c r="E60" s="12">
        <v>11</v>
      </c>
      <c r="F60" s="8">
        <v>2.48</v>
      </c>
      <c r="G60" s="12">
        <v>4</v>
      </c>
      <c r="H60" s="8">
        <v>2.5299999999999998</v>
      </c>
      <c r="I60" s="12">
        <v>0</v>
      </c>
    </row>
    <row r="61" spans="2:9" ht="15" customHeight="1" x14ac:dyDescent="0.2">
      <c r="B61" t="s">
        <v>137</v>
      </c>
      <c r="C61" s="12">
        <v>14</v>
      </c>
      <c r="D61" s="8">
        <v>2.2799999999999998</v>
      </c>
      <c r="E61" s="12">
        <v>14</v>
      </c>
      <c r="F61" s="8">
        <v>3.16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124</v>
      </c>
      <c r="C62" s="12">
        <v>13</v>
      </c>
      <c r="D62" s="8">
        <v>2.12</v>
      </c>
      <c r="E62" s="12">
        <v>10</v>
      </c>
      <c r="F62" s="8">
        <v>2.2599999999999998</v>
      </c>
      <c r="G62" s="12">
        <v>3</v>
      </c>
      <c r="H62" s="8">
        <v>1.9</v>
      </c>
      <c r="I62" s="12">
        <v>0</v>
      </c>
    </row>
    <row r="63" spans="2:9" ht="15" customHeight="1" x14ac:dyDescent="0.2">
      <c r="B63" t="s">
        <v>129</v>
      </c>
      <c r="C63" s="12">
        <v>11</v>
      </c>
      <c r="D63" s="8">
        <v>1.79</v>
      </c>
      <c r="E63" s="12">
        <v>10</v>
      </c>
      <c r="F63" s="8">
        <v>2.2599999999999998</v>
      </c>
      <c r="G63" s="12">
        <v>1</v>
      </c>
      <c r="H63" s="8">
        <v>0.63</v>
      </c>
      <c r="I63" s="12">
        <v>0</v>
      </c>
    </row>
    <row r="64" spans="2:9" ht="15" customHeight="1" x14ac:dyDescent="0.2">
      <c r="B64" t="s">
        <v>182</v>
      </c>
      <c r="C64" s="12">
        <v>10</v>
      </c>
      <c r="D64" s="8">
        <v>1.63</v>
      </c>
      <c r="E64" s="12">
        <v>7</v>
      </c>
      <c r="F64" s="8">
        <v>1.58</v>
      </c>
      <c r="G64" s="12">
        <v>3</v>
      </c>
      <c r="H64" s="8">
        <v>1.9</v>
      </c>
      <c r="I64" s="12">
        <v>0</v>
      </c>
    </row>
    <row r="65" spans="2:9" ht="15" customHeight="1" x14ac:dyDescent="0.2">
      <c r="B65" t="s">
        <v>167</v>
      </c>
      <c r="C65" s="12">
        <v>9</v>
      </c>
      <c r="D65" s="8">
        <v>1.47</v>
      </c>
      <c r="E65" s="12">
        <v>8</v>
      </c>
      <c r="F65" s="8">
        <v>1.81</v>
      </c>
      <c r="G65" s="12">
        <v>1</v>
      </c>
      <c r="H65" s="8">
        <v>0.63</v>
      </c>
      <c r="I65" s="12">
        <v>0</v>
      </c>
    </row>
    <row r="66" spans="2:9" ht="15" customHeight="1" x14ac:dyDescent="0.2">
      <c r="B66" t="s">
        <v>121</v>
      </c>
      <c r="C66" s="12">
        <v>9</v>
      </c>
      <c r="D66" s="8">
        <v>1.47</v>
      </c>
      <c r="E66" s="12">
        <v>4</v>
      </c>
      <c r="F66" s="8">
        <v>0.9</v>
      </c>
      <c r="G66" s="12">
        <v>5</v>
      </c>
      <c r="H66" s="8">
        <v>3.16</v>
      </c>
      <c r="I66" s="12">
        <v>0</v>
      </c>
    </row>
    <row r="67" spans="2:9" ht="15" customHeight="1" x14ac:dyDescent="0.2">
      <c r="B67" t="s">
        <v>147</v>
      </c>
      <c r="C67" s="12">
        <v>9</v>
      </c>
      <c r="D67" s="8">
        <v>1.47</v>
      </c>
      <c r="E67" s="12">
        <v>5</v>
      </c>
      <c r="F67" s="8">
        <v>1.1299999999999999</v>
      </c>
      <c r="G67" s="12">
        <v>4</v>
      </c>
      <c r="H67" s="8">
        <v>2.5299999999999998</v>
      </c>
      <c r="I67" s="12">
        <v>0</v>
      </c>
    </row>
    <row r="68" spans="2:9" ht="15" customHeight="1" x14ac:dyDescent="0.2">
      <c r="B68" t="s">
        <v>159</v>
      </c>
      <c r="C68" s="12">
        <v>8</v>
      </c>
      <c r="D68" s="8">
        <v>1.3</v>
      </c>
      <c r="E68" s="12">
        <v>7</v>
      </c>
      <c r="F68" s="8">
        <v>1.58</v>
      </c>
      <c r="G68" s="12">
        <v>1</v>
      </c>
      <c r="H68" s="8">
        <v>0.63</v>
      </c>
      <c r="I68" s="12">
        <v>0</v>
      </c>
    </row>
    <row r="69" spans="2:9" ht="15" customHeight="1" x14ac:dyDescent="0.2">
      <c r="B69" t="s">
        <v>156</v>
      </c>
      <c r="C69" s="12">
        <v>8</v>
      </c>
      <c r="D69" s="8">
        <v>1.3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232A-EC30-4423-877A-D0026330CB2F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53</v>
      </c>
      <c r="D6" s="8">
        <v>17.32</v>
      </c>
      <c r="E6" s="12">
        <v>19</v>
      </c>
      <c r="F6" s="8">
        <v>12.5</v>
      </c>
      <c r="G6" s="12">
        <v>34</v>
      </c>
      <c r="H6" s="8">
        <v>22.97</v>
      </c>
      <c r="I6" s="12">
        <v>0</v>
      </c>
    </row>
    <row r="7" spans="2:9" ht="15" customHeight="1" x14ac:dyDescent="0.2">
      <c r="B7" t="s">
        <v>47</v>
      </c>
      <c r="C7" s="12">
        <v>28</v>
      </c>
      <c r="D7" s="8">
        <v>9.15</v>
      </c>
      <c r="E7" s="12">
        <v>13</v>
      </c>
      <c r="F7" s="8">
        <v>8.5500000000000007</v>
      </c>
      <c r="G7" s="12">
        <v>15</v>
      </c>
      <c r="H7" s="8">
        <v>10.14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0.68</v>
      </c>
      <c r="I8" s="12">
        <v>0</v>
      </c>
    </row>
    <row r="9" spans="2:9" ht="15" customHeight="1" x14ac:dyDescent="0.2">
      <c r="B9" t="s">
        <v>49</v>
      </c>
      <c r="C9" s="12">
        <v>1</v>
      </c>
      <c r="D9" s="8">
        <v>0.33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2">
      <c r="B10" t="s">
        <v>50</v>
      </c>
      <c r="C10" s="12">
        <v>5</v>
      </c>
      <c r="D10" s="8">
        <v>1.63</v>
      </c>
      <c r="E10" s="12">
        <v>0</v>
      </c>
      <c r="F10" s="8">
        <v>0</v>
      </c>
      <c r="G10" s="12">
        <v>5</v>
      </c>
      <c r="H10" s="8">
        <v>3.38</v>
      </c>
      <c r="I10" s="12">
        <v>0</v>
      </c>
    </row>
    <row r="11" spans="2:9" ht="15" customHeight="1" x14ac:dyDescent="0.2">
      <c r="B11" t="s">
        <v>51</v>
      </c>
      <c r="C11" s="12">
        <v>67</v>
      </c>
      <c r="D11" s="8">
        <v>21.9</v>
      </c>
      <c r="E11" s="12">
        <v>41</v>
      </c>
      <c r="F11" s="8">
        <v>26.97</v>
      </c>
      <c r="G11" s="12">
        <v>26</v>
      </c>
      <c r="H11" s="8">
        <v>17.57</v>
      </c>
      <c r="I11" s="12">
        <v>0</v>
      </c>
    </row>
    <row r="12" spans="2:9" ht="15" customHeight="1" x14ac:dyDescent="0.2">
      <c r="B12" t="s">
        <v>52</v>
      </c>
      <c r="C12" s="12">
        <v>2</v>
      </c>
      <c r="D12" s="8">
        <v>0.65</v>
      </c>
      <c r="E12" s="12">
        <v>1</v>
      </c>
      <c r="F12" s="8">
        <v>0.66</v>
      </c>
      <c r="G12" s="12">
        <v>1</v>
      </c>
      <c r="H12" s="8">
        <v>0.68</v>
      </c>
      <c r="I12" s="12">
        <v>0</v>
      </c>
    </row>
    <row r="13" spans="2:9" ht="15" customHeight="1" x14ac:dyDescent="0.2">
      <c r="B13" t="s">
        <v>53</v>
      </c>
      <c r="C13" s="12">
        <v>16</v>
      </c>
      <c r="D13" s="8">
        <v>5.23</v>
      </c>
      <c r="E13" s="12">
        <v>1</v>
      </c>
      <c r="F13" s="8">
        <v>0.66</v>
      </c>
      <c r="G13" s="12">
        <v>15</v>
      </c>
      <c r="H13" s="8">
        <v>10.14</v>
      </c>
      <c r="I13" s="12">
        <v>0</v>
      </c>
    </row>
    <row r="14" spans="2:9" ht="15" customHeight="1" x14ac:dyDescent="0.2">
      <c r="B14" t="s">
        <v>54</v>
      </c>
      <c r="C14" s="12">
        <v>13</v>
      </c>
      <c r="D14" s="8">
        <v>4.25</v>
      </c>
      <c r="E14" s="12">
        <v>3</v>
      </c>
      <c r="F14" s="8">
        <v>1.97</v>
      </c>
      <c r="G14" s="12">
        <v>10</v>
      </c>
      <c r="H14" s="8">
        <v>6.76</v>
      </c>
      <c r="I14" s="12">
        <v>0</v>
      </c>
    </row>
    <row r="15" spans="2:9" ht="15" customHeight="1" x14ac:dyDescent="0.2">
      <c r="B15" t="s">
        <v>55</v>
      </c>
      <c r="C15" s="12">
        <v>40</v>
      </c>
      <c r="D15" s="8">
        <v>13.07</v>
      </c>
      <c r="E15" s="12">
        <v>32</v>
      </c>
      <c r="F15" s="8">
        <v>21.05</v>
      </c>
      <c r="G15" s="12">
        <v>8</v>
      </c>
      <c r="H15" s="8">
        <v>5.41</v>
      </c>
      <c r="I15" s="12">
        <v>0</v>
      </c>
    </row>
    <row r="16" spans="2:9" ht="15" customHeight="1" x14ac:dyDescent="0.2">
      <c r="B16" t="s">
        <v>56</v>
      </c>
      <c r="C16" s="12">
        <v>26</v>
      </c>
      <c r="D16" s="8">
        <v>8.5</v>
      </c>
      <c r="E16" s="12">
        <v>22</v>
      </c>
      <c r="F16" s="8">
        <v>14.47</v>
      </c>
      <c r="G16" s="12">
        <v>3</v>
      </c>
      <c r="H16" s="8">
        <v>2.0299999999999998</v>
      </c>
      <c r="I16" s="12">
        <v>1</v>
      </c>
    </row>
    <row r="17" spans="2:9" ht="15" customHeight="1" x14ac:dyDescent="0.2">
      <c r="B17" t="s">
        <v>57</v>
      </c>
      <c r="C17" s="12">
        <v>8</v>
      </c>
      <c r="D17" s="8">
        <v>2.61</v>
      </c>
      <c r="E17" s="12">
        <v>5</v>
      </c>
      <c r="F17" s="8">
        <v>3.29</v>
      </c>
      <c r="G17" s="12">
        <v>1</v>
      </c>
      <c r="H17" s="8">
        <v>0.68</v>
      </c>
      <c r="I17" s="12">
        <v>0</v>
      </c>
    </row>
    <row r="18" spans="2:9" ht="15" customHeight="1" x14ac:dyDescent="0.2">
      <c r="B18" t="s">
        <v>58</v>
      </c>
      <c r="C18" s="12">
        <v>18</v>
      </c>
      <c r="D18" s="8">
        <v>5.88</v>
      </c>
      <c r="E18" s="12">
        <v>7</v>
      </c>
      <c r="F18" s="8">
        <v>4.6100000000000003</v>
      </c>
      <c r="G18" s="12">
        <v>9</v>
      </c>
      <c r="H18" s="8">
        <v>6.08</v>
      </c>
      <c r="I18" s="12">
        <v>0</v>
      </c>
    </row>
    <row r="19" spans="2:9" ht="15" customHeight="1" x14ac:dyDescent="0.2">
      <c r="B19" t="s">
        <v>59</v>
      </c>
      <c r="C19" s="12">
        <v>28</v>
      </c>
      <c r="D19" s="8">
        <v>9.15</v>
      </c>
      <c r="E19" s="12">
        <v>8</v>
      </c>
      <c r="F19" s="8">
        <v>5.26</v>
      </c>
      <c r="G19" s="12">
        <v>19</v>
      </c>
      <c r="H19" s="8">
        <v>12.84</v>
      </c>
      <c r="I19" s="12">
        <v>0</v>
      </c>
    </row>
    <row r="20" spans="2:9" ht="15" customHeight="1" x14ac:dyDescent="0.2">
      <c r="B20" s="9" t="s">
        <v>195</v>
      </c>
      <c r="C20" s="12">
        <f>SUM(LTBL_08442[総数／事業所数])</f>
        <v>306</v>
      </c>
      <c r="E20" s="12">
        <f>SUBTOTAL(109,LTBL_08442[個人／事業所数])</f>
        <v>152</v>
      </c>
      <c r="G20" s="12">
        <f>SUBTOTAL(109,LTBL_08442[法人／事業所数])</f>
        <v>148</v>
      </c>
      <c r="I20" s="12">
        <f>SUBTOTAL(109,LTBL_08442[法人以外の団体／事業所数])</f>
        <v>1</v>
      </c>
    </row>
    <row r="21" spans="2:9" ht="15" customHeight="1" x14ac:dyDescent="0.2">
      <c r="E21" s="11">
        <f>LTBL_08442[[#Totals],[個人／事業所数]]/LTBL_08442[[#Totals],[総数／事業所数]]</f>
        <v>0.49673202614379086</v>
      </c>
      <c r="G21" s="11">
        <f>LTBL_08442[[#Totals],[法人／事業所数]]/LTBL_08442[[#Totals],[総数／事業所数]]</f>
        <v>0.48366013071895425</v>
      </c>
      <c r="I21" s="11">
        <f>LTBL_08442[[#Totals],[法人以外の団体／事業所数]]/LTBL_08442[[#Totals],[総数／事業所数]]</f>
        <v>3.2679738562091504E-3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82</v>
      </c>
      <c r="C24" s="12">
        <v>35</v>
      </c>
      <c r="D24" s="8">
        <v>11.44</v>
      </c>
      <c r="E24" s="12">
        <v>31</v>
      </c>
      <c r="F24" s="8">
        <v>20.39</v>
      </c>
      <c r="G24" s="12">
        <v>4</v>
      </c>
      <c r="H24" s="8">
        <v>2.7</v>
      </c>
      <c r="I24" s="12">
        <v>0</v>
      </c>
    </row>
    <row r="25" spans="2:9" ht="15" customHeight="1" x14ac:dyDescent="0.2">
      <c r="B25" t="s">
        <v>68</v>
      </c>
      <c r="C25" s="12">
        <v>27</v>
      </c>
      <c r="D25" s="8">
        <v>8.82</v>
      </c>
      <c r="E25" s="12">
        <v>8</v>
      </c>
      <c r="F25" s="8">
        <v>5.26</v>
      </c>
      <c r="G25" s="12">
        <v>19</v>
      </c>
      <c r="H25" s="8">
        <v>12.84</v>
      </c>
      <c r="I25" s="12">
        <v>0</v>
      </c>
    </row>
    <row r="26" spans="2:9" ht="15" customHeight="1" x14ac:dyDescent="0.2">
      <c r="B26" t="s">
        <v>77</v>
      </c>
      <c r="C26" s="12">
        <v>20</v>
      </c>
      <c r="D26" s="8">
        <v>6.54</v>
      </c>
      <c r="E26" s="12">
        <v>11</v>
      </c>
      <c r="F26" s="8">
        <v>7.24</v>
      </c>
      <c r="G26" s="12">
        <v>9</v>
      </c>
      <c r="H26" s="8">
        <v>6.08</v>
      </c>
      <c r="I26" s="12">
        <v>0</v>
      </c>
    </row>
    <row r="27" spans="2:9" ht="15" customHeight="1" x14ac:dyDescent="0.2">
      <c r="B27" t="s">
        <v>83</v>
      </c>
      <c r="C27" s="12">
        <v>20</v>
      </c>
      <c r="D27" s="8">
        <v>6.54</v>
      </c>
      <c r="E27" s="12">
        <v>18</v>
      </c>
      <c r="F27" s="8">
        <v>11.84</v>
      </c>
      <c r="G27" s="12">
        <v>2</v>
      </c>
      <c r="H27" s="8">
        <v>1.35</v>
      </c>
      <c r="I27" s="12">
        <v>0</v>
      </c>
    </row>
    <row r="28" spans="2:9" ht="15" customHeight="1" x14ac:dyDescent="0.2">
      <c r="B28" t="s">
        <v>75</v>
      </c>
      <c r="C28" s="12">
        <v>19</v>
      </c>
      <c r="D28" s="8">
        <v>6.21</v>
      </c>
      <c r="E28" s="12">
        <v>16</v>
      </c>
      <c r="F28" s="8">
        <v>10.53</v>
      </c>
      <c r="G28" s="12">
        <v>3</v>
      </c>
      <c r="H28" s="8">
        <v>2.0299999999999998</v>
      </c>
      <c r="I28" s="12">
        <v>0</v>
      </c>
    </row>
    <row r="29" spans="2:9" ht="15" customHeight="1" x14ac:dyDescent="0.2">
      <c r="B29" t="s">
        <v>70</v>
      </c>
      <c r="C29" s="12">
        <v>15</v>
      </c>
      <c r="D29" s="8">
        <v>4.9000000000000004</v>
      </c>
      <c r="E29" s="12">
        <v>4</v>
      </c>
      <c r="F29" s="8">
        <v>2.63</v>
      </c>
      <c r="G29" s="12">
        <v>11</v>
      </c>
      <c r="H29" s="8">
        <v>7.43</v>
      </c>
      <c r="I29" s="12">
        <v>0</v>
      </c>
    </row>
    <row r="30" spans="2:9" ht="15" customHeight="1" x14ac:dyDescent="0.2">
      <c r="B30" t="s">
        <v>89</v>
      </c>
      <c r="C30" s="12">
        <v>12</v>
      </c>
      <c r="D30" s="8">
        <v>3.92</v>
      </c>
      <c r="E30" s="12">
        <v>0</v>
      </c>
      <c r="F30" s="8">
        <v>0</v>
      </c>
      <c r="G30" s="12">
        <v>12</v>
      </c>
      <c r="H30" s="8">
        <v>8.11</v>
      </c>
      <c r="I30" s="12">
        <v>0</v>
      </c>
    </row>
    <row r="31" spans="2:9" ht="15" customHeight="1" x14ac:dyDescent="0.2">
      <c r="B31" t="s">
        <v>69</v>
      </c>
      <c r="C31" s="12">
        <v>11</v>
      </c>
      <c r="D31" s="8">
        <v>3.59</v>
      </c>
      <c r="E31" s="12">
        <v>7</v>
      </c>
      <c r="F31" s="8">
        <v>4.6100000000000003</v>
      </c>
      <c r="G31" s="12">
        <v>4</v>
      </c>
      <c r="H31" s="8">
        <v>2.7</v>
      </c>
      <c r="I31" s="12">
        <v>0</v>
      </c>
    </row>
    <row r="32" spans="2:9" ht="15" customHeight="1" x14ac:dyDescent="0.2">
      <c r="B32" t="s">
        <v>76</v>
      </c>
      <c r="C32" s="12">
        <v>11</v>
      </c>
      <c r="D32" s="8">
        <v>3.59</v>
      </c>
      <c r="E32" s="12">
        <v>7</v>
      </c>
      <c r="F32" s="8">
        <v>4.6100000000000003</v>
      </c>
      <c r="G32" s="12">
        <v>4</v>
      </c>
      <c r="H32" s="8">
        <v>2.7</v>
      </c>
      <c r="I32" s="12">
        <v>0</v>
      </c>
    </row>
    <row r="33" spans="2:9" ht="15" customHeight="1" x14ac:dyDescent="0.2">
      <c r="B33" t="s">
        <v>86</v>
      </c>
      <c r="C33" s="12">
        <v>11</v>
      </c>
      <c r="D33" s="8">
        <v>3.59</v>
      </c>
      <c r="E33" s="12">
        <v>7</v>
      </c>
      <c r="F33" s="8">
        <v>4.6100000000000003</v>
      </c>
      <c r="G33" s="12">
        <v>4</v>
      </c>
      <c r="H33" s="8">
        <v>2.7</v>
      </c>
      <c r="I33" s="12">
        <v>0</v>
      </c>
    </row>
    <row r="34" spans="2:9" ht="15" customHeight="1" x14ac:dyDescent="0.2">
      <c r="B34" t="s">
        <v>81</v>
      </c>
      <c r="C34" s="12">
        <v>10</v>
      </c>
      <c r="D34" s="8">
        <v>3.27</v>
      </c>
      <c r="E34" s="12">
        <v>2</v>
      </c>
      <c r="F34" s="8">
        <v>1.32</v>
      </c>
      <c r="G34" s="12">
        <v>8</v>
      </c>
      <c r="H34" s="8">
        <v>5.41</v>
      </c>
      <c r="I34" s="12">
        <v>0</v>
      </c>
    </row>
    <row r="35" spans="2:9" ht="15" customHeight="1" x14ac:dyDescent="0.2">
      <c r="B35" t="s">
        <v>79</v>
      </c>
      <c r="C35" s="12">
        <v>9</v>
      </c>
      <c r="D35" s="8">
        <v>2.94</v>
      </c>
      <c r="E35" s="12">
        <v>1</v>
      </c>
      <c r="F35" s="8">
        <v>0.66</v>
      </c>
      <c r="G35" s="12">
        <v>8</v>
      </c>
      <c r="H35" s="8">
        <v>5.41</v>
      </c>
      <c r="I35" s="12">
        <v>0</v>
      </c>
    </row>
    <row r="36" spans="2:9" ht="15" customHeight="1" x14ac:dyDescent="0.2">
      <c r="B36" t="s">
        <v>85</v>
      </c>
      <c r="C36" s="12">
        <v>8</v>
      </c>
      <c r="D36" s="8">
        <v>2.61</v>
      </c>
      <c r="E36" s="12">
        <v>5</v>
      </c>
      <c r="F36" s="8">
        <v>3.29</v>
      </c>
      <c r="G36" s="12">
        <v>1</v>
      </c>
      <c r="H36" s="8">
        <v>0.68</v>
      </c>
      <c r="I36" s="12">
        <v>0</v>
      </c>
    </row>
    <row r="37" spans="2:9" ht="15" customHeight="1" x14ac:dyDescent="0.2">
      <c r="B37" t="s">
        <v>87</v>
      </c>
      <c r="C37" s="12">
        <v>8</v>
      </c>
      <c r="D37" s="8">
        <v>2.61</v>
      </c>
      <c r="E37" s="12">
        <v>8</v>
      </c>
      <c r="F37" s="8">
        <v>5.26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72</v>
      </c>
      <c r="C38" s="12">
        <v>7</v>
      </c>
      <c r="D38" s="8">
        <v>2.29</v>
      </c>
      <c r="E38" s="12">
        <v>2</v>
      </c>
      <c r="F38" s="8">
        <v>1.32</v>
      </c>
      <c r="G38" s="12">
        <v>5</v>
      </c>
      <c r="H38" s="8">
        <v>3.38</v>
      </c>
      <c r="I38" s="12">
        <v>0</v>
      </c>
    </row>
    <row r="39" spans="2:9" ht="15" customHeight="1" x14ac:dyDescent="0.2">
      <c r="B39" t="s">
        <v>96</v>
      </c>
      <c r="C39" s="12">
        <v>7</v>
      </c>
      <c r="D39" s="8">
        <v>2.29</v>
      </c>
      <c r="E39" s="12">
        <v>0</v>
      </c>
      <c r="F39" s="8">
        <v>0</v>
      </c>
      <c r="G39" s="12">
        <v>5</v>
      </c>
      <c r="H39" s="8">
        <v>3.38</v>
      </c>
      <c r="I39" s="12">
        <v>0</v>
      </c>
    </row>
    <row r="40" spans="2:9" ht="15" customHeight="1" x14ac:dyDescent="0.2">
      <c r="B40" t="s">
        <v>113</v>
      </c>
      <c r="C40" s="12">
        <v>5</v>
      </c>
      <c r="D40" s="8">
        <v>1.63</v>
      </c>
      <c r="E40" s="12">
        <v>3</v>
      </c>
      <c r="F40" s="8">
        <v>1.97</v>
      </c>
      <c r="G40" s="12">
        <v>2</v>
      </c>
      <c r="H40" s="8">
        <v>1.35</v>
      </c>
      <c r="I40" s="12">
        <v>0</v>
      </c>
    </row>
    <row r="41" spans="2:9" ht="15" customHeight="1" x14ac:dyDescent="0.2">
      <c r="B41" t="s">
        <v>105</v>
      </c>
      <c r="C41" s="12">
        <v>5</v>
      </c>
      <c r="D41" s="8">
        <v>1.63</v>
      </c>
      <c r="E41" s="12">
        <v>1</v>
      </c>
      <c r="F41" s="8">
        <v>0.66</v>
      </c>
      <c r="G41" s="12">
        <v>4</v>
      </c>
      <c r="H41" s="8">
        <v>2.7</v>
      </c>
      <c r="I41" s="12">
        <v>0</v>
      </c>
    </row>
    <row r="42" spans="2:9" ht="15" customHeight="1" x14ac:dyDescent="0.2">
      <c r="B42" t="s">
        <v>97</v>
      </c>
      <c r="C42" s="12">
        <v>4</v>
      </c>
      <c r="D42" s="8">
        <v>1.31</v>
      </c>
      <c r="E42" s="12">
        <v>2</v>
      </c>
      <c r="F42" s="8">
        <v>1.32</v>
      </c>
      <c r="G42" s="12">
        <v>2</v>
      </c>
      <c r="H42" s="8">
        <v>1.35</v>
      </c>
      <c r="I42" s="12">
        <v>0</v>
      </c>
    </row>
    <row r="43" spans="2:9" ht="15" customHeight="1" x14ac:dyDescent="0.2">
      <c r="B43" t="s">
        <v>78</v>
      </c>
      <c r="C43" s="12">
        <v>4</v>
      </c>
      <c r="D43" s="8">
        <v>1.31</v>
      </c>
      <c r="E43" s="12">
        <v>0</v>
      </c>
      <c r="F43" s="8">
        <v>0</v>
      </c>
      <c r="G43" s="12">
        <v>4</v>
      </c>
      <c r="H43" s="8">
        <v>2.7</v>
      </c>
      <c r="I43" s="12">
        <v>0</v>
      </c>
    </row>
    <row r="44" spans="2:9" ht="15" customHeight="1" x14ac:dyDescent="0.2">
      <c r="B44" t="s">
        <v>100</v>
      </c>
      <c r="C44" s="12">
        <v>4</v>
      </c>
      <c r="D44" s="8">
        <v>1.31</v>
      </c>
      <c r="E44" s="12">
        <v>2</v>
      </c>
      <c r="F44" s="8">
        <v>1.32</v>
      </c>
      <c r="G44" s="12">
        <v>1</v>
      </c>
      <c r="H44" s="8">
        <v>0.68</v>
      </c>
      <c r="I44" s="12">
        <v>1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132</v>
      </c>
      <c r="C48" s="12">
        <v>12</v>
      </c>
      <c r="D48" s="8">
        <v>3.92</v>
      </c>
      <c r="E48" s="12">
        <v>12</v>
      </c>
      <c r="F48" s="8">
        <v>7.89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123</v>
      </c>
      <c r="C49" s="12">
        <v>11</v>
      </c>
      <c r="D49" s="8">
        <v>3.59</v>
      </c>
      <c r="E49" s="12">
        <v>9</v>
      </c>
      <c r="F49" s="8">
        <v>5.92</v>
      </c>
      <c r="G49" s="12">
        <v>2</v>
      </c>
      <c r="H49" s="8">
        <v>1.35</v>
      </c>
      <c r="I49" s="12">
        <v>0</v>
      </c>
    </row>
    <row r="50" spans="2:9" ht="15" customHeight="1" x14ac:dyDescent="0.2">
      <c r="B50" t="s">
        <v>124</v>
      </c>
      <c r="C50" s="12">
        <v>11</v>
      </c>
      <c r="D50" s="8">
        <v>3.59</v>
      </c>
      <c r="E50" s="12">
        <v>7</v>
      </c>
      <c r="F50" s="8">
        <v>4.6100000000000003</v>
      </c>
      <c r="G50" s="12">
        <v>4</v>
      </c>
      <c r="H50" s="8">
        <v>2.7</v>
      </c>
      <c r="I50" s="12">
        <v>0</v>
      </c>
    </row>
    <row r="51" spans="2:9" ht="15" customHeight="1" x14ac:dyDescent="0.2">
      <c r="B51" t="s">
        <v>118</v>
      </c>
      <c r="C51" s="12">
        <v>10</v>
      </c>
      <c r="D51" s="8">
        <v>3.27</v>
      </c>
      <c r="E51" s="12">
        <v>0</v>
      </c>
      <c r="F51" s="8">
        <v>0</v>
      </c>
      <c r="G51" s="12">
        <v>10</v>
      </c>
      <c r="H51" s="8">
        <v>6.76</v>
      </c>
      <c r="I51" s="12">
        <v>0</v>
      </c>
    </row>
    <row r="52" spans="2:9" ht="15" customHeight="1" x14ac:dyDescent="0.2">
      <c r="B52" t="s">
        <v>120</v>
      </c>
      <c r="C52" s="12">
        <v>9</v>
      </c>
      <c r="D52" s="8">
        <v>2.94</v>
      </c>
      <c r="E52" s="12">
        <v>6</v>
      </c>
      <c r="F52" s="8">
        <v>3.95</v>
      </c>
      <c r="G52" s="12">
        <v>3</v>
      </c>
      <c r="H52" s="8">
        <v>2.0299999999999998</v>
      </c>
      <c r="I52" s="12">
        <v>0</v>
      </c>
    </row>
    <row r="53" spans="2:9" ht="15" customHeight="1" x14ac:dyDescent="0.2">
      <c r="B53" t="s">
        <v>131</v>
      </c>
      <c r="C53" s="12">
        <v>9</v>
      </c>
      <c r="D53" s="8">
        <v>2.94</v>
      </c>
      <c r="E53" s="12">
        <v>7</v>
      </c>
      <c r="F53" s="8">
        <v>4.6100000000000003</v>
      </c>
      <c r="G53" s="12">
        <v>2</v>
      </c>
      <c r="H53" s="8">
        <v>1.35</v>
      </c>
      <c r="I53" s="12">
        <v>0</v>
      </c>
    </row>
    <row r="54" spans="2:9" ht="15" customHeight="1" x14ac:dyDescent="0.2">
      <c r="B54" t="s">
        <v>121</v>
      </c>
      <c r="C54" s="12">
        <v>8</v>
      </c>
      <c r="D54" s="8">
        <v>2.61</v>
      </c>
      <c r="E54" s="12">
        <v>2</v>
      </c>
      <c r="F54" s="8">
        <v>1.32</v>
      </c>
      <c r="G54" s="12">
        <v>6</v>
      </c>
      <c r="H54" s="8">
        <v>4.05</v>
      </c>
      <c r="I54" s="12">
        <v>0</v>
      </c>
    </row>
    <row r="55" spans="2:9" ht="15" customHeight="1" x14ac:dyDescent="0.2">
      <c r="B55" t="s">
        <v>133</v>
      </c>
      <c r="C55" s="12">
        <v>8</v>
      </c>
      <c r="D55" s="8">
        <v>2.61</v>
      </c>
      <c r="E55" s="12">
        <v>8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134</v>
      </c>
      <c r="C56" s="12">
        <v>8</v>
      </c>
      <c r="D56" s="8">
        <v>2.61</v>
      </c>
      <c r="E56" s="12">
        <v>8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137</v>
      </c>
      <c r="C57" s="12">
        <v>8</v>
      </c>
      <c r="D57" s="8">
        <v>2.61</v>
      </c>
      <c r="E57" s="12">
        <v>8</v>
      </c>
      <c r="F57" s="8">
        <v>5.26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187</v>
      </c>
      <c r="C58" s="12">
        <v>8</v>
      </c>
      <c r="D58" s="8">
        <v>2.61</v>
      </c>
      <c r="E58" s="12">
        <v>0</v>
      </c>
      <c r="F58" s="8">
        <v>0</v>
      </c>
      <c r="G58" s="12">
        <v>8</v>
      </c>
      <c r="H58" s="8">
        <v>5.41</v>
      </c>
      <c r="I58" s="12">
        <v>0</v>
      </c>
    </row>
    <row r="59" spans="2:9" ht="15" customHeight="1" x14ac:dyDescent="0.2">
      <c r="B59" t="s">
        <v>122</v>
      </c>
      <c r="C59" s="12">
        <v>6</v>
      </c>
      <c r="D59" s="8">
        <v>1.96</v>
      </c>
      <c r="E59" s="12">
        <v>2</v>
      </c>
      <c r="F59" s="8">
        <v>1.32</v>
      </c>
      <c r="G59" s="12">
        <v>4</v>
      </c>
      <c r="H59" s="8">
        <v>2.7</v>
      </c>
      <c r="I59" s="12">
        <v>0</v>
      </c>
    </row>
    <row r="60" spans="2:9" ht="15" customHeight="1" x14ac:dyDescent="0.2">
      <c r="B60" t="s">
        <v>174</v>
      </c>
      <c r="C60" s="12">
        <v>6</v>
      </c>
      <c r="D60" s="8">
        <v>1.96</v>
      </c>
      <c r="E60" s="12">
        <v>2</v>
      </c>
      <c r="F60" s="8">
        <v>1.32</v>
      </c>
      <c r="G60" s="12">
        <v>4</v>
      </c>
      <c r="H60" s="8">
        <v>2.7</v>
      </c>
      <c r="I60" s="12">
        <v>0</v>
      </c>
    </row>
    <row r="61" spans="2:9" ht="15" customHeight="1" x14ac:dyDescent="0.2">
      <c r="B61" t="s">
        <v>129</v>
      </c>
      <c r="C61" s="12">
        <v>6</v>
      </c>
      <c r="D61" s="8">
        <v>1.96</v>
      </c>
      <c r="E61" s="12">
        <v>1</v>
      </c>
      <c r="F61" s="8">
        <v>0.66</v>
      </c>
      <c r="G61" s="12">
        <v>5</v>
      </c>
      <c r="H61" s="8">
        <v>3.38</v>
      </c>
      <c r="I61" s="12">
        <v>0</v>
      </c>
    </row>
    <row r="62" spans="2:9" ht="15" customHeight="1" x14ac:dyDescent="0.2">
      <c r="B62" t="s">
        <v>138</v>
      </c>
      <c r="C62" s="12">
        <v>6</v>
      </c>
      <c r="D62" s="8">
        <v>1.96</v>
      </c>
      <c r="E62" s="12">
        <v>6</v>
      </c>
      <c r="F62" s="8">
        <v>3.95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183</v>
      </c>
      <c r="C63" s="12">
        <v>5</v>
      </c>
      <c r="D63" s="8">
        <v>1.63</v>
      </c>
      <c r="E63" s="12">
        <v>3</v>
      </c>
      <c r="F63" s="8">
        <v>1.97</v>
      </c>
      <c r="G63" s="12">
        <v>2</v>
      </c>
      <c r="H63" s="8">
        <v>1.35</v>
      </c>
      <c r="I63" s="12">
        <v>0</v>
      </c>
    </row>
    <row r="64" spans="2:9" ht="15" customHeight="1" x14ac:dyDescent="0.2">
      <c r="B64" t="s">
        <v>126</v>
      </c>
      <c r="C64" s="12">
        <v>5</v>
      </c>
      <c r="D64" s="8">
        <v>1.63</v>
      </c>
      <c r="E64" s="12">
        <v>4</v>
      </c>
      <c r="F64" s="8">
        <v>2.63</v>
      </c>
      <c r="G64" s="12">
        <v>1</v>
      </c>
      <c r="H64" s="8">
        <v>0.68</v>
      </c>
      <c r="I64" s="12">
        <v>0</v>
      </c>
    </row>
    <row r="65" spans="2:9" ht="15" customHeight="1" x14ac:dyDescent="0.2">
      <c r="B65" t="s">
        <v>184</v>
      </c>
      <c r="C65" s="12">
        <v>5</v>
      </c>
      <c r="D65" s="8">
        <v>1.63</v>
      </c>
      <c r="E65" s="12">
        <v>1</v>
      </c>
      <c r="F65" s="8">
        <v>0.66</v>
      </c>
      <c r="G65" s="12">
        <v>4</v>
      </c>
      <c r="H65" s="8">
        <v>2.7</v>
      </c>
      <c r="I65" s="12">
        <v>0</v>
      </c>
    </row>
    <row r="66" spans="2:9" ht="15" customHeight="1" x14ac:dyDescent="0.2">
      <c r="B66" t="s">
        <v>136</v>
      </c>
      <c r="C66" s="12">
        <v>5</v>
      </c>
      <c r="D66" s="8">
        <v>1.63</v>
      </c>
      <c r="E66" s="12">
        <v>3</v>
      </c>
      <c r="F66" s="8">
        <v>1.97</v>
      </c>
      <c r="G66" s="12">
        <v>2</v>
      </c>
      <c r="H66" s="8">
        <v>1.35</v>
      </c>
      <c r="I66" s="12">
        <v>0</v>
      </c>
    </row>
    <row r="67" spans="2:9" ht="15" customHeight="1" x14ac:dyDescent="0.2">
      <c r="B67" t="s">
        <v>119</v>
      </c>
      <c r="C67" s="12">
        <v>4</v>
      </c>
      <c r="D67" s="8">
        <v>1.31</v>
      </c>
      <c r="E67" s="12">
        <v>1</v>
      </c>
      <c r="F67" s="8">
        <v>0.66</v>
      </c>
      <c r="G67" s="12">
        <v>3</v>
      </c>
      <c r="H67" s="8">
        <v>2.0299999999999998</v>
      </c>
      <c r="I67" s="12">
        <v>0</v>
      </c>
    </row>
    <row r="68" spans="2:9" ht="15" customHeight="1" x14ac:dyDescent="0.2">
      <c r="B68" t="s">
        <v>151</v>
      </c>
      <c r="C68" s="12">
        <v>4</v>
      </c>
      <c r="D68" s="8">
        <v>1.31</v>
      </c>
      <c r="E68" s="12">
        <v>1</v>
      </c>
      <c r="F68" s="8">
        <v>0.66</v>
      </c>
      <c r="G68" s="12">
        <v>3</v>
      </c>
      <c r="H68" s="8">
        <v>2.0299999999999998</v>
      </c>
      <c r="I68" s="12">
        <v>0</v>
      </c>
    </row>
    <row r="69" spans="2:9" ht="15" customHeight="1" x14ac:dyDescent="0.2">
      <c r="B69" t="s">
        <v>157</v>
      </c>
      <c r="C69" s="12">
        <v>4</v>
      </c>
      <c r="D69" s="8">
        <v>1.31</v>
      </c>
      <c r="E69" s="12">
        <v>3</v>
      </c>
      <c r="F69" s="8">
        <v>1.97</v>
      </c>
      <c r="G69" s="12">
        <v>1</v>
      </c>
      <c r="H69" s="8">
        <v>0.68</v>
      </c>
      <c r="I69" s="12">
        <v>0</v>
      </c>
    </row>
    <row r="70" spans="2:9" ht="15" customHeight="1" x14ac:dyDescent="0.2">
      <c r="B70" t="s">
        <v>125</v>
      </c>
      <c r="C70" s="12">
        <v>4</v>
      </c>
      <c r="D70" s="8">
        <v>1.31</v>
      </c>
      <c r="E70" s="12">
        <v>0</v>
      </c>
      <c r="F70" s="8">
        <v>0</v>
      </c>
      <c r="G70" s="12">
        <v>4</v>
      </c>
      <c r="H70" s="8">
        <v>2.7</v>
      </c>
      <c r="I70" s="12">
        <v>0</v>
      </c>
    </row>
    <row r="71" spans="2:9" ht="15" customHeight="1" x14ac:dyDescent="0.2">
      <c r="B71" t="s">
        <v>127</v>
      </c>
      <c r="C71" s="12">
        <v>4</v>
      </c>
      <c r="D71" s="8">
        <v>1.31</v>
      </c>
      <c r="E71" s="12">
        <v>2</v>
      </c>
      <c r="F71" s="8">
        <v>1.32</v>
      </c>
      <c r="G71" s="12">
        <v>2</v>
      </c>
      <c r="H71" s="8">
        <v>1.35</v>
      </c>
      <c r="I71" s="12">
        <v>0</v>
      </c>
    </row>
    <row r="72" spans="2:9" ht="15" customHeight="1" x14ac:dyDescent="0.2">
      <c r="B72" t="s">
        <v>152</v>
      </c>
      <c r="C72" s="12">
        <v>4</v>
      </c>
      <c r="D72" s="8">
        <v>1.31</v>
      </c>
      <c r="E72" s="12">
        <v>2</v>
      </c>
      <c r="F72" s="8">
        <v>1.32</v>
      </c>
      <c r="G72" s="12">
        <v>2</v>
      </c>
      <c r="H72" s="8">
        <v>1.35</v>
      </c>
      <c r="I72" s="12">
        <v>0</v>
      </c>
    </row>
    <row r="73" spans="2:9" ht="15" customHeight="1" x14ac:dyDescent="0.2">
      <c r="B73" t="s">
        <v>171</v>
      </c>
      <c r="C73" s="12">
        <v>4</v>
      </c>
      <c r="D73" s="8">
        <v>1.31</v>
      </c>
      <c r="E73" s="12">
        <v>0</v>
      </c>
      <c r="F73" s="8">
        <v>0</v>
      </c>
      <c r="G73" s="12">
        <v>4</v>
      </c>
      <c r="H73" s="8">
        <v>2.7</v>
      </c>
      <c r="I73" s="12">
        <v>0</v>
      </c>
    </row>
    <row r="74" spans="2:9" ht="15" customHeight="1" x14ac:dyDescent="0.2">
      <c r="B74" t="s">
        <v>185</v>
      </c>
      <c r="C74" s="12">
        <v>4</v>
      </c>
      <c r="D74" s="8">
        <v>1.31</v>
      </c>
      <c r="E74" s="12">
        <v>0</v>
      </c>
      <c r="F74" s="8">
        <v>0</v>
      </c>
      <c r="G74" s="12">
        <v>3</v>
      </c>
      <c r="H74" s="8">
        <v>2.0299999999999998</v>
      </c>
      <c r="I74" s="12">
        <v>0</v>
      </c>
    </row>
    <row r="75" spans="2:9" ht="15" customHeight="1" x14ac:dyDescent="0.2">
      <c r="B75" t="s">
        <v>186</v>
      </c>
      <c r="C75" s="12">
        <v>4</v>
      </c>
      <c r="D75" s="8">
        <v>1.31</v>
      </c>
      <c r="E75" s="12">
        <v>0</v>
      </c>
      <c r="F75" s="8">
        <v>0</v>
      </c>
      <c r="G75" s="12">
        <v>4</v>
      </c>
      <c r="H75" s="8">
        <v>2.7</v>
      </c>
      <c r="I75" s="12">
        <v>0</v>
      </c>
    </row>
    <row r="77" spans="2:9" ht="15" customHeight="1" x14ac:dyDescent="0.2">
      <c r="B77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D24E-FBBA-407A-A031-79DC720E05A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144</v>
      </c>
      <c r="D6" s="8">
        <v>18.07</v>
      </c>
      <c r="E6" s="12">
        <v>54</v>
      </c>
      <c r="F6" s="8">
        <v>13.92</v>
      </c>
      <c r="G6" s="12">
        <v>90</v>
      </c>
      <c r="H6" s="8">
        <v>22.44</v>
      </c>
      <c r="I6" s="12">
        <v>0</v>
      </c>
    </row>
    <row r="7" spans="2:9" ht="15" customHeight="1" x14ac:dyDescent="0.2">
      <c r="B7" t="s">
        <v>47</v>
      </c>
      <c r="C7" s="12">
        <v>56</v>
      </c>
      <c r="D7" s="8">
        <v>7.03</v>
      </c>
      <c r="E7" s="12">
        <v>10</v>
      </c>
      <c r="F7" s="8">
        <v>2.58</v>
      </c>
      <c r="G7" s="12">
        <v>46</v>
      </c>
      <c r="H7" s="8">
        <v>11.47</v>
      </c>
      <c r="I7" s="12">
        <v>0</v>
      </c>
    </row>
    <row r="8" spans="2:9" ht="15" customHeight="1" x14ac:dyDescent="0.2">
      <c r="B8" t="s">
        <v>48</v>
      </c>
      <c r="C8" s="12">
        <v>3</v>
      </c>
      <c r="D8" s="8">
        <v>0.38</v>
      </c>
      <c r="E8" s="12">
        <v>0</v>
      </c>
      <c r="F8" s="8">
        <v>0</v>
      </c>
      <c r="G8" s="12">
        <v>3</v>
      </c>
      <c r="H8" s="8">
        <v>0.75</v>
      </c>
      <c r="I8" s="12">
        <v>0</v>
      </c>
    </row>
    <row r="9" spans="2:9" ht="15" customHeight="1" x14ac:dyDescent="0.2">
      <c r="B9" t="s">
        <v>49</v>
      </c>
      <c r="C9" s="12">
        <v>8</v>
      </c>
      <c r="D9" s="8">
        <v>1</v>
      </c>
      <c r="E9" s="12">
        <v>0</v>
      </c>
      <c r="F9" s="8">
        <v>0</v>
      </c>
      <c r="G9" s="12">
        <v>8</v>
      </c>
      <c r="H9" s="8">
        <v>2</v>
      </c>
      <c r="I9" s="12">
        <v>0</v>
      </c>
    </row>
    <row r="10" spans="2:9" ht="15" customHeight="1" x14ac:dyDescent="0.2">
      <c r="B10" t="s">
        <v>50</v>
      </c>
      <c r="C10" s="12">
        <v>9</v>
      </c>
      <c r="D10" s="8">
        <v>1.1299999999999999</v>
      </c>
      <c r="E10" s="12">
        <v>1</v>
      </c>
      <c r="F10" s="8">
        <v>0.26</v>
      </c>
      <c r="G10" s="12">
        <v>7</v>
      </c>
      <c r="H10" s="8">
        <v>1.75</v>
      </c>
      <c r="I10" s="12">
        <v>0</v>
      </c>
    </row>
    <row r="11" spans="2:9" ht="15" customHeight="1" x14ac:dyDescent="0.2">
      <c r="B11" t="s">
        <v>51</v>
      </c>
      <c r="C11" s="12">
        <v>171</v>
      </c>
      <c r="D11" s="8">
        <v>21.46</v>
      </c>
      <c r="E11" s="12">
        <v>60</v>
      </c>
      <c r="F11" s="8">
        <v>15.46</v>
      </c>
      <c r="G11" s="12">
        <v>111</v>
      </c>
      <c r="H11" s="8">
        <v>27.68</v>
      </c>
      <c r="I11" s="12">
        <v>0</v>
      </c>
    </row>
    <row r="12" spans="2:9" ht="15" customHeight="1" x14ac:dyDescent="0.2">
      <c r="B12" t="s">
        <v>52</v>
      </c>
      <c r="C12" s="12">
        <v>2</v>
      </c>
      <c r="D12" s="8">
        <v>0.25</v>
      </c>
      <c r="E12" s="12">
        <v>0</v>
      </c>
      <c r="F12" s="8">
        <v>0</v>
      </c>
      <c r="G12" s="12">
        <v>2</v>
      </c>
      <c r="H12" s="8">
        <v>0.5</v>
      </c>
      <c r="I12" s="12">
        <v>0</v>
      </c>
    </row>
    <row r="13" spans="2:9" ht="15" customHeight="1" x14ac:dyDescent="0.2">
      <c r="B13" t="s">
        <v>53</v>
      </c>
      <c r="C13" s="12">
        <v>41</v>
      </c>
      <c r="D13" s="8">
        <v>5.14</v>
      </c>
      <c r="E13" s="12">
        <v>9</v>
      </c>
      <c r="F13" s="8">
        <v>2.3199999999999998</v>
      </c>
      <c r="G13" s="12">
        <v>31</v>
      </c>
      <c r="H13" s="8">
        <v>7.73</v>
      </c>
      <c r="I13" s="12">
        <v>0</v>
      </c>
    </row>
    <row r="14" spans="2:9" ht="15" customHeight="1" x14ac:dyDescent="0.2">
      <c r="B14" t="s">
        <v>54</v>
      </c>
      <c r="C14" s="12">
        <v>29</v>
      </c>
      <c r="D14" s="8">
        <v>3.64</v>
      </c>
      <c r="E14" s="12">
        <v>8</v>
      </c>
      <c r="F14" s="8">
        <v>2.06</v>
      </c>
      <c r="G14" s="12">
        <v>21</v>
      </c>
      <c r="H14" s="8">
        <v>5.24</v>
      </c>
      <c r="I14" s="12">
        <v>0</v>
      </c>
    </row>
    <row r="15" spans="2:9" ht="15" customHeight="1" x14ac:dyDescent="0.2">
      <c r="B15" t="s">
        <v>55</v>
      </c>
      <c r="C15" s="12">
        <v>86</v>
      </c>
      <c r="D15" s="8">
        <v>10.79</v>
      </c>
      <c r="E15" s="12">
        <v>71</v>
      </c>
      <c r="F15" s="8">
        <v>18.3</v>
      </c>
      <c r="G15" s="12">
        <v>15</v>
      </c>
      <c r="H15" s="8">
        <v>3.74</v>
      </c>
      <c r="I15" s="12">
        <v>0</v>
      </c>
    </row>
    <row r="16" spans="2:9" ht="15" customHeight="1" x14ac:dyDescent="0.2">
      <c r="B16" t="s">
        <v>56</v>
      </c>
      <c r="C16" s="12">
        <v>121</v>
      </c>
      <c r="D16" s="8">
        <v>15.18</v>
      </c>
      <c r="E16" s="12">
        <v>99</v>
      </c>
      <c r="F16" s="8">
        <v>25.52</v>
      </c>
      <c r="G16" s="12">
        <v>22</v>
      </c>
      <c r="H16" s="8">
        <v>5.49</v>
      </c>
      <c r="I16" s="12">
        <v>0</v>
      </c>
    </row>
    <row r="17" spans="2:9" ht="15" customHeight="1" x14ac:dyDescent="0.2">
      <c r="B17" t="s">
        <v>57</v>
      </c>
      <c r="C17" s="12">
        <v>23</v>
      </c>
      <c r="D17" s="8">
        <v>2.89</v>
      </c>
      <c r="E17" s="12">
        <v>18</v>
      </c>
      <c r="F17" s="8">
        <v>4.6399999999999997</v>
      </c>
      <c r="G17" s="12">
        <v>4</v>
      </c>
      <c r="H17" s="8">
        <v>1</v>
      </c>
      <c r="I17" s="12">
        <v>0</v>
      </c>
    </row>
    <row r="18" spans="2:9" ht="15" customHeight="1" x14ac:dyDescent="0.2">
      <c r="B18" t="s">
        <v>58</v>
      </c>
      <c r="C18" s="12">
        <v>45</v>
      </c>
      <c r="D18" s="8">
        <v>5.65</v>
      </c>
      <c r="E18" s="12">
        <v>32</v>
      </c>
      <c r="F18" s="8">
        <v>8.25</v>
      </c>
      <c r="G18" s="12">
        <v>9</v>
      </c>
      <c r="H18" s="8">
        <v>2.2400000000000002</v>
      </c>
      <c r="I18" s="12">
        <v>0</v>
      </c>
    </row>
    <row r="19" spans="2:9" ht="15" customHeight="1" x14ac:dyDescent="0.2">
      <c r="B19" t="s">
        <v>59</v>
      </c>
      <c r="C19" s="12">
        <v>59</v>
      </c>
      <c r="D19" s="8">
        <v>7.4</v>
      </c>
      <c r="E19" s="12">
        <v>26</v>
      </c>
      <c r="F19" s="8">
        <v>6.7</v>
      </c>
      <c r="G19" s="12">
        <v>32</v>
      </c>
      <c r="H19" s="8">
        <v>7.98</v>
      </c>
      <c r="I19" s="12">
        <v>0</v>
      </c>
    </row>
    <row r="20" spans="2:9" ht="15" customHeight="1" x14ac:dyDescent="0.2">
      <c r="B20" s="9" t="s">
        <v>195</v>
      </c>
      <c r="C20" s="12">
        <f>SUM(LTBL_08443[総数／事業所数])</f>
        <v>797</v>
      </c>
      <c r="E20" s="12">
        <f>SUBTOTAL(109,LTBL_08443[個人／事業所数])</f>
        <v>388</v>
      </c>
      <c r="G20" s="12">
        <f>SUBTOTAL(109,LTBL_08443[法人／事業所数])</f>
        <v>401</v>
      </c>
      <c r="I20" s="12">
        <f>SUBTOTAL(109,LTBL_08443[法人以外の団体／事業所数])</f>
        <v>0</v>
      </c>
    </row>
    <row r="21" spans="2:9" ht="15" customHeight="1" x14ac:dyDescent="0.2">
      <c r="E21" s="11">
        <f>LTBL_08443[[#Totals],[個人／事業所数]]/LTBL_08443[[#Totals],[総数／事業所数]]</f>
        <v>0.48682559598494352</v>
      </c>
      <c r="G21" s="11">
        <f>LTBL_08443[[#Totals],[法人／事業所数]]/LTBL_08443[[#Totals],[総数／事業所数]]</f>
        <v>0.50313676286072773</v>
      </c>
      <c r="I21" s="11">
        <f>LTBL_08443[[#Totals],[法人以外の団体／事業所数]]/LTBL_08443[[#Totals],[総数／事業所数]]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104</v>
      </c>
      <c r="D24" s="8">
        <v>13.05</v>
      </c>
      <c r="E24" s="12">
        <v>93</v>
      </c>
      <c r="F24" s="8">
        <v>23.97</v>
      </c>
      <c r="G24" s="12">
        <v>11</v>
      </c>
      <c r="H24" s="8">
        <v>2.74</v>
      </c>
      <c r="I24" s="12">
        <v>0</v>
      </c>
    </row>
    <row r="25" spans="2:9" ht="15" customHeight="1" x14ac:dyDescent="0.2">
      <c r="B25" t="s">
        <v>82</v>
      </c>
      <c r="C25" s="12">
        <v>78</v>
      </c>
      <c r="D25" s="8">
        <v>9.7899999999999991</v>
      </c>
      <c r="E25" s="12">
        <v>65</v>
      </c>
      <c r="F25" s="8">
        <v>16.75</v>
      </c>
      <c r="G25" s="12">
        <v>13</v>
      </c>
      <c r="H25" s="8">
        <v>3.24</v>
      </c>
      <c r="I25" s="12">
        <v>0</v>
      </c>
    </row>
    <row r="26" spans="2:9" ht="15" customHeight="1" x14ac:dyDescent="0.2">
      <c r="B26" t="s">
        <v>69</v>
      </c>
      <c r="C26" s="12">
        <v>56</v>
      </c>
      <c r="D26" s="8">
        <v>7.03</v>
      </c>
      <c r="E26" s="12">
        <v>21</v>
      </c>
      <c r="F26" s="8">
        <v>5.41</v>
      </c>
      <c r="G26" s="12">
        <v>35</v>
      </c>
      <c r="H26" s="8">
        <v>8.73</v>
      </c>
      <c r="I26" s="12">
        <v>0</v>
      </c>
    </row>
    <row r="27" spans="2:9" ht="15" customHeight="1" x14ac:dyDescent="0.2">
      <c r="B27" t="s">
        <v>68</v>
      </c>
      <c r="C27" s="12">
        <v>52</v>
      </c>
      <c r="D27" s="8">
        <v>6.52</v>
      </c>
      <c r="E27" s="12">
        <v>21</v>
      </c>
      <c r="F27" s="8">
        <v>5.41</v>
      </c>
      <c r="G27" s="12">
        <v>31</v>
      </c>
      <c r="H27" s="8">
        <v>7.73</v>
      </c>
      <c r="I27" s="12">
        <v>0</v>
      </c>
    </row>
    <row r="28" spans="2:9" ht="15" customHeight="1" x14ac:dyDescent="0.2">
      <c r="B28" t="s">
        <v>77</v>
      </c>
      <c r="C28" s="12">
        <v>47</v>
      </c>
      <c r="D28" s="8">
        <v>5.9</v>
      </c>
      <c r="E28" s="12">
        <v>15</v>
      </c>
      <c r="F28" s="8">
        <v>3.87</v>
      </c>
      <c r="G28" s="12">
        <v>32</v>
      </c>
      <c r="H28" s="8">
        <v>7.98</v>
      </c>
      <c r="I28" s="12">
        <v>0</v>
      </c>
    </row>
    <row r="29" spans="2:9" ht="15" customHeight="1" x14ac:dyDescent="0.2">
      <c r="B29" t="s">
        <v>86</v>
      </c>
      <c r="C29" s="12">
        <v>37</v>
      </c>
      <c r="D29" s="8">
        <v>4.6399999999999997</v>
      </c>
      <c r="E29" s="12">
        <v>32</v>
      </c>
      <c r="F29" s="8">
        <v>8.25</v>
      </c>
      <c r="G29" s="12">
        <v>5</v>
      </c>
      <c r="H29" s="8">
        <v>1.25</v>
      </c>
      <c r="I29" s="12">
        <v>0</v>
      </c>
    </row>
    <row r="30" spans="2:9" ht="15" customHeight="1" x14ac:dyDescent="0.2">
      <c r="B30" t="s">
        <v>70</v>
      </c>
      <c r="C30" s="12">
        <v>36</v>
      </c>
      <c r="D30" s="8">
        <v>4.5199999999999996</v>
      </c>
      <c r="E30" s="12">
        <v>12</v>
      </c>
      <c r="F30" s="8">
        <v>3.09</v>
      </c>
      <c r="G30" s="12">
        <v>24</v>
      </c>
      <c r="H30" s="8">
        <v>5.99</v>
      </c>
      <c r="I30" s="12">
        <v>0</v>
      </c>
    </row>
    <row r="31" spans="2:9" ht="15" customHeight="1" x14ac:dyDescent="0.2">
      <c r="B31" t="s">
        <v>74</v>
      </c>
      <c r="C31" s="12">
        <v>35</v>
      </c>
      <c r="D31" s="8">
        <v>4.3899999999999997</v>
      </c>
      <c r="E31" s="12">
        <v>6</v>
      </c>
      <c r="F31" s="8">
        <v>1.55</v>
      </c>
      <c r="G31" s="12">
        <v>29</v>
      </c>
      <c r="H31" s="8">
        <v>7.23</v>
      </c>
      <c r="I31" s="12">
        <v>0</v>
      </c>
    </row>
    <row r="32" spans="2:9" ht="15" customHeight="1" x14ac:dyDescent="0.2">
      <c r="B32" t="s">
        <v>87</v>
      </c>
      <c r="C32" s="12">
        <v>34</v>
      </c>
      <c r="D32" s="8">
        <v>4.2699999999999996</v>
      </c>
      <c r="E32" s="12">
        <v>21</v>
      </c>
      <c r="F32" s="8">
        <v>5.41</v>
      </c>
      <c r="G32" s="12">
        <v>13</v>
      </c>
      <c r="H32" s="8">
        <v>3.24</v>
      </c>
      <c r="I32" s="12">
        <v>0</v>
      </c>
    </row>
    <row r="33" spans="2:9" ht="15" customHeight="1" x14ac:dyDescent="0.2">
      <c r="B33" t="s">
        <v>75</v>
      </c>
      <c r="C33" s="12">
        <v>28</v>
      </c>
      <c r="D33" s="8">
        <v>3.51</v>
      </c>
      <c r="E33" s="12">
        <v>19</v>
      </c>
      <c r="F33" s="8">
        <v>4.9000000000000004</v>
      </c>
      <c r="G33" s="12">
        <v>9</v>
      </c>
      <c r="H33" s="8">
        <v>2.2400000000000002</v>
      </c>
      <c r="I33" s="12">
        <v>0</v>
      </c>
    </row>
    <row r="34" spans="2:9" ht="15" customHeight="1" x14ac:dyDescent="0.2">
      <c r="B34" t="s">
        <v>76</v>
      </c>
      <c r="C34" s="12">
        <v>24</v>
      </c>
      <c r="D34" s="8">
        <v>3.01</v>
      </c>
      <c r="E34" s="12">
        <v>13</v>
      </c>
      <c r="F34" s="8">
        <v>3.35</v>
      </c>
      <c r="G34" s="12">
        <v>11</v>
      </c>
      <c r="H34" s="8">
        <v>2.74</v>
      </c>
      <c r="I34" s="12">
        <v>0</v>
      </c>
    </row>
    <row r="35" spans="2:9" ht="15" customHeight="1" x14ac:dyDescent="0.2">
      <c r="B35" t="s">
        <v>79</v>
      </c>
      <c r="C35" s="12">
        <v>24</v>
      </c>
      <c r="D35" s="8">
        <v>3.01</v>
      </c>
      <c r="E35" s="12">
        <v>2</v>
      </c>
      <c r="F35" s="8">
        <v>0.52</v>
      </c>
      <c r="G35" s="12">
        <v>21</v>
      </c>
      <c r="H35" s="8">
        <v>5.24</v>
      </c>
      <c r="I35" s="12">
        <v>0</v>
      </c>
    </row>
    <row r="36" spans="2:9" ht="15" customHeight="1" x14ac:dyDescent="0.2">
      <c r="B36" t="s">
        <v>85</v>
      </c>
      <c r="C36" s="12">
        <v>23</v>
      </c>
      <c r="D36" s="8">
        <v>2.89</v>
      </c>
      <c r="E36" s="12">
        <v>18</v>
      </c>
      <c r="F36" s="8">
        <v>4.6399999999999997</v>
      </c>
      <c r="G36" s="12">
        <v>4</v>
      </c>
      <c r="H36" s="8">
        <v>1</v>
      </c>
      <c r="I36" s="12">
        <v>0</v>
      </c>
    </row>
    <row r="37" spans="2:9" ht="15" customHeight="1" x14ac:dyDescent="0.2">
      <c r="B37" t="s">
        <v>78</v>
      </c>
      <c r="C37" s="12">
        <v>16</v>
      </c>
      <c r="D37" s="8">
        <v>2.0099999999999998</v>
      </c>
      <c r="E37" s="12">
        <v>7</v>
      </c>
      <c r="F37" s="8">
        <v>1.8</v>
      </c>
      <c r="G37" s="12">
        <v>9</v>
      </c>
      <c r="H37" s="8">
        <v>2.2400000000000002</v>
      </c>
      <c r="I37" s="12">
        <v>0</v>
      </c>
    </row>
    <row r="38" spans="2:9" ht="15" customHeight="1" x14ac:dyDescent="0.2">
      <c r="B38" t="s">
        <v>81</v>
      </c>
      <c r="C38" s="12">
        <v>16</v>
      </c>
      <c r="D38" s="8">
        <v>2.0099999999999998</v>
      </c>
      <c r="E38" s="12">
        <v>2</v>
      </c>
      <c r="F38" s="8">
        <v>0.52</v>
      </c>
      <c r="G38" s="12">
        <v>14</v>
      </c>
      <c r="H38" s="8">
        <v>3.49</v>
      </c>
      <c r="I38" s="12">
        <v>0</v>
      </c>
    </row>
    <row r="39" spans="2:9" ht="15" customHeight="1" x14ac:dyDescent="0.2">
      <c r="B39" t="s">
        <v>89</v>
      </c>
      <c r="C39" s="12">
        <v>15</v>
      </c>
      <c r="D39" s="8">
        <v>1.88</v>
      </c>
      <c r="E39" s="12">
        <v>1</v>
      </c>
      <c r="F39" s="8">
        <v>0.26</v>
      </c>
      <c r="G39" s="12">
        <v>14</v>
      </c>
      <c r="H39" s="8">
        <v>3.49</v>
      </c>
      <c r="I39" s="12">
        <v>0</v>
      </c>
    </row>
    <row r="40" spans="2:9" ht="15" customHeight="1" x14ac:dyDescent="0.2">
      <c r="B40" t="s">
        <v>93</v>
      </c>
      <c r="C40" s="12">
        <v>11</v>
      </c>
      <c r="D40" s="8">
        <v>1.38</v>
      </c>
      <c r="E40" s="12">
        <v>3</v>
      </c>
      <c r="F40" s="8">
        <v>0.77</v>
      </c>
      <c r="G40" s="12">
        <v>8</v>
      </c>
      <c r="H40" s="8">
        <v>2</v>
      </c>
      <c r="I40" s="12">
        <v>0</v>
      </c>
    </row>
    <row r="41" spans="2:9" ht="15" customHeight="1" x14ac:dyDescent="0.2">
      <c r="B41" t="s">
        <v>80</v>
      </c>
      <c r="C41" s="12">
        <v>11</v>
      </c>
      <c r="D41" s="8">
        <v>1.38</v>
      </c>
      <c r="E41" s="12">
        <v>6</v>
      </c>
      <c r="F41" s="8">
        <v>1.55</v>
      </c>
      <c r="G41" s="12">
        <v>5</v>
      </c>
      <c r="H41" s="8">
        <v>1.25</v>
      </c>
      <c r="I41" s="12">
        <v>0</v>
      </c>
    </row>
    <row r="42" spans="2:9" ht="15" customHeight="1" x14ac:dyDescent="0.2">
      <c r="B42" t="s">
        <v>84</v>
      </c>
      <c r="C42" s="12">
        <v>11</v>
      </c>
      <c r="D42" s="8">
        <v>1.38</v>
      </c>
      <c r="E42" s="12">
        <v>2</v>
      </c>
      <c r="F42" s="8">
        <v>0.52</v>
      </c>
      <c r="G42" s="12">
        <v>9</v>
      </c>
      <c r="H42" s="8">
        <v>2.2400000000000002</v>
      </c>
      <c r="I42" s="12">
        <v>0</v>
      </c>
    </row>
    <row r="43" spans="2:9" ht="15" customHeight="1" x14ac:dyDescent="0.2">
      <c r="B43" t="s">
        <v>71</v>
      </c>
      <c r="C43" s="12">
        <v>10</v>
      </c>
      <c r="D43" s="8">
        <v>1.25</v>
      </c>
      <c r="E43" s="12">
        <v>5</v>
      </c>
      <c r="F43" s="8">
        <v>1.29</v>
      </c>
      <c r="G43" s="12">
        <v>5</v>
      </c>
      <c r="H43" s="8">
        <v>1.25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133</v>
      </c>
      <c r="C47" s="12">
        <v>47</v>
      </c>
      <c r="D47" s="8">
        <v>5.9</v>
      </c>
      <c r="E47" s="12">
        <v>44</v>
      </c>
      <c r="F47" s="8">
        <v>11.34</v>
      </c>
      <c r="G47" s="12">
        <v>3</v>
      </c>
      <c r="H47" s="8">
        <v>0.75</v>
      </c>
      <c r="I47" s="12">
        <v>0</v>
      </c>
    </row>
    <row r="48" spans="2:9" ht="15" customHeight="1" x14ac:dyDescent="0.2">
      <c r="B48" t="s">
        <v>134</v>
      </c>
      <c r="C48" s="12">
        <v>45</v>
      </c>
      <c r="D48" s="8">
        <v>5.65</v>
      </c>
      <c r="E48" s="12">
        <v>43</v>
      </c>
      <c r="F48" s="8">
        <v>11.08</v>
      </c>
      <c r="G48" s="12">
        <v>2</v>
      </c>
      <c r="H48" s="8">
        <v>0.5</v>
      </c>
      <c r="I48" s="12">
        <v>0</v>
      </c>
    </row>
    <row r="49" spans="2:9" ht="15" customHeight="1" x14ac:dyDescent="0.2">
      <c r="B49" t="s">
        <v>137</v>
      </c>
      <c r="C49" s="12">
        <v>34</v>
      </c>
      <c r="D49" s="8">
        <v>4.2699999999999996</v>
      </c>
      <c r="E49" s="12">
        <v>21</v>
      </c>
      <c r="F49" s="8">
        <v>5.41</v>
      </c>
      <c r="G49" s="12">
        <v>13</v>
      </c>
      <c r="H49" s="8">
        <v>3.24</v>
      </c>
      <c r="I49" s="12">
        <v>0</v>
      </c>
    </row>
    <row r="50" spans="2:9" ht="15" customHeight="1" x14ac:dyDescent="0.2">
      <c r="B50" t="s">
        <v>131</v>
      </c>
      <c r="C50" s="12">
        <v>25</v>
      </c>
      <c r="D50" s="8">
        <v>3.14</v>
      </c>
      <c r="E50" s="12">
        <v>20</v>
      </c>
      <c r="F50" s="8">
        <v>5.15</v>
      </c>
      <c r="G50" s="12">
        <v>5</v>
      </c>
      <c r="H50" s="8">
        <v>1.25</v>
      </c>
      <c r="I50" s="12">
        <v>0</v>
      </c>
    </row>
    <row r="51" spans="2:9" ht="15" customHeight="1" x14ac:dyDescent="0.2">
      <c r="B51" t="s">
        <v>132</v>
      </c>
      <c r="C51" s="12">
        <v>24</v>
      </c>
      <c r="D51" s="8">
        <v>3.01</v>
      </c>
      <c r="E51" s="12">
        <v>21</v>
      </c>
      <c r="F51" s="8">
        <v>5.41</v>
      </c>
      <c r="G51" s="12">
        <v>3</v>
      </c>
      <c r="H51" s="8">
        <v>0.75</v>
      </c>
      <c r="I51" s="12">
        <v>0</v>
      </c>
    </row>
    <row r="52" spans="2:9" ht="15" customHeight="1" x14ac:dyDescent="0.2">
      <c r="B52" t="s">
        <v>136</v>
      </c>
      <c r="C52" s="12">
        <v>22</v>
      </c>
      <c r="D52" s="8">
        <v>2.76</v>
      </c>
      <c r="E52" s="12">
        <v>18</v>
      </c>
      <c r="F52" s="8">
        <v>4.6399999999999997</v>
      </c>
      <c r="G52" s="12">
        <v>4</v>
      </c>
      <c r="H52" s="8">
        <v>1</v>
      </c>
      <c r="I52" s="12">
        <v>0</v>
      </c>
    </row>
    <row r="53" spans="2:9" ht="15" customHeight="1" x14ac:dyDescent="0.2">
      <c r="B53" t="s">
        <v>120</v>
      </c>
      <c r="C53" s="12">
        <v>17</v>
      </c>
      <c r="D53" s="8">
        <v>2.13</v>
      </c>
      <c r="E53" s="12">
        <v>12</v>
      </c>
      <c r="F53" s="8">
        <v>3.09</v>
      </c>
      <c r="G53" s="12">
        <v>5</v>
      </c>
      <c r="H53" s="8">
        <v>1.25</v>
      </c>
      <c r="I53" s="12">
        <v>0</v>
      </c>
    </row>
    <row r="54" spans="2:9" ht="15" customHeight="1" x14ac:dyDescent="0.2">
      <c r="B54" t="s">
        <v>121</v>
      </c>
      <c r="C54" s="12">
        <v>17</v>
      </c>
      <c r="D54" s="8">
        <v>2.13</v>
      </c>
      <c r="E54" s="12">
        <v>7</v>
      </c>
      <c r="F54" s="8">
        <v>1.8</v>
      </c>
      <c r="G54" s="12">
        <v>10</v>
      </c>
      <c r="H54" s="8">
        <v>2.4900000000000002</v>
      </c>
      <c r="I54" s="12">
        <v>0</v>
      </c>
    </row>
    <row r="55" spans="2:9" ht="15" customHeight="1" x14ac:dyDescent="0.2">
      <c r="B55" t="s">
        <v>122</v>
      </c>
      <c r="C55" s="12">
        <v>16</v>
      </c>
      <c r="D55" s="8">
        <v>2.0099999999999998</v>
      </c>
      <c r="E55" s="12">
        <v>5</v>
      </c>
      <c r="F55" s="8">
        <v>1.29</v>
      </c>
      <c r="G55" s="12">
        <v>11</v>
      </c>
      <c r="H55" s="8">
        <v>2.74</v>
      </c>
      <c r="I55" s="12">
        <v>0</v>
      </c>
    </row>
    <row r="56" spans="2:9" ht="15" customHeight="1" x14ac:dyDescent="0.2">
      <c r="B56" t="s">
        <v>135</v>
      </c>
      <c r="C56" s="12">
        <v>16</v>
      </c>
      <c r="D56" s="8">
        <v>2.0099999999999998</v>
      </c>
      <c r="E56" s="12">
        <v>14</v>
      </c>
      <c r="F56" s="8">
        <v>3.61</v>
      </c>
      <c r="G56" s="12">
        <v>2</v>
      </c>
      <c r="H56" s="8">
        <v>0.5</v>
      </c>
      <c r="I56" s="12">
        <v>0</v>
      </c>
    </row>
    <row r="57" spans="2:9" ht="15" customHeight="1" x14ac:dyDescent="0.2">
      <c r="B57" t="s">
        <v>118</v>
      </c>
      <c r="C57" s="12">
        <v>15</v>
      </c>
      <c r="D57" s="8">
        <v>1.88</v>
      </c>
      <c r="E57" s="12">
        <v>2</v>
      </c>
      <c r="F57" s="8">
        <v>0.52</v>
      </c>
      <c r="G57" s="12">
        <v>13</v>
      </c>
      <c r="H57" s="8">
        <v>3.24</v>
      </c>
      <c r="I57" s="12">
        <v>0</v>
      </c>
    </row>
    <row r="58" spans="2:9" ht="15" customHeight="1" x14ac:dyDescent="0.2">
      <c r="B58" t="s">
        <v>119</v>
      </c>
      <c r="C58" s="12">
        <v>15</v>
      </c>
      <c r="D58" s="8">
        <v>1.88</v>
      </c>
      <c r="E58" s="12">
        <v>6</v>
      </c>
      <c r="F58" s="8">
        <v>1.55</v>
      </c>
      <c r="G58" s="12">
        <v>9</v>
      </c>
      <c r="H58" s="8">
        <v>2.2400000000000002</v>
      </c>
      <c r="I58" s="12">
        <v>0</v>
      </c>
    </row>
    <row r="59" spans="2:9" ht="15" customHeight="1" x14ac:dyDescent="0.2">
      <c r="B59" t="s">
        <v>124</v>
      </c>
      <c r="C59" s="12">
        <v>15</v>
      </c>
      <c r="D59" s="8">
        <v>1.88</v>
      </c>
      <c r="E59" s="12">
        <v>8</v>
      </c>
      <c r="F59" s="8">
        <v>2.06</v>
      </c>
      <c r="G59" s="12">
        <v>7</v>
      </c>
      <c r="H59" s="8">
        <v>1.75</v>
      </c>
      <c r="I59" s="12">
        <v>0</v>
      </c>
    </row>
    <row r="60" spans="2:9" ht="15" customHeight="1" x14ac:dyDescent="0.2">
      <c r="B60" t="s">
        <v>143</v>
      </c>
      <c r="C60" s="12">
        <v>15</v>
      </c>
      <c r="D60" s="8">
        <v>1.88</v>
      </c>
      <c r="E60" s="12">
        <v>14</v>
      </c>
      <c r="F60" s="8">
        <v>3.61</v>
      </c>
      <c r="G60" s="12">
        <v>1</v>
      </c>
      <c r="H60" s="8">
        <v>0.25</v>
      </c>
      <c r="I60" s="12">
        <v>0</v>
      </c>
    </row>
    <row r="61" spans="2:9" ht="15" customHeight="1" x14ac:dyDescent="0.2">
      <c r="B61" t="s">
        <v>154</v>
      </c>
      <c r="C61" s="12">
        <v>14</v>
      </c>
      <c r="D61" s="8">
        <v>1.76</v>
      </c>
      <c r="E61" s="12">
        <v>3</v>
      </c>
      <c r="F61" s="8">
        <v>0.77</v>
      </c>
      <c r="G61" s="12">
        <v>11</v>
      </c>
      <c r="H61" s="8">
        <v>2.74</v>
      </c>
      <c r="I61" s="12">
        <v>0</v>
      </c>
    </row>
    <row r="62" spans="2:9" ht="15" customHeight="1" x14ac:dyDescent="0.2">
      <c r="B62" t="s">
        <v>127</v>
      </c>
      <c r="C62" s="12">
        <v>13</v>
      </c>
      <c r="D62" s="8">
        <v>1.63</v>
      </c>
      <c r="E62" s="12">
        <v>7</v>
      </c>
      <c r="F62" s="8">
        <v>1.8</v>
      </c>
      <c r="G62" s="12">
        <v>6</v>
      </c>
      <c r="H62" s="8">
        <v>1.5</v>
      </c>
      <c r="I62" s="12">
        <v>0</v>
      </c>
    </row>
    <row r="63" spans="2:9" ht="15" customHeight="1" x14ac:dyDescent="0.2">
      <c r="B63" t="s">
        <v>164</v>
      </c>
      <c r="C63" s="12">
        <v>12</v>
      </c>
      <c r="D63" s="8">
        <v>1.51</v>
      </c>
      <c r="E63" s="12">
        <v>6</v>
      </c>
      <c r="F63" s="8">
        <v>1.55</v>
      </c>
      <c r="G63" s="12">
        <v>6</v>
      </c>
      <c r="H63" s="8">
        <v>1.5</v>
      </c>
      <c r="I63" s="12">
        <v>0</v>
      </c>
    </row>
    <row r="64" spans="2:9" ht="15" customHeight="1" x14ac:dyDescent="0.2">
      <c r="B64" t="s">
        <v>129</v>
      </c>
      <c r="C64" s="12">
        <v>11</v>
      </c>
      <c r="D64" s="8">
        <v>1.38</v>
      </c>
      <c r="E64" s="12">
        <v>2</v>
      </c>
      <c r="F64" s="8">
        <v>0.52</v>
      </c>
      <c r="G64" s="12">
        <v>8</v>
      </c>
      <c r="H64" s="8">
        <v>2</v>
      </c>
      <c r="I64" s="12">
        <v>0</v>
      </c>
    </row>
    <row r="65" spans="2:9" ht="15" customHeight="1" x14ac:dyDescent="0.2">
      <c r="B65" t="s">
        <v>147</v>
      </c>
      <c r="C65" s="12">
        <v>10</v>
      </c>
      <c r="D65" s="8">
        <v>1.25</v>
      </c>
      <c r="E65" s="12">
        <v>5</v>
      </c>
      <c r="F65" s="8">
        <v>1.29</v>
      </c>
      <c r="G65" s="12">
        <v>5</v>
      </c>
      <c r="H65" s="8">
        <v>1.25</v>
      </c>
      <c r="I65" s="12">
        <v>0</v>
      </c>
    </row>
    <row r="66" spans="2:9" ht="15" customHeight="1" x14ac:dyDescent="0.2">
      <c r="B66" t="s">
        <v>139</v>
      </c>
      <c r="C66" s="12">
        <v>10</v>
      </c>
      <c r="D66" s="8">
        <v>1.25</v>
      </c>
      <c r="E66" s="12">
        <v>6</v>
      </c>
      <c r="F66" s="8">
        <v>1.55</v>
      </c>
      <c r="G66" s="12">
        <v>4</v>
      </c>
      <c r="H66" s="8">
        <v>1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3765-51E0-4220-BEFF-E1A0AB30A5AA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55</v>
      </c>
      <c r="D6" s="8">
        <v>26.19</v>
      </c>
      <c r="E6" s="12">
        <v>28</v>
      </c>
      <c r="F6" s="8">
        <v>22.4</v>
      </c>
      <c r="G6" s="12">
        <v>27</v>
      </c>
      <c r="H6" s="8">
        <v>33.75</v>
      </c>
      <c r="I6" s="12">
        <v>0</v>
      </c>
    </row>
    <row r="7" spans="2:9" ht="15" customHeight="1" x14ac:dyDescent="0.2">
      <c r="B7" t="s">
        <v>47</v>
      </c>
      <c r="C7" s="12">
        <v>32</v>
      </c>
      <c r="D7" s="8">
        <v>15.24</v>
      </c>
      <c r="E7" s="12">
        <v>9</v>
      </c>
      <c r="F7" s="8">
        <v>7.2</v>
      </c>
      <c r="G7" s="12">
        <v>23</v>
      </c>
      <c r="H7" s="8">
        <v>28.75</v>
      </c>
      <c r="I7" s="12">
        <v>0</v>
      </c>
    </row>
    <row r="8" spans="2:9" ht="15" customHeight="1" x14ac:dyDescent="0.2">
      <c r="B8" t="s">
        <v>48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49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1.25</v>
      </c>
      <c r="I9" s="12">
        <v>0</v>
      </c>
    </row>
    <row r="10" spans="2:9" ht="15" customHeight="1" x14ac:dyDescent="0.2">
      <c r="B10" t="s">
        <v>50</v>
      </c>
      <c r="C10" s="12">
        <v>3</v>
      </c>
      <c r="D10" s="8">
        <v>1.43</v>
      </c>
      <c r="E10" s="12">
        <v>2</v>
      </c>
      <c r="F10" s="8">
        <v>1.6</v>
      </c>
      <c r="G10" s="12">
        <v>1</v>
      </c>
      <c r="H10" s="8">
        <v>1.25</v>
      </c>
      <c r="I10" s="12">
        <v>0</v>
      </c>
    </row>
    <row r="11" spans="2:9" ht="15" customHeight="1" x14ac:dyDescent="0.2">
      <c r="B11" t="s">
        <v>51</v>
      </c>
      <c r="C11" s="12">
        <v>52</v>
      </c>
      <c r="D11" s="8">
        <v>24.76</v>
      </c>
      <c r="E11" s="12">
        <v>34</v>
      </c>
      <c r="F11" s="8">
        <v>27.2</v>
      </c>
      <c r="G11" s="12">
        <v>18</v>
      </c>
      <c r="H11" s="8">
        <v>22.5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0.48</v>
      </c>
      <c r="E12" s="12">
        <v>0</v>
      </c>
      <c r="F12" s="8">
        <v>0</v>
      </c>
      <c r="G12" s="12">
        <v>1</v>
      </c>
      <c r="H12" s="8">
        <v>1.25</v>
      </c>
      <c r="I12" s="12">
        <v>0</v>
      </c>
    </row>
    <row r="13" spans="2:9" ht="15" customHeight="1" x14ac:dyDescent="0.2">
      <c r="B13" t="s">
        <v>53</v>
      </c>
      <c r="C13" s="12">
        <v>4</v>
      </c>
      <c r="D13" s="8">
        <v>1.9</v>
      </c>
      <c r="E13" s="12">
        <v>1</v>
      </c>
      <c r="F13" s="8">
        <v>0.8</v>
      </c>
      <c r="G13" s="12">
        <v>3</v>
      </c>
      <c r="H13" s="8">
        <v>3.75</v>
      </c>
      <c r="I13" s="12">
        <v>0</v>
      </c>
    </row>
    <row r="14" spans="2:9" ht="15" customHeight="1" x14ac:dyDescent="0.2">
      <c r="B14" t="s">
        <v>54</v>
      </c>
      <c r="C14" s="12">
        <v>4</v>
      </c>
      <c r="D14" s="8">
        <v>1.9</v>
      </c>
      <c r="E14" s="12">
        <v>3</v>
      </c>
      <c r="F14" s="8">
        <v>2.4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55</v>
      </c>
      <c r="C15" s="12">
        <v>11</v>
      </c>
      <c r="D15" s="8">
        <v>5.24</v>
      </c>
      <c r="E15" s="12">
        <v>9</v>
      </c>
      <c r="F15" s="8">
        <v>7.2</v>
      </c>
      <c r="G15" s="12">
        <v>2</v>
      </c>
      <c r="H15" s="8">
        <v>2.5</v>
      </c>
      <c r="I15" s="12">
        <v>0</v>
      </c>
    </row>
    <row r="16" spans="2:9" ht="15" customHeight="1" x14ac:dyDescent="0.2">
      <c r="B16" t="s">
        <v>56</v>
      </c>
      <c r="C16" s="12">
        <v>24</v>
      </c>
      <c r="D16" s="8">
        <v>11.43</v>
      </c>
      <c r="E16" s="12">
        <v>23</v>
      </c>
      <c r="F16" s="8">
        <v>18.399999999999999</v>
      </c>
      <c r="G16" s="12">
        <v>0</v>
      </c>
      <c r="H16" s="8">
        <v>0</v>
      </c>
      <c r="I16" s="12">
        <v>1</v>
      </c>
    </row>
    <row r="17" spans="2:9" ht="15" customHeight="1" x14ac:dyDescent="0.2">
      <c r="B17" t="s">
        <v>57</v>
      </c>
      <c r="C17" s="12">
        <v>2</v>
      </c>
      <c r="D17" s="8">
        <v>0.95</v>
      </c>
      <c r="E17" s="12">
        <v>2</v>
      </c>
      <c r="F17" s="8">
        <v>1.6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58</v>
      </c>
      <c r="C18" s="12">
        <v>7</v>
      </c>
      <c r="D18" s="8">
        <v>3.33</v>
      </c>
      <c r="E18" s="12">
        <v>3</v>
      </c>
      <c r="F18" s="8">
        <v>2.4</v>
      </c>
      <c r="G18" s="12">
        <v>2</v>
      </c>
      <c r="H18" s="8">
        <v>2.5</v>
      </c>
      <c r="I18" s="12">
        <v>0</v>
      </c>
    </row>
    <row r="19" spans="2:9" ht="15" customHeight="1" x14ac:dyDescent="0.2">
      <c r="B19" t="s">
        <v>59</v>
      </c>
      <c r="C19" s="12">
        <v>14</v>
      </c>
      <c r="D19" s="8">
        <v>6.67</v>
      </c>
      <c r="E19" s="12">
        <v>11</v>
      </c>
      <c r="F19" s="8">
        <v>8.8000000000000007</v>
      </c>
      <c r="G19" s="12">
        <v>2</v>
      </c>
      <c r="H19" s="8">
        <v>2.5</v>
      </c>
      <c r="I19" s="12">
        <v>0</v>
      </c>
    </row>
    <row r="20" spans="2:9" ht="15" customHeight="1" x14ac:dyDescent="0.2">
      <c r="B20" s="9" t="s">
        <v>195</v>
      </c>
      <c r="C20" s="12">
        <f>SUM(LTBL_08447[総数／事業所数])</f>
        <v>210</v>
      </c>
      <c r="E20" s="12">
        <f>SUBTOTAL(109,LTBL_08447[個人／事業所数])</f>
        <v>125</v>
      </c>
      <c r="G20" s="12">
        <f>SUBTOTAL(109,LTBL_08447[法人／事業所数])</f>
        <v>80</v>
      </c>
      <c r="I20" s="12">
        <f>SUBTOTAL(109,LTBL_08447[法人以外の団体／事業所数])</f>
        <v>1</v>
      </c>
    </row>
    <row r="21" spans="2:9" ht="15" customHeight="1" x14ac:dyDescent="0.2">
      <c r="E21" s="11">
        <f>LTBL_08447[[#Totals],[個人／事業所数]]/LTBL_08447[[#Totals],[総数／事業所数]]</f>
        <v>0.59523809523809523</v>
      </c>
      <c r="G21" s="11">
        <f>LTBL_08447[[#Totals],[法人／事業所数]]/LTBL_08447[[#Totals],[総数／事業所数]]</f>
        <v>0.38095238095238093</v>
      </c>
      <c r="I21" s="11">
        <f>LTBL_08447[[#Totals],[法人以外の団体／事業所数]]/LTBL_08447[[#Totals],[総数／事業所数]]</f>
        <v>4.7619047619047623E-3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68</v>
      </c>
      <c r="C24" s="12">
        <v>28</v>
      </c>
      <c r="D24" s="8">
        <v>13.33</v>
      </c>
      <c r="E24" s="12">
        <v>9</v>
      </c>
      <c r="F24" s="8">
        <v>7.2</v>
      </c>
      <c r="G24" s="12">
        <v>19</v>
      </c>
      <c r="H24" s="8">
        <v>23.75</v>
      </c>
      <c r="I24" s="12">
        <v>0</v>
      </c>
    </row>
    <row r="25" spans="2:9" ht="15" customHeight="1" x14ac:dyDescent="0.2">
      <c r="B25" t="s">
        <v>83</v>
      </c>
      <c r="C25" s="12">
        <v>21</v>
      </c>
      <c r="D25" s="8">
        <v>10</v>
      </c>
      <c r="E25" s="12">
        <v>21</v>
      </c>
      <c r="F25" s="8">
        <v>16.8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69</v>
      </c>
      <c r="C26" s="12">
        <v>17</v>
      </c>
      <c r="D26" s="8">
        <v>8.1</v>
      </c>
      <c r="E26" s="12">
        <v>12</v>
      </c>
      <c r="F26" s="8">
        <v>9.6</v>
      </c>
      <c r="G26" s="12">
        <v>5</v>
      </c>
      <c r="H26" s="8">
        <v>6.25</v>
      </c>
      <c r="I26" s="12">
        <v>0</v>
      </c>
    </row>
    <row r="27" spans="2:9" ht="15" customHeight="1" x14ac:dyDescent="0.2">
      <c r="B27" t="s">
        <v>76</v>
      </c>
      <c r="C27" s="12">
        <v>14</v>
      </c>
      <c r="D27" s="8">
        <v>6.67</v>
      </c>
      <c r="E27" s="12">
        <v>11</v>
      </c>
      <c r="F27" s="8">
        <v>8.8000000000000007</v>
      </c>
      <c r="G27" s="12">
        <v>3</v>
      </c>
      <c r="H27" s="8">
        <v>3.75</v>
      </c>
      <c r="I27" s="12">
        <v>0</v>
      </c>
    </row>
    <row r="28" spans="2:9" ht="15" customHeight="1" x14ac:dyDescent="0.2">
      <c r="B28" t="s">
        <v>77</v>
      </c>
      <c r="C28" s="12">
        <v>14</v>
      </c>
      <c r="D28" s="8">
        <v>6.67</v>
      </c>
      <c r="E28" s="12">
        <v>8</v>
      </c>
      <c r="F28" s="8">
        <v>6.4</v>
      </c>
      <c r="G28" s="12">
        <v>6</v>
      </c>
      <c r="H28" s="8">
        <v>7.5</v>
      </c>
      <c r="I28" s="12">
        <v>0</v>
      </c>
    </row>
    <row r="29" spans="2:9" ht="15" customHeight="1" x14ac:dyDescent="0.2">
      <c r="B29" t="s">
        <v>87</v>
      </c>
      <c r="C29" s="12">
        <v>12</v>
      </c>
      <c r="D29" s="8">
        <v>5.71</v>
      </c>
      <c r="E29" s="12">
        <v>10</v>
      </c>
      <c r="F29" s="8">
        <v>8</v>
      </c>
      <c r="G29" s="12">
        <v>2</v>
      </c>
      <c r="H29" s="8">
        <v>2.5</v>
      </c>
      <c r="I29" s="12">
        <v>0</v>
      </c>
    </row>
    <row r="30" spans="2:9" ht="15" customHeight="1" x14ac:dyDescent="0.2">
      <c r="B30" t="s">
        <v>70</v>
      </c>
      <c r="C30" s="12">
        <v>10</v>
      </c>
      <c r="D30" s="8">
        <v>4.76</v>
      </c>
      <c r="E30" s="12">
        <v>7</v>
      </c>
      <c r="F30" s="8">
        <v>5.6</v>
      </c>
      <c r="G30" s="12">
        <v>3</v>
      </c>
      <c r="H30" s="8">
        <v>3.75</v>
      </c>
      <c r="I30" s="12">
        <v>0</v>
      </c>
    </row>
    <row r="31" spans="2:9" ht="15" customHeight="1" x14ac:dyDescent="0.2">
      <c r="B31" t="s">
        <v>82</v>
      </c>
      <c r="C31" s="12">
        <v>10</v>
      </c>
      <c r="D31" s="8">
        <v>4.76</v>
      </c>
      <c r="E31" s="12">
        <v>8</v>
      </c>
      <c r="F31" s="8">
        <v>6.4</v>
      </c>
      <c r="G31" s="12">
        <v>2</v>
      </c>
      <c r="H31" s="8">
        <v>2.5</v>
      </c>
      <c r="I31" s="12">
        <v>0</v>
      </c>
    </row>
    <row r="32" spans="2:9" ht="15" customHeight="1" x14ac:dyDescent="0.2">
      <c r="B32" t="s">
        <v>75</v>
      </c>
      <c r="C32" s="12">
        <v>8</v>
      </c>
      <c r="D32" s="8">
        <v>3.81</v>
      </c>
      <c r="E32" s="12">
        <v>8</v>
      </c>
      <c r="F32" s="8">
        <v>6.4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6</v>
      </c>
      <c r="D33" s="8">
        <v>2.86</v>
      </c>
      <c r="E33" s="12">
        <v>4</v>
      </c>
      <c r="F33" s="8">
        <v>3.2</v>
      </c>
      <c r="G33" s="12">
        <v>2</v>
      </c>
      <c r="H33" s="8">
        <v>2.5</v>
      </c>
      <c r="I33" s="12">
        <v>0</v>
      </c>
    </row>
    <row r="34" spans="2:9" ht="15" customHeight="1" x14ac:dyDescent="0.2">
      <c r="B34" t="s">
        <v>92</v>
      </c>
      <c r="C34" s="12">
        <v>5</v>
      </c>
      <c r="D34" s="8">
        <v>2.38</v>
      </c>
      <c r="E34" s="12">
        <v>2</v>
      </c>
      <c r="F34" s="8">
        <v>1.6</v>
      </c>
      <c r="G34" s="12">
        <v>3</v>
      </c>
      <c r="H34" s="8">
        <v>3.75</v>
      </c>
      <c r="I34" s="12">
        <v>0</v>
      </c>
    </row>
    <row r="35" spans="2:9" ht="15" customHeight="1" x14ac:dyDescent="0.2">
      <c r="B35" t="s">
        <v>86</v>
      </c>
      <c r="C35" s="12">
        <v>5</v>
      </c>
      <c r="D35" s="8">
        <v>2.38</v>
      </c>
      <c r="E35" s="12">
        <v>3</v>
      </c>
      <c r="F35" s="8">
        <v>2.4</v>
      </c>
      <c r="G35" s="12">
        <v>2</v>
      </c>
      <c r="H35" s="8">
        <v>2.5</v>
      </c>
      <c r="I35" s="12">
        <v>0</v>
      </c>
    </row>
    <row r="36" spans="2:9" ht="15" customHeight="1" x14ac:dyDescent="0.2">
      <c r="B36" t="s">
        <v>97</v>
      </c>
      <c r="C36" s="12">
        <v>4</v>
      </c>
      <c r="D36" s="8">
        <v>1.9</v>
      </c>
      <c r="E36" s="12">
        <v>2</v>
      </c>
      <c r="F36" s="8">
        <v>1.6</v>
      </c>
      <c r="G36" s="12">
        <v>2</v>
      </c>
      <c r="H36" s="8">
        <v>2.5</v>
      </c>
      <c r="I36" s="12">
        <v>0</v>
      </c>
    </row>
    <row r="37" spans="2:9" ht="15" customHeight="1" x14ac:dyDescent="0.2">
      <c r="B37" t="s">
        <v>79</v>
      </c>
      <c r="C37" s="12">
        <v>4</v>
      </c>
      <c r="D37" s="8">
        <v>1.9</v>
      </c>
      <c r="E37" s="12">
        <v>1</v>
      </c>
      <c r="F37" s="8">
        <v>0.8</v>
      </c>
      <c r="G37" s="12">
        <v>3</v>
      </c>
      <c r="H37" s="8">
        <v>3.75</v>
      </c>
      <c r="I37" s="12">
        <v>0</v>
      </c>
    </row>
    <row r="38" spans="2:9" ht="15" customHeight="1" x14ac:dyDescent="0.2">
      <c r="B38" t="s">
        <v>94</v>
      </c>
      <c r="C38" s="12">
        <v>3</v>
      </c>
      <c r="D38" s="8">
        <v>1.43</v>
      </c>
      <c r="E38" s="12">
        <v>0</v>
      </c>
      <c r="F38" s="8">
        <v>0</v>
      </c>
      <c r="G38" s="12">
        <v>3</v>
      </c>
      <c r="H38" s="8">
        <v>3.75</v>
      </c>
      <c r="I38" s="12">
        <v>0</v>
      </c>
    </row>
    <row r="39" spans="2:9" ht="15" customHeight="1" x14ac:dyDescent="0.2">
      <c r="B39" t="s">
        <v>71</v>
      </c>
      <c r="C39" s="12">
        <v>3</v>
      </c>
      <c r="D39" s="8">
        <v>1.43</v>
      </c>
      <c r="E39" s="12">
        <v>1</v>
      </c>
      <c r="F39" s="8">
        <v>0.8</v>
      </c>
      <c r="G39" s="12">
        <v>2</v>
      </c>
      <c r="H39" s="8">
        <v>2.5</v>
      </c>
      <c r="I39" s="12">
        <v>0</v>
      </c>
    </row>
    <row r="40" spans="2:9" ht="15" customHeight="1" x14ac:dyDescent="0.2">
      <c r="B40" t="s">
        <v>72</v>
      </c>
      <c r="C40" s="12">
        <v>3</v>
      </c>
      <c r="D40" s="8">
        <v>1.43</v>
      </c>
      <c r="E40" s="12">
        <v>2</v>
      </c>
      <c r="F40" s="8">
        <v>1.6</v>
      </c>
      <c r="G40" s="12">
        <v>1</v>
      </c>
      <c r="H40" s="8">
        <v>1.25</v>
      </c>
      <c r="I40" s="12">
        <v>0</v>
      </c>
    </row>
    <row r="41" spans="2:9" ht="15" customHeight="1" x14ac:dyDescent="0.2">
      <c r="B41" t="s">
        <v>73</v>
      </c>
      <c r="C41" s="12">
        <v>3</v>
      </c>
      <c r="D41" s="8">
        <v>1.43</v>
      </c>
      <c r="E41" s="12">
        <v>0</v>
      </c>
      <c r="F41" s="8">
        <v>0</v>
      </c>
      <c r="G41" s="12">
        <v>3</v>
      </c>
      <c r="H41" s="8">
        <v>3.75</v>
      </c>
      <c r="I41" s="12">
        <v>0</v>
      </c>
    </row>
    <row r="42" spans="2:9" ht="15" customHeight="1" x14ac:dyDescent="0.2">
      <c r="B42" t="s">
        <v>81</v>
      </c>
      <c r="C42" s="12">
        <v>3</v>
      </c>
      <c r="D42" s="8">
        <v>1.43</v>
      </c>
      <c r="E42" s="12">
        <v>2</v>
      </c>
      <c r="F42" s="8">
        <v>1.6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98</v>
      </c>
      <c r="C43" s="12">
        <v>2</v>
      </c>
      <c r="D43" s="8">
        <v>0.95</v>
      </c>
      <c r="E43" s="12">
        <v>0</v>
      </c>
      <c r="F43" s="8">
        <v>0</v>
      </c>
      <c r="G43" s="12">
        <v>2</v>
      </c>
      <c r="H43" s="8">
        <v>2.5</v>
      </c>
      <c r="I43" s="12">
        <v>0</v>
      </c>
    </row>
    <row r="44" spans="2:9" ht="15" customHeight="1" x14ac:dyDescent="0.2">
      <c r="B44" t="s">
        <v>109</v>
      </c>
      <c r="C44" s="12">
        <v>2</v>
      </c>
      <c r="D44" s="8">
        <v>0.95</v>
      </c>
      <c r="E44" s="12">
        <v>1</v>
      </c>
      <c r="F44" s="8">
        <v>0.8</v>
      </c>
      <c r="G44" s="12">
        <v>1</v>
      </c>
      <c r="H44" s="8">
        <v>1.25</v>
      </c>
      <c r="I44" s="12">
        <v>0</v>
      </c>
    </row>
    <row r="45" spans="2:9" ht="15" customHeight="1" x14ac:dyDescent="0.2">
      <c r="B45" t="s">
        <v>91</v>
      </c>
      <c r="C45" s="12">
        <v>2</v>
      </c>
      <c r="D45" s="8">
        <v>0.95</v>
      </c>
      <c r="E45" s="12">
        <v>0</v>
      </c>
      <c r="F45" s="8">
        <v>0</v>
      </c>
      <c r="G45" s="12">
        <v>2</v>
      </c>
      <c r="H45" s="8">
        <v>2.5</v>
      </c>
      <c r="I45" s="12">
        <v>0</v>
      </c>
    </row>
    <row r="46" spans="2:9" ht="15" customHeight="1" x14ac:dyDescent="0.2">
      <c r="B46" t="s">
        <v>95</v>
      </c>
      <c r="C46" s="12">
        <v>2</v>
      </c>
      <c r="D46" s="8">
        <v>0.95</v>
      </c>
      <c r="E46" s="12">
        <v>0</v>
      </c>
      <c r="F46" s="8">
        <v>0</v>
      </c>
      <c r="G46" s="12">
        <v>2</v>
      </c>
      <c r="H46" s="8">
        <v>2.5</v>
      </c>
      <c r="I46" s="12">
        <v>0</v>
      </c>
    </row>
    <row r="47" spans="2:9" ht="15" customHeight="1" x14ac:dyDescent="0.2">
      <c r="B47" t="s">
        <v>114</v>
      </c>
      <c r="C47" s="12">
        <v>2</v>
      </c>
      <c r="D47" s="8">
        <v>0.95</v>
      </c>
      <c r="E47" s="12">
        <v>1</v>
      </c>
      <c r="F47" s="8">
        <v>0.8</v>
      </c>
      <c r="G47" s="12">
        <v>1</v>
      </c>
      <c r="H47" s="8">
        <v>1.25</v>
      </c>
      <c r="I47" s="12">
        <v>0</v>
      </c>
    </row>
    <row r="48" spans="2:9" ht="15" customHeight="1" x14ac:dyDescent="0.2">
      <c r="B48" t="s">
        <v>88</v>
      </c>
      <c r="C48" s="12">
        <v>2</v>
      </c>
      <c r="D48" s="8">
        <v>0.95</v>
      </c>
      <c r="E48" s="12">
        <v>0</v>
      </c>
      <c r="F48" s="8">
        <v>0</v>
      </c>
      <c r="G48" s="12">
        <v>2</v>
      </c>
      <c r="H48" s="8">
        <v>2.5</v>
      </c>
      <c r="I48" s="12">
        <v>0</v>
      </c>
    </row>
    <row r="49" spans="2:9" ht="15" customHeight="1" x14ac:dyDescent="0.2">
      <c r="B49" t="s">
        <v>101</v>
      </c>
      <c r="C49" s="12">
        <v>2</v>
      </c>
      <c r="D49" s="8">
        <v>0.95</v>
      </c>
      <c r="E49" s="12">
        <v>1</v>
      </c>
      <c r="F49" s="8">
        <v>0.8</v>
      </c>
      <c r="G49" s="12">
        <v>1</v>
      </c>
      <c r="H49" s="8">
        <v>1.25</v>
      </c>
      <c r="I49" s="12">
        <v>0</v>
      </c>
    </row>
    <row r="50" spans="2:9" ht="15" customHeight="1" x14ac:dyDescent="0.2">
      <c r="B50" t="s">
        <v>84</v>
      </c>
      <c r="C50" s="12">
        <v>2</v>
      </c>
      <c r="D50" s="8">
        <v>0.95</v>
      </c>
      <c r="E50" s="12">
        <v>1</v>
      </c>
      <c r="F50" s="8">
        <v>0.8</v>
      </c>
      <c r="G50" s="12">
        <v>0</v>
      </c>
      <c r="H50" s="8">
        <v>0</v>
      </c>
      <c r="I50" s="12">
        <v>1</v>
      </c>
    </row>
    <row r="51" spans="2:9" ht="15" customHeight="1" x14ac:dyDescent="0.2">
      <c r="B51" t="s">
        <v>85</v>
      </c>
      <c r="C51" s="12">
        <v>2</v>
      </c>
      <c r="D51" s="8">
        <v>0.95</v>
      </c>
      <c r="E51" s="12">
        <v>2</v>
      </c>
      <c r="F51" s="8">
        <v>1.6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96</v>
      </c>
      <c r="C52" s="12">
        <v>2</v>
      </c>
      <c r="D52" s="8">
        <v>0.95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5" spans="2:9" ht="33" customHeight="1" x14ac:dyDescent="0.2">
      <c r="B55" t="s">
        <v>197</v>
      </c>
      <c r="C55" s="10" t="s">
        <v>61</v>
      </c>
      <c r="D55" s="10" t="s">
        <v>62</v>
      </c>
      <c r="E55" s="10" t="s">
        <v>63</v>
      </c>
      <c r="F55" s="10" t="s">
        <v>64</v>
      </c>
      <c r="G55" s="10" t="s">
        <v>65</v>
      </c>
      <c r="H55" s="10" t="s">
        <v>66</v>
      </c>
      <c r="I55" s="10" t="s">
        <v>67</v>
      </c>
    </row>
    <row r="56" spans="2:9" ht="15" customHeight="1" x14ac:dyDescent="0.2">
      <c r="B56" t="s">
        <v>133</v>
      </c>
      <c r="C56" s="12">
        <v>15</v>
      </c>
      <c r="D56" s="8">
        <v>7.14</v>
      </c>
      <c r="E56" s="12">
        <v>15</v>
      </c>
      <c r="F56" s="8">
        <v>12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137</v>
      </c>
      <c r="C57" s="12">
        <v>12</v>
      </c>
      <c r="D57" s="8">
        <v>5.71</v>
      </c>
      <c r="E57" s="12">
        <v>10</v>
      </c>
      <c r="F57" s="8">
        <v>8</v>
      </c>
      <c r="G57" s="12">
        <v>2</v>
      </c>
      <c r="H57" s="8">
        <v>2.5</v>
      </c>
      <c r="I57" s="12">
        <v>0</v>
      </c>
    </row>
    <row r="58" spans="2:9" ht="15" customHeight="1" x14ac:dyDescent="0.2">
      <c r="B58" t="s">
        <v>120</v>
      </c>
      <c r="C58" s="12">
        <v>10</v>
      </c>
      <c r="D58" s="8">
        <v>4.76</v>
      </c>
      <c r="E58" s="12">
        <v>7</v>
      </c>
      <c r="F58" s="8">
        <v>5.6</v>
      </c>
      <c r="G58" s="12">
        <v>3</v>
      </c>
      <c r="H58" s="8">
        <v>3.75</v>
      </c>
      <c r="I58" s="12">
        <v>0</v>
      </c>
    </row>
    <row r="59" spans="2:9" ht="15" customHeight="1" x14ac:dyDescent="0.2">
      <c r="B59" t="s">
        <v>124</v>
      </c>
      <c r="C59" s="12">
        <v>9</v>
      </c>
      <c r="D59" s="8">
        <v>4.29</v>
      </c>
      <c r="E59" s="12">
        <v>7</v>
      </c>
      <c r="F59" s="8">
        <v>5.6</v>
      </c>
      <c r="G59" s="12">
        <v>2</v>
      </c>
      <c r="H59" s="8">
        <v>2.5</v>
      </c>
      <c r="I59" s="12">
        <v>0</v>
      </c>
    </row>
    <row r="60" spans="2:9" ht="15" customHeight="1" x14ac:dyDescent="0.2">
      <c r="B60" t="s">
        <v>118</v>
      </c>
      <c r="C60" s="12">
        <v>8</v>
      </c>
      <c r="D60" s="8">
        <v>3.81</v>
      </c>
      <c r="E60" s="12">
        <v>0</v>
      </c>
      <c r="F60" s="8">
        <v>0</v>
      </c>
      <c r="G60" s="12">
        <v>8</v>
      </c>
      <c r="H60" s="8">
        <v>10</v>
      </c>
      <c r="I60" s="12">
        <v>0</v>
      </c>
    </row>
    <row r="61" spans="2:9" ht="15" customHeight="1" x14ac:dyDescent="0.2">
      <c r="B61" t="s">
        <v>134</v>
      </c>
      <c r="C61" s="12">
        <v>6</v>
      </c>
      <c r="D61" s="8">
        <v>2.86</v>
      </c>
      <c r="E61" s="12">
        <v>6</v>
      </c>
      <c r="F61" s="8">
        <v>4.8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119</v>
      </c>
      <c r="C62" s="12">
        <v>5</v>
      </c>
      <c r="D62" s="8">
        <v>2.38</v>
      </c>
      <c r="E62" s="12">
        <v>2</v>
      </c>
      <c r="F62" s="8">
        <v>1.6</v>
      </c>
      <c r="G62" s="12">
        <v>3</v>
      </c>
      <c r="H62" s="8">
        <v>3.75</v>
      </c>
      <c r="I62" s="12">
        <v>0</v>
      </c>
    </row>
    <row r="63" spans="2:9" ht="15" customHeight="1" x14ac:dyDescent="0.2">
      <c r="B63" t="s">
        <v>145</v>
      </c>
      <c r="C63" s="12">
        <v>5</v>
      </c>
      <c r="D63" s="8">
        <v>2.38</v>
      </c>
      <c r="E63" s="12">
        <v>4</v>
      </c>
      <c r="F63" s="8">
        <v>3.2</v>
      </c>
      <c r="G63" s="12">
        <v>1</v>
      </c>
      <c r="H63" s="8">
        <v>1.25</v>
      </c>
      <c r="I63" s="12">
        <v>0</v>
      </c>
    </row>
    <row r="64" spans="2:9" ht="15" customHeight="1" x14ac:dyDescent="0.2">
      <c r="B64" t="s">
        <v>153</v>
      </c>
      <c r="C64" s="12">
        <v>5</v>
      </c>
      <c r="D64" s="8">
        <v>2.38</v>
      </c>
      <c r="E64" s="12">
        <v>3</v>
      </c>
      <c r="F64" s="8">
        <v>2.4</v>
      </c>
      <c r="G64" s="12">
        <v>2</v>
      </c>
      <c r="H64" s="8">
        <v>2.5</v>
      </c>
      <c r="I64" s="12">
        <v>0</v>
      </c>
    </row>
    <row r="65" spans="2:9" ht="15" customHeight="1" x14ac:dyDescent="0.2">
      <c r="B65" t="s">
        <v>121</v>
      </c>
      <c r="C65" s="12">
        <v>5</v>
      </c>
      <c r="D65" s="8">
        <v>2.38</v>
      </c>
      <c r="E65" s="12">
        <v>3</v>
      </c>
      <c r="F65" s="8">
        <v>2.4</v>
      </c>
      <c r="G65" s="12">
        <v>2</v>
      </c>
      <c r="H65" s="8">
        <v>2.5</v>
      </c>
      <c r="I65" s="12">
        <v>0</v>
      </c>
    </row>
    <row r="66" spans="2:9" ht="15" customHeight="1" x14ac:dyDescent="0.2">
      <c r="B66" t="s">
        <v>122</v>
      </c>
      <c r="C66" s="12">
        <v>5</v>
      </c>
      <c r="D66" s="8">
        <v>2.38</v>
      </c>
      <c r="E66" s="12">
        <v>4</v>
      </c>
      <c r="F66" s="8">
        <v>3.2</v>
      </c>
      <c r="G66" s="12">
        <v>1</v>
      </c>
      <c r="H66" s="8">
        <v>1.25</v>
      </c>
      <c r="I66" s="12">
        <v>0</v>
      </c>
    </row>
    <row r="67" spans="2:9" ht="15" customHeight="1" x14ac:dyDescent="0.2">
      <c r="B67" t="s">
        <v>126</v>
      </c>
      <c r="C67" s="12">
        <v>5</v>
      </c>
      <c r="D67" s="8">
        <v>2.38</v>
      </c>
      <c r="E67" s="12">
        <v>0</v>
      </c>
      <c r="F67" s="8">
        <v>0</v>
      </c>
      <c r="G67" s="12">
        <v>5</v>
      </c>
      <c r="H67" s="8">
        <v>6.25</v>
      </c>
      <c r="I67" s="12">
        <v>0</v>
      </c>
    </row>
    <row r="68" spans="2:9" ht="15" customHeight="1" x14ac:dyDescent="0.2">
      <c r="B68" t="s">
        <v>140</v>
      </c>
      <c r="C68" s="12">
        <v>4</v>
      </c>
      <c r="D68" s="8">
        <v>1.9</v>
      </c>
      <c r="E68" s="12">
        <v>3</v>
      </c>
      <c r="F68" s="8">
        <v>2.4</v>
      </c>
      <c r="G68" s="12">
        <v>1</v>
      </c>
      <c r="H68" s="8">
        <v>1.25</v>
      </c>
      <c r="I68" s="12">
        <v>0</v>
      </c>
    </row>
    <row r="69" spans="2:9" ht="15" customHeight="1" x14ac:dyDescent="0.2">
      <c r="B69" t="s">
        <v>174</v>
      </c>
      <c r="C69" s="12">
        <v>3</v>
      </c>
      <c r="D69" s="8">
        <v>1.43</v>
      </c>
      <c r="E69" s="12">
        <v>2</v>
      </c>
      <c r="F69" s="8">
        <v>1.6</v>
      </c>
      <c r="G69" s="12">
        <v>1</v>
      </c>
      <c r="H69" s="8">
        <v>1.25</v>
      </c>
      <c r="I69" s="12">
        <v>0</v>
      </c>
    </row>
    <row r="70" spans="2:9" ht="15" customHeight="1" x14ac:dyDescent="0.2">
      <c r="B70" t="s">
        <v>188</v>
      </c>
      <c r="C70" s="12">
        <v>3</v>
      </c>
      <c r="D70" s="8">
        <v>1.43</v>
      </c>
      <c r="E70" s="12">
        <v>3</v>
      </c>
      <c r="F70" s="8">
        <v>2.4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189</v>
      </c>
      <c r="C71" s="12">
        <v>3</v>
      </c>
      <c r="D71" s="8">
        <v>1.43</v>
      </c>
      <c r="E71" s="12">
        <v>1</v>
      </c>
      <c r="F71" s="8">
        <v>0.8</v>
      </c>
      <c r="G71" s="12">
        <v>2</v>
      </c>
      <c r="H71" s="8">
        <v>2.5</v>
      </c>
      <c r="I71" s="12">
        <v>0</v>
      </c>
    </row>
    <row r="72" spans="2:9" ht="15" customHeight="1" x14ac:dyDescent="0.2">
      <c r="B72" t="s">
        <v>180</v>
      </c>
      <c r="C72" s="12">
        <v>3</v>
      </c>
      <c r="D72" s="8">
        <v>1.43</v>
      </c>
      <c r="E72" s="12">
        <v>3</v>
      </c>
      <c r="F72" s="8">
        <v>2.4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123</v>
      </c>
      <c r="C73" s="12">
        <v>3</v>
      </c>
      <c r="D73" s="8">
        <v>1.43</v>
      </c>
      <c r="E73" s="12">
        <v>3</v>
      </c>
      <c r="F73" s="8">
        <v>2.4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168</v>
      </c>
      <c r="C74" s="12">
        <v>3</v>
      </c>
      <c r="D74" s="8">
        <v>1.43</v>
      </c>
      <c r="E74" s="12">
        <v>3</v>
      </c>
      <c r="F74" s="8">
        <v>2.4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128</v>
      </c>
      <c r="C75" s="12">
        <v>3</v>
      </c>
      <c r="D75" s="8">
        <v>1.43</v>
      </c>
      <c r="E75" s="12">
        <v>0</v>
      </c>
      <c r="F75" s="8">
        <v>0</v>
      </c>
      <c r="G75" s="12">
        <v>3</v>
      </c>
      <c r="H75" s="8">
        <v>3.75</v>
      </c>
      <c r="I75" s="12">
        <v>0</v>
      </c>
    </row>
    <row r="76" spans="2:9" ht="15" customHeight="1" x14ac:dyDescent="0.2">
      <c r="B76" t="s">
        <v>130</v>
      </c>
      <c r="C76" s="12">
        <v>3</v>
      </c>
      <c r="D76" s="8">
        <v>1.43</v>
      </c>
      <c r="E76" s="12">
        <v>2</v>
      </c>
      <c r="F76" s="8">
        <v>1.6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152</v>
      </c>
      <c r="C77" s="12">
        <v>3</v>
      </c>
      <c r="D77" s="8">
        <v>1.43</v>
      </c>
      <c r="E77" s="12">
        <v>2</v>
      </c>
      <c r="F77" s="8">
        <v>1.6</v>
      </c>
      <c r="G77" s="12">
        <v>1</v>
      </c>
      <c r="H77" s="8">
        <v>1.25</v>
      </c>
      <c r="I77" s="12">
        <v>0</v>
      </c>
    </row>
    <row r="78" spans="2:9" ht="15" customHeight="1" x14ac:dyDescent="0.2">
      <c r="B78" t="s">
        <v>136</v>
      </c>
      <c r="C78" s="12">
        <v>3</v>
      </c>
      <c r="D78" s="8">
        <v>1.43</v>
      </c>
      <c r="E78" s="12">
        <v>2</v>
      </c>
      <c r="F78" s="8">
        <v>1.6</v>
      </c>
      <c r="G78" s="12">
        <v>1</v>
      </c>
      <c r="H78" s="8">
        <v>1.25</v>
      </c>
      <c r="I78" s="12">
        <v>0</v>
      </c>
    </row>
    <row r="80" spans="2:9" ht="15" customHeight="1" x14ac:dyDescent="0.2">
      <c r="B8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5D0E-5A2D-4AE8-9FD5-BE514E5C3A4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189</v>
      </c>
      <c r="D6" s="8">
        <v>32.25</v>
      </c>
      <c r="E6" s="12">
        <v>103</v>
      </c>
      <c r="F6" s="8">
        <v>29.34</v>
      </c>
      <c r="G6" s="12">
        <v>86</v>
      </c>
      <c r="H6" s="8">
        <v>37.07</v>
      </c>
      <c r="I6" s="12">
        <v>0</v>
      </c>
    </row>
    <row r="7" spans="2:9" ht="15" customHeight="1" x14ac:dyDescent="0.2">
      <c r="B7" t="s">
        <v>47</v>
      </c>
      <c r="C7" s="12">
        <v>85</v>
      </c>
      <c r="D7" s="8">
        <v>14.51</v>
      </c>
      <c r="E7" s="12">
        <v>42</v>
      </c>
      <c r="F7" s="8">
        <v>11.97</v>
      </c>
      <c r="G7" s="12">
        <v>43</v>
      </c>
      <c r="H7" s="8">
        <v>18.53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0.43</v>
      </c>
      <c r="I8" s="12">
        <v>0</v>
      </c>
    </row>
    <row r="9" spans="2:9" ht="15" customHeight="1" x14ac:dyDescent="0.2">
      <c r="B9" t="s">
        <v>49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0.43</v>
      </c>
      <c r="I9" s="12">
        <v>0</v>
      </c>
    </row>
    <row r="10" spans="2:9" ht="15" customHeight="1" x14ac:dyDescent="0.2">
      <c r="B10" t="s">
        <v>50</v>
      </c>
      <c r="C10" s="12">
        <v>9</v>
      </c>
      <c r="D10" s="8">
        <v>1.54</v>
      </c>
      <c r="E10" s="12">
        <v>3</v>
      </c>
      <c r="F10" s="8">
        <v>0.85</v>
      </c>
      <c r="G10" s="12">
        <v>6</v>
      </c>
      <c r="H10" s="8">
        <v>2.59</v>
      </c>
      <c r="I10" s="12">
        <v>0</v>
      </c>
    </row>
    <row r="11" spans="2:9" ht="15" customHeight="1" x14ac:dyDescent="0.2">
      <c r="B11" t="s">
        <v>51</v>
      </c>
      <c r="C11" s="12">
        <v>123</v>
      </c>
      <c r="D11" s="8">
        <v>20.99</v>
      </c>
      <c r="E11" s="12">
        <v>69</v>
      </c>
      <c r="F11" s="8">
        <v>19.66</v>
      </c>
      <c r="G11" s="12">
        <v>54</v>
      </c>
      <c r="H11" s="8">
        <v>23.28</v>
      </c>
      <c r="I11" s="12">
        <v>0</v>
      </c>
    </row>
    <row r="12" spans="2:9" ht="15" customHeight="1" x14ac:dyDescent="0.2">
      <c r="B12" t="s">
        <v>52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0.43</v>
      </c>
      <c r="I12" s="12">
        <v>0</v>
      </c>
    </row>
    <row r="13" spans="2:9" ht="15" customHeight="1" x14ac:dyDescent="0.2">
      <c r="B13" t="s">
        <v>53</v>
      </c>
      <c r="C13" s="12">
        <v>11</v>
      </c>
      <c r="D13" s="8">
        <v>1.88</v>
      </c>
      <c r="E13" s="12">
        <v>2</v>
      </c>
      <c r="F13" s="8">
        <v>0.56999999999999995</v>
      </c>
      <c r="G13" s="12">
        <v>9</v>
      </c>
      <c r="H13" s="8">
        <v>3.88</v>
      </c>
      <c r="I13" s="12">
        <v>0</v>
      </c>
    </row>
    <row r="14" spans="2:9" ht="15" customHeight="1" x14ac:dyDescent="0.2">
      <c r="B14" t="s">
        <v>54</v>
      </c>
      <c r="C14" s="12">
        <v>17</v>
      </c>
      <c r="D14" s="8">
        <v>2.9</v>
      </c>
      <c r="E14" s="12">
        <v>11</v>
      </c>
      <c r="F14" s="8">
        <v>3.13</v>
      </c>
      <c r="G14" s="12">
        <v>6</v>
      </c>
      <c r="H14" s="8">
        <v>2.59</v>
      </c>
      <c r="I14" s="12">
        <v>0</v>
      </c>
    </row>
    <row r="15" spans="2:9" ht="15" customHeight="1" x14ac:dyDescent="0.2">
      <c r="B15" t="s">
        <v>55</v>
      </c>
      <c r="C15" s="12">
        <v>34</v>
      </c>
      <c r="D15" s="8">
        <v>5.8</v>
      </c>
      <c r="E15" s="12">
        <v>29</v>
      </c>
      <c r="F15" s="8">
        <v>8.26</v>
      </c>
      <c r="G15" s="12">
        <v>5</v>
      </c>
      <c r="H15" s="8">
        <v>2.16</v>
      </c>
      <c r="I15" s="12">
        <v>0</v>
      </c>
    </row>
    <row r="16" spans="2:9" ht="15" customHeight="1" x14ac:dyDescent="0.2">
      <c r="B16" t="s">
        <v>56</v>
      </c>
      <c r="C16" s="12">
        <v>57</v>
      </c>
      <c r="D16" s="8">
        <v>9.73</v>
      </c>
      <c r="E16" s="12">
        <v>49</v>
      </c>
      <c r="F16" s="8">
        <v>13.96</v>
      </c>
      <c r="G16" s="12">
        <v>7</v>
      </c>
      <c r="H16" s="8">
        <v>3.02</v>
      </c>
      <c r="I16" s="12">
        <v>0</v>
      </c>
    </row>
    <row r="17" spans="2:9" ht="15" customHeight="1" x14ac:dyDescent="0.2">
      <c r="B17" t="s">
        <v>57</v>
      </c>
      <c r="C17" s="12">
        <v>9</v>
      </c>
      <c r="D17" s="8">
        <v>1.54</v>
      </c>
      <c r="E17" s="12">
        <v>7</v>
      </c>
      <c r="F17" s="8">
        <v>1.99</v>
      </c>
      <c r="G17" s="12">
        <v>1</v>
      </c>
      <c r="H17" s="8">
        <v>0.43</v>
      </c>
      <c r="I17" s="12">
        <v>0</v>
      </c>
    </row>
    <row r="18" spans="2:9" ht="15" customHeight="1" x14ac:dyDescent="0.2">
      <c r="B18" t="s">
        <v>58</v>
      </c>
      <c r="C18" s="12">
        <v>14</v>
      </c>
      <c r="D18" s="8">
        <v>2.39</v>
      </c>
      <c r="E18" s="12">
        <v>12</v>
      </c>
      <c r="F18" s="8">
        <v>3.42</v>
      </c>
      <c r="G18" s="12">
        <v>2</v>
      </c>
      <c r="H18" s="8">
        <v>0.86</v>
      </c>
      <c r="I18" s="12">
        <v>0</v>
      </c>
    </row>
    <row r="19" spans="2:9" ht="15" customHeight="1" x14ac:dyDescent="0.2">
      <c r="B19" t="s">
        <v>59</v>
      </c>
      <c r="C19" s="12">
        <v>35</v>
      </c>
      <c r="D19" s="8">
        <v>5.97</v>
      </c>
      <c r="E19" s="12">
        <v>24</v>
      </c>
      <c r="F19" s="8">
        <v>6.84</v>
      </c>
      <c r="G19" s="12">
        <v>10</v>
      </c>
      <c r="H19" s="8">
        <v>4.3099999999999996</v>
      </c>
      <c r="I19" s="12">
        <v>0</v>
      </c>
    </row>
    <row r="20" spans="2:9" ht="15" customHeight="1" x14ac:dyDescent="0.2">
      <c r="B20" s="9" t="s">
        <v>195</v>
      </c>
      <c r="C20" s="12">
        <f>SUM(LTBL_08521[総数／事業所数])</f>
        <v>586</v>
      </c>
      <c r="E20" s="12">
        <f>SUBTOTAL(109,LTBL_08521[個人／事業所数])</f>
        <v>351</v>
      </c>
      <c r="G20" s="12">
        <f>SUBTOTAL(109,LTBL_08521[法人／事業所数])</f>
        <v>232</v>
      </c>
      <c r="I20" s="12">
        <f>SUBTOTAL(109,LTBL_08521[法人以外の団体／事業所数])</f>
        <v>0</v>
      </c>
    </row>
    <row r="21" spans="2:9" ht="15" customHeight="1" x14ac:dyDescent="0.2">
      <c r="E21" s="11">
        <f>LTBL_08521[[#Totals],[個人／事業所数]]/LTBL_08521[[#Totals],[総数／事業所数]]</f>
        <v>0.59897610921501709</v>
      </c>
      <c r="G21" s="11">
        <f>LTBL_08521[[#Totals],[法人／事業所数]]/LTBL_08521[[#Totals],[総数／事業所数]]</f>
        <v>0.39590443686006827</v>
      </c>
      <c r="I21" s="11">
        <f>LTBL_08521[[#Totals],[法人以外の団体／事業所数]]/LTBL_08521[[#Totals],[総数／事業所数]]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69</v>
      </c>
      <c r="C24" s="12">
        <v>88</v>
      </c>
      <c r="D24" s="8">
        <v>15.02</v>
      </c>
      <c r="E24" s="12">
        <v>47</v>
      </c>
      <c r="F24" s="8">
        <v>13.39</v>
      </c>
      <c r="G24" s="12">
        <v>41</v>
      </c>
      <c r="H24" s="8">
        <v>17.670000000000002</v>
      </c>
      <c r="I24" s="12">
        <v>0</v>
      </c>
    </row>
    <row r="25" spans="2:9" ht="15" customHeight="1" x14ac:dyDescent="0.2">
      <c r="B25" t="s">
        <v>68</v>
      </c>
      <c r="C25" s="12">
        <v>69</v>
      </c>
      <c r="D25" s="8">
        <v>11.77</v>
      </c>
      <c r="E25" s="12">
        <v>42</v>
      </c>
      <c r="F25" s="8">
        <v>11.97</v>
      </c>
      <c r="G25" s="12">
        <v>27</v>
      </c>
      <c r="H25" s="8">
        <v>11.64</v>
      </c>
      <c r="I25" s="12">
        <v>0</v>
      </c>
    </row>
    <row r="26" spans="2:9" ht="15" customHeight="1" x14ac:dyDescent="0.2">
      <c r="B26" t="s">
        <v>83</v>
      </c>
      <c r="C26" s="12">
        <v>49</v>
      </c>
      <c r="D26" s="8">
        <v>8.36</v>
      </c>
      <c r="E26" s="12">
        <v>45</v>
      </c>
      <c r="F26" s="8">
        <v>12.82</v>
      </c>
      <c r="G26" s="12">
        <v>4</v>
      </c>
      <c r="H26" s="8">
        <v>1.72</v>
      </c>
      <c r="I26" s="12">
        <v>0</v>
      </c>
    </row>
    <row r="27" spans="2:9" ht="15" customHeight="1" x14ac:dyDescent="0.2">
      <c r="B27" t="s">
        <v>77</v>
      </c>
      <c r="C27" s="12">
        <v>46</v>
      </c>
      <c r="D27" s="8">
        <v>7.85</v>
      </c>
      <c r="E27" s="12">
        <v>28</v>
      </c>
      <c r="F27" s="8">
        <v>7.98</v>
      </c>
      <c r="G27" s="12">
        <v>18</v>
      </c>
      <c r="H27" s="8">
        <v>7.76</v>
      </c>
      <c r="I27" s="12">
        <v>0</v>
      </c>
    </row>
    <row r="28" spans="2:9" ht="15" customHeight="1" x14ac:dyDescent="0.2">
      <c r="B28" t="s">
        <v>70</v>
      </c>
      <c r="C28" s="12">
        <v>32</v>
      </c>
      <c r="D28" s="8">
        <v>5.46</v>
      </c>
      <c r="E28" s="12">
        <v>14</v>
      </c>
      <c r="F28" s="8">
        <v>3.99</v>
      </c>
      <c r="G28" s="12">
        <v>18</v>
      </c>
      <c r="H28" s="8">
        <v>7.76</v>
      </c>
      <c r="I28" s="12">
        <v>0</v>
      </c>
    </row>
    <row r="29" spans="2:9" ht="15" customHeight="1" x14ac:dyDescent="0.2">
      <c r="B29" t="s">
        <v>82</v>
      </c>
      <c r="C29" s="12">
        <v>29</v>
      </c>
      <c r="D29" s="8">
        <v>4.95</v>
      </c>
      <c r="E29" s="12">
        <v>26</v>
      </c>
      <c r="F29" s="8">
        <v>7.41</v>
      </c>
      <c r="G29" s="12">
        <v>3</v>
      </c>
      <c r="H29" s="8">
        <v>1.29</v>
      </c>
      <c r="I29" s="12">
        <v>0</v>
      </c>
    </row>
    <row r="30" spans="2:9" ht="15" customHeight="1" x14ac:dyDescent="0.2">
      <c r="B30" t="s">
        <v>87</v>
      </c>
      <c r="C30" s="12">
        <v>25</v>
      </c>
      <c r="D30" s="8">
        <v>4.2699999999999996</v>
      </c>
      <c r="E30" s="12">
        <v>22</v>
      </c>
      <c r="F30" s="8">
        <v>6.27</v>
      </c>
      <c r="G30" s="12">
        <v>3</v>
      </c>
      <c r="H30" s="8">
        <v>1.29</v>
      </c>
      <c r="I30" s="12">
        <v>0</v>
      </c>
    </row>
    <row r="31" spans="2:9" ht="15" customHeight="1" x14ac:dyDescent="0.2">
      <c r="B31" t="s">
        <v>75</v>
      </c>
      <c r="C31" s="12">
        <v>22</v>
      </c>
      <c r="D31" s="8">
        <v>3.75</v>
      </c>
      <c r="E31" s="12">
        <v>19</v>
      </c>
      <c r="F31" s="8">
        <v>5.41</v>
      </c>
      <c r="G31" s="12">
        <v>3</v>
      </c>
      <c r="H31" s="8">
        <v>1.29</v>
      </c>
      <c r="I31" s="12">
        <v>0</v>
      </c>
    </row>
    <row r="32" spans="2:9" ht="15" customHeight="1" x14ac:dyDescent="0.2">
      <c r="B32" t="s">
        <v>76</v>
      </c>
      <c r="C32" s="12">
        <v>16</v>
      </c>
      <c r="D32" s="8">
        <v>2.73</v>
      </c>
      <c r="E32" s="12">
        <v>8</v>
      </c>
      <c r="F32" s="8">
        <v>2.2799999999999998</v>
      </c>
      <c r="G32" s="12">
        <v>8</v>
      </c>
      <c r="H32" s="8">
        <v>3.45</v>
      </c>
      <c r="I32" s="12">
        <v>0</v>
      </c>
    </row>
    <row r="33" spans="2:9" ht="15" customHeight="1" x14ac:dyDescent="0.2">
      <c r="B33" t="s">
        <v>71</v>
      </c>
      <c r="C33" s="12">
        <v>13</v>
      </c>
      <c r="D33" s="8">
        <v>2.2200000000000002</v>
      </c>
      <c r="E33" s="12">
        <v>7</v>
      </c>
      <c r="F33" s="8">
        <v>1.99</v>
      </c>
      <c r="G33" s="12">
        <v>6</v>
      </c>
      <c r="H33" s="8">
        <v>2.59</v>
      </c>
      <c r="I33" s="12">
        <v>0</v>
      </c>
    </row>
    <row r="34" spans="2:9" ht="15" customHeight="1" x14ac:dyDescent="0.2">
      <c r="B34" t="s">
        <v>104</v>
      </c>
      <c r="C34" s="12">
        <v>13</v>
      </c>
      <c r="D34" s="8">
        <v>2.2200000000000002</v>
      </c>
      <c r="E34" s="12">
        <v>9</v>
      </c>
      <c r="F34" s="8">
        <v>2.56</v>
      </c>
      <c r="G34" s="12">
        <v>4</v>
      </c>
      <c r="H34" s="8">
        <v>1.72</v>
      </c>
      <c r="I34" s="12">
        <v>0</v>
      </c>
    </row>
    <row r="35" spans="2:9" ht="15" customHeight="1" x14ac:dyDescent="0.2">
      <c r="B35" t="s">
        <v>86</v>
      </c>
      <c r="C35" s="12">
        <v>12</v>
      </c>
      <c r="D35" s="8">
        <v>2.0499999999999998</v>
      </c>
      <c r="E35" s="12">
        <v>12</v>
      </c>
      <c r="F35" s="8">
        <v>3.42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81</v>
      </c>
      <c r="C36" s="12">
        <v>11</v>
      </c>
      <c r="D36" s="8">
        <v>1.88</v>
      </c>
      <c r="E36" s="12">
        <v>8</v>
      </c>
      <c r="F36" s="8">
        <v>2.2799999999999998</v>
      </c>
      <c r="G36" s="12">
        <v>3</v>
      </c>
      <c r="H36" s="8">
        <v>1.29</v>
      </c>
      <c r="I36" s="12">
        <v>0</v>
      </c>
    </row>
    <row r="37" spans="2:9" ht="15" customHeight="1" x14ac:dyDescent="0.2">
      <c r="B37" t="s">
        <v>92</v>
      </c>
      <c r="C37" s="12">
        <v>10</v>
      </c>
      <c r="D37" s="8">
        <v>1.71</v>
      </c>
      <c r="E37" s="12">
        <v>7</v>
      </c>
      <c r="F37" s="8">
        <v>1.99</v>
      </c>
      <c r="G37" s="12">
        <v>3</v>
      </c>
      <c r="H37" s="8">
        <v>1.29</v>
      </c>
      <c r="I37" s="12">
        <v>0</v>
      </c>
    </row>
    <row r="38" spans="2:9" ht="15" customHeight="1" x14ac:dyDescent="0.2">
      <c r="B38" t="s">
        <v>91</v>
      </c>
      <c r="C38" s="12">
        <v>9</v>
      </c>
      <c r="D38" s="8">
        <v>1.54</v>
      </c>
      <c r="E38" s="12">
        <v>1</v>
      </c>
      <c r="F38" s="8">
        <v>0.28000000000000003</v>
      </c>
      <c r="G38" s="12">
        <v>8</v>
      </c>
      <c r="H38" s="8">
        <v>3.45</v>
      </c>
      <c r="I38" s="12">
        <v>0</v>
      </c>
    </row>
    <row r="39" spans="2:9" ht="15" customHeight="1" x14ac:dyDescent="0.2">
      <c r="B39" t="s">
        <v>72</v>
      </c>
      <c r="C39" s="12">
        <v>9</v>
      </c>
      <c r="D39" s="8">
        <v>1.54</v>
      </c>
      <c r="E39" s="12">
        <v>1</v>
      </c>
      <c r="F39" s="8">
        <v>0.28000000000000003</v>
      </c>
      <c r="G39" s="12">
        <v>8</v>
      </c>
      <c r="H39" s="8">
        <v>3.45</v>
      </c>
      <c r="I39" s="12">
        <v>0</v>
      </c>
    </row>
    <row r="40" spans="2:9" ht="15" customHeight="1" x14ac:dyDescent="0.2">
      <c r="B40" t="s">
        <v>74</v>
      </c>
      <c r="C40" s="12">
        <v>9</v>
      </c>
      <c r="D40" s="8">
        <v>1.54</v>
      </c>
      <c r="E40" s="12">
        <v>6</v>
      </c>
      <c r="F40" s="8">
        <v>1.71</v>
      </c>
      <c r="G40" s="12">
        <v>3</v>
      </c>
      <c r="H40" s="8">
        <v>1.29</v>
      </c>
      <c r="I40" s="12">
        <v>0</v>
      </c>
    </row>
    <row r="41" spans="2:9" ht="15" customHeight="1" x14ac:dyDescent="0.2">
      <c r="B41" t="s">
        <v>85</v>
      </c>
      <c r="C41" s="12">
        <v>9</v>
      </c>
      <c r="D41" s="8">
        <v>1.54</v>
      </c>
      <c r="E41" s="12">
        <v>7</v>
      </c>
      <c r="F41" s="8">
        <v>1.99</v>
      </c>
      <c r="G41" s="12">
        <v>1</v>
      </c>
      <c r="H41" s="8">
        <v>0.43</v>
      </c>
      <c r="I41" s="12">
        <v>0</v>
      </c>
    </row>
    <row r="42" spans="2:9" ht="15" customHeight="1" x14ac:dyDescent="0.2">
      <c r="B42" t="s">
        <v>93</v>
      </c>
      <c r="C42" s="12">
        <v>8</v>
      </c>
      <c r="D42" s="8">
        <v>1.37</v>
      </c>
      <c r="E42" s="12">
        <v>5</v>
      </c>
      <c r="F42" s="8">
        <v>1.42</v>
      </c>
      <c r="G42" s="12">
        <v>3</v>
      </c>
      <c r="H42" s="8">
        <v>1.29</v>
      </c>
      <c r="I42" s="12">
        <v>0</v>
      </c>
    </row>
    <row r="43" spans="2:9" ht="15" customHeight="1" x14ac:dyDescent="0.2">
      <c r="B43" t="s">
        <v>79</v>
      </c>
      <c r="C43" s="12">
        <v>8</v>
      </c>
      <c r="D43" s="8">
        <v>1.37</v>
      </c>
      <c r="E43" s="12">
        <v>2</v>
      </c>
      <c r="F43" s="8">
        <v>0.56999999999999995</v>
      </c>
      <c r="G43" s="12">
        <v>6</v>
      </c>
      <c r="H43" s="8">
        <v>2.59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120</v>
      </c>
      <c r="C47" s="12">
        <v>36</v>
      </c>
      <c r="D47" s="8">
        <v>6.14</v>
      </c>
      <c r="E47" s="12">
        <v>29</v>
      </c>
      <c r="F47" s="8">
        <v>8.26</v>
      </c>
      <c r="G47" s="12">
        <v>7</v>
      </c>
      <c r="H47" s="8">
        <v>3.02</v>
      </c>
      <c r="I47" s="12">
        <v>0</v>
      </c>
    </row>
    <row r="48" spans="2:9" ht="15" customHeight="1" x14ac:dyDescent="0.2">
      <c r="B48" t="s">
        <v>133</v>
      </c>
      <c r="C48" s="12">
        <v>26</v>
      </c>
      <c r="D48" s="8">
        <v>4.4400000000000004</v>
      </c>
      <c r="E48" s="12">
        <v>26</v>
      </c>
      <c r="F48" s="8">
        <v>7.41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137</v>
      </c>
      <c r="C49" s="12">
        <v>25</v>
      </c>
      <c r="D49" s="8">
        <v>4.2699999999999996</v>
      </c>
      <c r="E49" s="12">
        <v>22</v>
      </c>
      <c r="F49" s="8">
        <v>6.27</v>
      </c>
      <c r="G49" s="12">
        <v>3</v>
      </c>
      <c r="H49" s="8">
        <v>1.29</v>
      </c>
      <c r="I49" s="12">
        <v>0</v>
      </c>
    </row>
    <row r="50" spans="2:9" ht="15" customHeight="1" x14ac:dyDescent="0.2">
      <c r="B50" t="s">
        <v>146</v>
      </c>
      <c r="C50" s="12">
        <v>23</v>
      </c>
      <c r="D50" s="8">
        <v>3.92</v>
      </c>
      <c r="E50" s="12">
        <v>13</v>
      </c>
      <c r="F50" s="8">
        <v>3.7</v>
      </c>
      <c r="G50" s="12">
        <v>10</v>
      </c>
      <c r="H50" s="8">
        <v>4.3099999999999996</v>
      </c>
      <c r="I50" s="12">
        <v>0</v>
      </c>
    </row>
    <row r="51" spans="2:9" ht="15" customHeight="1" x14ac:dyDescent="0.2">
      <c r="B51" t="s">
        <v>121</v>
      </c>
      <c r="C51" s="12">
        <v>21</v>
      </c>
      <c r="D51" s="8">
        <v>3.58</v>
      </c>
      <c r="E51" s="12">
        <v>8</v>
      </c>
      <c r="F51" s="8">
        <v>2.2799999999999998</v>
      </c>
      <c r="G51" s="12">
        <v>13</v>
      </c>
      <c r="H51" s="8">
        <v>5.6</v>
      </c>
      <c r="I51" s="12">
        <v>0</v>
      </c>
    </row>
    <row r="52" spans="2:9" ht="15" customHeight="1" x14ac:dyDescent="0.2">
      <c r="B52" t="s">
        <v>126</v>
      </c>
      <c r="C52" s="12">
        <v>21</v>
      </c>
      <c r="D52" s="8">
        <v>3.58</v>
      </c>
      <c r="E52" s="12">
        <v>12</v>
      </c>
      <c r="F52" s="8">
        <v>3.42</v>
      </c>
      <c r="G52" s="12">
        <v>9</v>
      </c>
      <c r="H52" s="8">
        <v>3.88</v>
      </c>
      <c r="I52" s="12">
        <v>0</v>
      </c>
    </row>
    <row r="53" spans="2:9" ht="15" customHeight="1" x14ac:dyDescent="0.2">
      <c r="B53" t="s">
        <v>153</v>
      </c>
      <c r="C53" s="12">
        <v>20</v>
      </c>
      <c r="D53" s="8">
        <v>3.41</v>
      </c>
      <c r="E53" s="12">
        <v>2</v>
      </c>
      <c r="F53" s="8">
        <v>0.56999999999999995</v>
      </c>
      <c r="G53" s="12">
        <v>18</v>
      </c>
      <c r="H53" s="8">
        <v>7.76</v>
      </c>
      <c r="I53" s="12">
        <v>0</v>
      </c>
    </row>
    <row r="54" spans="2:9" ht="15" customHeight="1" x14ac:dyDescent="0.2">
      <c r="B54" t="s">
        <v>134</v>
      </c>
      <c r="C54" s="12">
        <v>20</v>
      </c>
      <c r="D54" s="8">
        <v>3.41</v>
      </c>
      <c r="E54" s="12">
        <v>19</v>
      </c>
      <c r="F54" s="8">
        <v>5.41</v>
      </c>
      <c r="G54" s="12">
        <v>1</v>
      </c>
      <c r="H54" s="8">
        <v>0.43</v>
      </c>
      <c r="I54" s="12">
        <v>0</v>
      </c>
    </row>
    <row r="55" spans="2:9" ht="15" customHeight="1" x14ac:dyDescent="0.2">
      <c r="B55" t="s">
        <v>145</v>
      </c>
      <c r="C55" s="12">
        <v>19</v>
      </c>
      <c r="D55" s="8">
        <v>3.24</v>
      </c>
      <c r="E55" s="12">
        <v>14</v>
      </c>
      <c r="F55" s="8">
        <v>3.99</v>
      </c>
      <c r="G55" s="12">
        <v>5</v>
      </c>
      <c r="H55" s="8">
        <v>2.16</v>
      </c>
      <c r="I55" s="12">
        <v>0</v>
      </c>
    </row>
    <row r="56" spans="2:9" ht="15" customHeight="1" x14ac:dyDescent="0.2">
      <c r="B56" t="s">
        <v>119</v>
      </c>
      <c r="C56" s="12">
        <v>13</v>
      </c>
      <c r="D56" s="8">
        <v>2.2200000000000002</v>
      </c>
      <c r="E56" s="12">
        <v>7</v>
      </c>
      <c r="F56" s="8">
        <v>1.99</v>
      </c>
      <c r="G56" s="12">
        <v>6</v>
      </c>
      <c r="H56" s="8">
        <v>2.59</v>
      </c>
      <c r="I56" s="12">
        <v>0</v>
      </c>
    </row>
    <row r="57" spans="2:9" ht="15" customHeight="1" x14ac:dyDescent="0.2">
      <c r="B57" t="s">
        <v>168</v>
      </c>
      <c r="C57" s="12">
        <v>13</v>
      </c>
      <c r="D57" s="8">
        <v>2.2200000000000002</v>
      </c>
      <c r="E57" s="12">
        <v>7</v>
      </c>
      <c r="F57" s="8">
        <v>1.99</v>
      </c>
      <c r="G57" s="12">
        <v>6</v>
      </c>
      <c r="H57" s="8">
        <v>2.59</v>
      </c>
      <c r="I57" s="12">
        <v>0</v>
      </c>
    </row>
    <row r="58" spans="2:9" ht="15" customHeight="1" x14ac:dyDescent="0.2">
      <c r="B58" t="s">
        <v>124</v>
      </c>
      <c r="C58" s="12">
        <v>11</v>
      </c>
      <c r="D58" s="8">
        <v>1.88</v>
      </c>
      <c r="E58" s="12">
        <v>5</v>
      </c>
      <c r="F58" s="8">
        <v>1.42</v>
      </c>
      <c r="G58" s="12">
        <v>6</v>
      </c>
      <c r="H58" s="8">
        <v>2.59</v>
      </c>
      <c r="I58" s="12">
        <v>0</v>
      </c>
    </row>
    <row r="59" spans="2:9" ht="15" customHeight="1" x14ac:dyDescent="0.2">
      <c r="B59" t="s">
        <v>118</v>
      </c>
      <c r="C59" s="12">
        <v>9</v>
      </c>
      <c r="D59" s="8">
        <v>1.54</v>
      </c>
      <c r="E59" s="12">
        <v>3</v>
      </c>
      <c r="F59" s="8">
        <v>0.85</v>
      </c>
      <c r="G59" s="12">
        <v>6</v>
      </c>
      <c r="H59" s="8">
        <v>2.59</v>
      </c>
      <c r="I59" s="12">
        <v>0</v>
      </c>
    </row>
    <row r="60" spans="2:9" ht="15" customHeight="1" x14ac:dyDescent="0.2">
      <c r="B60" t="s">
        <v>122</v>
      </c>
      <c r="C60" s="12">
        <v>9</v>
      </c>
      <c r="D60" s="8">
        <v>1.54</v>
      </c>
      <c r="E60" s="12">
        <v>6</v>
      </c>
      <c r="F60" s="8">
        <v>1.71</v>
      </c>
      <c r="G60" s="12">
        <v>3</v>
      </c>
      <c r="H60" s="8">
        <v>1.29</v>
      </c>
      <c r="I60" s="12">
        <v>0</v>
      </c>
    </row>
    <row r="61" spans="2:9" ht="15" customHeight="1" x14ac:dyDescent="0.2">
      <c r="B61" t="s">
        <v>157</v>
      </c>
      <c r="C61" s="12">
        <v>9</v>
      </c>
      <c r="D61" s="8">
        <v>1.54</v>
      </c>
      <c r="E61" s="12">
        <v>7</v>
      </c>
      <c r="F61" s="8">
        <v>1.99</v>
      </c>
      <c r="G61" s="12">
        <v>2</v>
      </c>
      <c r="H61" s="8">
        <v>0.86</v>
      </c>
      <c r="I61" s="12">
        <v>0</v>
      </c>
    </row>
    <row r="62" spans="2:9" ht="15" customHeight="1" x14ac:dyDescent="0.2">
      <c r="B62" t="s">
        <v>167</v>
      </c>
      <c r="C62" s="12">
        <v>8</v>
      </c>
      <c r="D62" s="8">
        <v>1.37</v>
      </c>
      <c r="E62" s="12">
        <v>6</v>
      </c>
      <c r="F62" s="8">
        <v>1.71</v>
      </c>
      <c r="G62" s="12">
        <v>2</v>
      </c>
      <c r="H62" s="8">
        <v>0.86</v>
      </c>
      <c r="I62" s="12">
        <v>0</v>
      </c>
    </row>
    <row r="63" spans="2:9" ht="15" customHeight="1" x14ac:dyDescent="0.2">
      <c r="B63" t="s">
        <v>151</v>
      </c>
      <c r="C63" s="12">
        <v>7</v>
      </c>
      <c r="D63" s="8">
        <v>1.19</v>
      </c>
      <c r="E63" s="12">
        <v>3</v>
      </c>
      <c r="F63" s="8">
        <v>0.85</v>
      </c>
      <c r="G63" s="12">
        <v>4</v>
      </c>
      <c r="H63" s="8">
        <v>1.72</v>
      </c>
      <c r="I63" s="12">
        <v>0</v>
      </c>
    </row>
    <row r="64" spans="2:9" ht="15" customHeight="1" x14ac:dyDescent="0.2">
      <c r="B64" t="s">
        <v>166</v>
      </c>
      <c r="C64" s="12">
        <v>7</v>
      </c>
      <c r="D64" s="8">
        <v>1.19</v>
      </c>
      <c r="E64" s="12">
        <v>4</v>
      </c>
      <c r="F64" s="8">
        <v>1.1399999999999999</v>
      </c>
      <c r="G64" s="12">
        <v>3</v>
      </c>
      <c r="H64" s="8">
        <v>1.29</v>
      </c>
      <c r="I64" s="12">
        <v>0</v>
      </c>
    </row>
    <row r="65" spans="2:9" ht="15" customHeight="1" x14ac:dyDescent="0.2">
      <c r="B65" t="s">
        <v>190</v>
      </c>
      <c r="C65" s="12">
        <v>7</v>
      </c>
      <c r="D65" s="8">
        <v>1.19</v>
      </c>
      <c r="E65" s="12">
        <v>7</v>
      </c>
      <c r="F65" s="8">
        <v>1.99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130</v>
      </c>
      <c r="C66" s="12">
        <v>7</v>
      </c>
      <c r="D66" s="8">
        <v>1.19</v>
      </c>
      <c r="E66" s="12">
        <v>5</v>
      </c>
      <c r="F66" s="8">
        <v>1.42</v>
      </c>
      <c r="G66" s="12">
        <v>2</v>
      </c>
      <c r="H66" s="8">
        <v>0.86</v>
      </c>
      <c r="I66" s="12">
        <v>0</v>
      </c>
    </row>
    <row r="67" spans="2:9" ht="15" customHeight="1" x14ac:dyDescent="0.2">
      <c r="B67" t="s">
        <v>132</v>
      </c>
      <c r="C67" s="12">
        <v>7</v>
      </c>
      <c r="D67" s="8">
        <v>1.19</v>
      </c>
      <c r="E67" s="12">
        <v>7</v>
      </c>
      <c r="F67" s="8">
        <v>1.99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136</v>
      </c>
      <c r="C68" s="12">
        <v>7</v>
      </c>
      <c r="D68" s="8">
        <v>1.19</v>
      </c>
      <c r="E68" s="12">
        <v>7</v>
      </c>
      <c r="F68" s="8">
        <v>1.99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378D-2A64-4BD9-981A-07474142D99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87</v>
      </c>
      <c r="D6" s="8">
        <v>37.659999999999997</v>
      </c>
      <c r="E6" s="12">
        <v>36</v>
      </c>
      <c r="F6" s="8">
        <v>34.950000000000003</v>
      </c>
      <c r="G6" s="12">
        <v>51</v>
      </c>
      <c r="H6" s="8">
        <v>41.46</v>
      </c>
      <c r="I6" s="12">
        <v>0</v>
      </c>
    </row>
    <row r="7" spans="2:9" ht="15" customHeight="1" x14ac:dyDescent="0.2">
      <c r="B7" t="s">
        <v>47</v>
      </c>
      <c r="C7" s="12">
        <v>24</v>
      </c>
      <c r="D7" s="8">
        <v>10.39</v>
      </c>
      <c r="E7" s="12">
        <v>9</v>
      </c>
      <c r="F7" s="8">
        <v>8.74</v>
      </c>
      <c r="G7" s="12">
        <v>15</v>
      </c>
      <c r="H7" s="8">
        <v>12.2</v>
      </c>
      <c r="I7" s="12">
        <v>0</v>
      </c>
    </row>
    <row r="8" spans="2:9" ht="15" customHeight="1" x14ac:dyDescent="0.2">
      <c r="B8" t="s">
        <v>48</v>
      </c>
      <c r="C8" s="12">
        <v>2</v>
      </c>
      <c r="D8" s="8">
        <v>0.87</v>
      </c>
      <c r="E8" s="12">
        <v>0</v>
      </c>
      <c r="F8" s="8">
        <v>0</v>
      </c>
      <c r="G8" s="12">
        <v>1</v>
      </c>
      <c r="H8" s="8">
        <v>0.81</v>
      </c>
      <c r="I8" s="12">
        <v>0</v>
      </c>
    </row>
    <row r="9" spans="2:9" ht="15" customHeight="1" x14ac:dyDescent="0.2">
      <c r="B9" t="s">
        <v>49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50</v>
      </c>
      <c r="C10" s="12">
        <v>8</v>
      </c>
      <c r="D10" s="8">
        <v>3.46</v>
      </c>
      <c r="E10" s="12">
        <v>1</v>
      </c>
      <c r="F10" s="8">
        <v>0.97</v>
      </c>
      <c r="G10" s="12">
        <v>7</v>
      </c>
      <c r="H10" s="8">
        <v>5.69</v>
      </c>
      <c r="I10" s="12">
        <v>0</v>
      </c>
    </row>
    <row r="11" spans="2:9" ht="15" customHeight="1" x14ac:dyDescent="0.2">
      <c r="B11" t="s">
        <v>51</v>
      </c>
      <c r="C11" s="12">
        <v>32</v>
      </c>
      <c r="D11" s="8">
        <v>13.85</v>
      </c>
      <c r="E11" s="12">
        <v>12</v>
      </c>
      <c r="F11" s="8">
        <v>11.65</v>
      </c>
      <c r="G11" s="12">
        <v>20</v>
      </c>
      <c r="H11" s="8">
        <v>16.260000000000002</v>
      </c>
      <c r="I11" s="12">
        <v>0</v>
      </c>
    </row>
    <row r="12" spans="2:9" ht="15" customHeight="1" x14ac:dyDescent="0.2">
      <c r="B12" t="s">
        <v>52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53</v>
      </c>
      <c r="C13" s="12">
        <v>8</v>
      </c>
      <c r="D13" s="8">
        <v>3.46</v>
      </c>
      <c r="E13" s="12">
        <v>1</v>
      </c>
      <c r="F13" s="8">
        <v>0.97</v>
      </c>
      <c r="G13" s="12">
        <v>7</v>
      </c>
      <c r="H13" s="8">
        <v>5.69</v>
      </c>
      <c r="I13" s="12">
        <v>0</v>
      </c>
    </row>
    <row r="14" spans="2:9" ht="15" customHeight="1" x14ac:dyDescent="0.2">
      <c r="B14" t="s">
        <v>54</v>
      </c>
      <c r="C14" s="12">
        <v>11</v>
      </c>
      <c r="D14" s="8">
        <v>4.76</v>
      </c>
      <c r="E14" s="12">
        <v>4</v>
      </c>
      <c r="F14" s="8">
        <v>3.88</v>
      </c>
      <c r="G14" s="12">
        <v>7</v>
      </c>
      <c r="H14" s="8">
        <v>5.69</v>
      </c>
      <c r="I14" s="12">
        <v>0</v>
      </c>
    </row>
    <row r="15" spans="2:9" ht="15" customHeight="1" x14ac:dyDescent="0.2">
      <c r="B15" t="s">
        <v>55</v>
      </c>
      <c r="C15" s="12">
        <v>17</v>
      </c>
      <c r="D15" s="8">
        <v>7.36</v>
      </c>
      <c r="E15" s="12">
        <v>12</v>
      </c>
      <c r="F15" s="8">
        <v>11.65</v>
      </c>
      <c r="G15" s="12">
        <v>5</v>
      </c>
      <c r="H15" s="8">
        <v>4.07</v>
      </c>
      <c r="I15" s="12">
        <v>0</v>
      </c>
    </row>
    <row r="16" spans="2:9" ht="15" customHeight="1" x14ac:dyDescent="0.2">
      <c r="B16" t="s">
        <v>56</v>
      </c>
      <c r="C16" s="12">
        <v>18</v>
      </c>
      <c r="D16" s="8">
        <v>7.79</v>
      </c>
      <c r="E16" s="12">
        <v>16</v>
      </c>
      <c r="F16" s="8">
        <v>15.53</v>
      </c>
      <c r="G16" s="12">
        <v>1</v>
      </c>
      <c r="H16" s="8">
        <v>0.81</v>
      </c>
      <c r="I16" s="12">
        <v>0</v>
      </c>
    </row>
    <row r="17" spans="2:9" ht="15" customHeight="1" x14ac:dyDescent="0.2">
      <c r="B17" t="s">
        <v>57</v>
      </c>
      <c r="C17" s="12">
        <v>6</v>
      </c>
      <c r="D17" s="8">
        <v>2.6</v>
      </c>
      <c r="E17" s="12">
        <v>5</v>
      </c>
      <c r="F17" s="8">
        <v>4.8499999999999996</v>
      </c>
      <c r="G17" s="12">
        <v>1</v>
      </c>
      <c r="H17" s="8">
        <v>0.81</v>
      </c>
      <c r="I17" s="12">
        <v>0</v>
      </c>
    </row>
    <row r="18" spans="2:9" ht="15" customHeight="1" x14ac:dyDescent="0.2">
      <c r="B18" t="s">
        <v>58</v>
      </c>
      <c r="C18" s="12">
        <v>10</v>
      </c>
      <c r="D18" s="8">
        <v>4.33</v>
      </c>
      <c r="E18" s="12">
        <v>3</v>
      </c>
      <c r="F18" s="8">
        <v>2.91</v>
      </c>
      <c r="G18" s="12">
        <v>4</v>
      </c>
      <c r="H18" s="8">
        <v>3.25</v>
      </c>
      <c r="I18" s="12">
        <v>0</v>
      </c>
    </row>
    <row r="19" spans="2:9" ht="15" customHeight="1" x14ac:dyDescent="0.2">
      <c r="B19" t="s">
        <v>59</v>
      </c>
      <c r="C19" s="12">
        <v>8</v>
      </c>
      <c r="D19" s="8">
        <v>3.46</v>
      </c>
      <c r="E19" s="12">
        <v>4</v>
      </c>
      <c r="F19" s="8">
        <v>3.88</v>
      </c>
      <c r="G19" s="12">
        <v>4</v>
      </c>
      <c r="H19" s="8">
        <v>3.25</v>
      </c>
      <c r="I19" s="12">
        <v>0</v>
      </c>
    </row>
    <row r="20" spans="2:9" ht="15" customHeight="1" x14ac:dyDescent="0.2">
      <c r="B20" s="9" t="s">
        <v>195</v>
      </c>
      <c r="C20" s="12">
        <f>SUM(LTBL_08542[総数／事業所数])</f>
        <v>231</v>
      </c>
      <c r="E20" s="12">
        <f>SUBTOTAL(109,LTBL_08542[個人／事業所数])</f>
        <v>103</v>
      </c>
      <c r="G20" s="12">
        <f>SUBTOTAL(109,LTBL_08542[法人／事業所数])</f>
        <v>123</v>
      </c>
      <c r="I20" s="12">
        <f>SUBTOTAL(109,LTBL_08542[法人以外の団体／事業所数])</f>
        <v>0</v>
      </c>
    </row>
    <row r="21" spans="2:9" ht="15" customHeight="1" x14ac:dyDescent="0.2">
      <c r="E21" s="11">
        <f>LTBL_08542[[#Totals],[個人／事業所数]]/LTBL_08542[[#Totals],[総数／事業所数]]</f>
        <v>0.44588744588744589</v>
      </c>
      <c r="G21" s="11">
        <f>LTBL_08542[[#Totals],[法人／事業所数]]/LTBL_08542[[#Totals],[総数／事業所数]]</f>
        <v>0.53246753246753242</v>
      </c>
      <c r="I21" s="11">
        <f>LTBL_08542[[#Totals],[法人以外の団体／事業所数]]/LTBL_08542[[#Totals],[総数／事業所数]]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68</v>
      </c>
      <c r="C24" s="12">
        <v>38</v>
      </c>
      <c r="D24" s="8">
        <v>16.45</v>
      </c>
      <c r="E24" s="12">
        <v>17</v>
      </c>
      <c r="F24" s="8">
        <v>16.5</v>
      </c>
      <c r="G24" s="12">
        <v>21</v>
      </c>
      <c r="H24" s="8">
        <v>17.07</v>
      </c>
      <c r="I24" s="12">
        <v>0</v>
      </c>
    </row>
    <row r="25" spans="2:9" ht="15" customHeight="1" x14ac:dyDescent="0.2">
      <c r="B25" t="s">
        <v>69</v>
      </c>
      <c r="C25" s="12">
        <v>32</v>
      </c>
      <c r="D25" s="8">
        <v>13.85</v>
      </c>
      <c r="E25" s="12">
        <v>11</v>
      </c>
      <c r="F25" s="8">
        <v>10.68</v>
      </c>
      <c r="G25" s="12">
        <v>21</v>
      </c>
      <c r="H25" s="8">
        <v>17.07</v>
      </c>
      <c r="I25" s="12">
        <v>0</v>
      </c>
    </row>
    <row r="26" spans="2:9" ht="15" customHeight="1" x14ac:dyDescent="0.2">
      <c r="B26" t="s">
        <v>70</v>
      </c>
      <c r="C26" s="12">
        <v>17</v>
      </c>
      <c r="D26" s="8">
        <v>7.36</v>
      </c>
      <c r="E26" s="12">
        <v>8</v>
      </c>
      <c r="F26" s="8">
        <v>7.77</v>
      </c>
      <c r="G26" s="12">
        <v>9</v>
      </c>
      <c r="H26" s="8">
        <v>7.32</v>
      </c>
      <c r="I26" s="12">
        <v>0</v>
      </c>
    </row>
    <row r="27" spans="2:9" ht="15" customHeight="1" x14ac:dyDescent="0.2">
      <c r="B27" t="s">
        <v>82</v>
      </c>
      <c r="C27" s="12">
        <v>16</v>
      </c>
      <c r="D27" s="8">
        <v>6.93</v>
      </c>
      <c r="E27" s="12">
        <v>12</v>
      </c>
      <c r="F27" s="8">
        <v>11.65</v>
      </c>
      <c r="G27" s="12">
        <v>4</v>
      </c>
      <c r="H27" s="8">
        <v>3.25</v>
      </c>
      <c r="I27" s="12">
        <v>0</v>
      </c>
    </row>
    <row r="28" spans="2:9" ht="15" customHeight="1" x14ac:dyDescent="0.2">
      <c r="B28" t="s">
        <v>83</v>
      </c>
      <c r="C28" s="12">
        <v>16</v>
      </c>
      <c r="D28" s="8">
        <v>6.93</v>
      </c>
      <c r="E28" s="12">
        <v>16</v>
      </c>
      <c r="F28" s="8">
        <v>15.53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77</v>
      </c>
      <c r="C29" s="12">
        <v>9</v>
      </c>
      <c r="D29" s="8">
        <v>3.9</v>
      </c>
      <c r="E29" s="12">
        <v>2</v>
      </c>
      <c r="F29" s="8">
        <v>1.94</v>
      </c>
      <c r="G29" s="12">
        <v>7</v>
      </c>
      <c r="H29" s="8">
        <v>5.69</v>
      </c>
      <c r="I29" s="12">
        <v>0</v>
      </c>
    </row>
    <row r="30" spans="2:9" ht="15" customHeight="1" x14ac:dyDescent="0.2">
      <c r="B30" t="s">
        <v>81</v>
      </c>
      <c r="C30" s="12">
        <v>8</v>
      </c>
      <c r="D30" s="8">
        <v>3.46</v>
      </c>
      <c r="E30" s="12">
        <v>2</v>
      </c>
      <c r="F30" s="8">
        <v>1.94</v>
      </c>
      <c r="G30" s="12">
        <v>6</v>
      </c>
      <c r="H30" s="8">
        <v>4.88</v>
      </c>
      <c r="I30" s="12">
        <v>0</v>
      </c>
    </row>
    <row r="31" spans="2:9" ht="15" customHeight="1" x14ac:dyDescent="0.2">
      <c r="B31" t="s">
        <v>75</v>
      </c>
      <c r="C31" s="12">
        <v>7</v>
      </c>
      <c r="D31" s="8">
        <v>3.03</v>
      </c>
      <c r="E31" s="12">
        <v>5</v>
      </c>
      <c r="F31" s="8">
        <v>4.8499999999999996</v>
      </c>
      <c r="G31" s="12">
        <v>2</v>
      </c>
      <c r="H31" s="8">
        <v>1.63</v>
      </c>
      <c r="I31" s="12">
        <v>0</v>
      </c>
    </row>
    <row r="32" spans="2:9" ht="15" customHeight="1" x14ac:dyDescent="0.2">
      <c r="B32" t="s">
        <v>76</v>
      </c>
      <c r="C32" s="12">
        <v>7</v>
      </c>
      <c r="D32" s="8">
        <v>3.03</v>
      </c>
      <c r="E32" s="12">
        <v>5</v>
      </c>
      <c r="F32" s="8">
        <v>4.8499999999999996</v>
      </c>
      <c r="G32" s="12">
        <v>2</v>
      </c>
      <c r="H32" s="8">
        <v>1.63</v>
      </c>
      <c r="I32" s="12">
        <v>0</v>
      </c>
    </row>
    <row r="33" spans="2:9" ht="15" customHeight="1" x14ac:dyDescent="0.2">
      <c r="B33" t="s">
        <v>71</v>
      </c>
      <c r="C33" s="12">
        <v>6</v>
      </c>
      <c r="D33" s="8">
        <v>2.6</v>
      </c>
      <c r="E33" s="12">
        <v>4</v>
      </c>
      <c r="F33" s="8">
        <v>3.88</v>
      </c>
      <c r="G33" s="12">
        <v>2</v>
      </c>
      <c r="H33" s="8">
        <v>1.63</v>
      </c>
      <c r="I33" s="12">
        <v>0</v>
      </c>
    </row>
    <row r="34" spans="2:9" ht="15" customHeight="1" x14ac:dyDescent="0.2">
      <c r="B34" t="s">
        <v>85</v>
      </c>
      <c r="C34" s="12">
        <v>6</v>
      </c>
      <c r="D34" s="8">
        <v>2.6</v>
      </c>
      <c r="E34" s="12">
        <v>5</v>
      </c>
      <c r="F34" s="8">
        <v>4.8499999999999996</v>
      </c>
      <c r="G34" s="12">
        <v>1</v>
      </c>
      <c r="H34" s="8">
        <v>0.81</v>
      </c>
      <c r="I34" s="12">
        <v>0</v>
      </c>
    </row>
    <row r="35" spans="2:9" ht="15" customHeight="1" x14ac:dyDescent="0.2">
      <c r="B35" t="s">
        <v>96</v>
      </c>
      <c r="C35" s="12">
        <v>6</v>
      </c>
      <c r="D35" s="8">
        <v>2.6</v>
      </c>
      <c r="E35" s="12">
        <v>0</v>
      </c>
      <c r="F35" s="8">
        <v>0</v>
      </c>
      <c r="G35" s="12">
        <v>3</v>
      </c>
      <c r="H35" s="8">
        <v>2.44</v>
      </c>
      <c r="I35" s="12">
        <v>0</v>
      </c>
    </row>
    <row r="36" spans="2:9" ht="15" customHeight="1" x14ac:dyDescent="0.2">
      <c r="B36" t="s">
        <v>87</v>
      </c>
      <c r="C36" s="12">
        <v>6</v>
      </c>
      <c r="D36" s="8">
        <v>2.6</v>
      </c>
      <c r="E36" s="12">
        <v>4</v>
      </c>
      <c r="F36" s="8">
        <v>3.88</v>
      </c>
      <c r="G36" s="12">
        <v>2</v>
      </c>
      <c r="H36" s="8">
        <v>1.63</v>
      </c>
      <c r="I36" s="12">
        <v>0</v>
      </c>
    </row>
    <row r="37" spans="2:9" ht="15" customHeight="1" x14ac:dyDescent="0.2">
      <c r="B37" t="s">
        <v>72</v>
      </c>
      <c r="C37" s="12">
        <v>5</v>
      </c>
      <c r="D37" s="8">
        <v>2.16</v>
      </c>
      <c r="E37" s="12">
        <v>0</v>
      </c>
      <c r="F37" s="8">
        <v>0</v>
      </c>
      <c r="G37" s="12">
        <v>5</v>
      </c>
      <c r="H37" s="8">
        <v>4.07</v>
      </c>
      <c r="I37" s="12">
        <v>0</v>
      </c>
    </row>
    <row r="38" spans="2:9" ht="15" customHeight="1" x14ac:dyDescent="0.2">
      <c r="B38" t="s">
        <v>91</v>
      </c>
      <c r="C38" s="12">
        <v>4</v>
      </c>
      <c r="D38" s="8">
        <v>1.73</v>
      </c>
      <c r="E38" s="12">
        <v>2</v>
      </c>
      <c r="F38" s="8">
        <v>1.94</v>
      </c>
      <c r="G38" s="12">
        <v>2</v>
      </c>
      <c r="H38" s="8">
        <v>1.63</v>
      </c>
      <c r="I38" s="12">
        <v>0</v>
      </c>
    </row>
    <row r="39" spans="2:9" ht="15" customHeight="1" x14ac:dyDescent="0.2">
      <c r="B39" t="s">
        <v>92</v>
      </c>
      <c r="C39" s="12">
        <v>4</v>
      </c>
      <c r="D39" s="8">
        <v>1.73</v>
      </c>
      <c r="E39" s="12">
        <v>2</v>
      </c>
      <c r="F39" s="8">
        <v>1.94</v>
      </c>
      <c r="G39" s="12">
        <v>2</v>
      </c>
      <c r="H39" s="8">
        <v>1.63</v>
      </c>
      <c r="I39" s="12">
        <v>0</v>
      </c>
    </row>
    <row r="40" spans="2:9" ht="15" customHeight="1" x14ac:dyDescent="0.2">
      <c r="B40" t="s">
        <v>107</v>
      </c>
      <c r="C40" s="12">
        <v>4</v>
      </c>
      <c r="D40" s="8">
        <v>1.73</v>
      </c>
      <c r="E40" s="12">
        <v>0</v>
      </c>
      <c r="F40" s="8">
        <v>0</v>
      </c>
      <c r="G40" s="12">
        <v>4</v>
      </c>
      <c r="H40" s="8">
        <v>3.25</v>
      </c>
      <c r="I40" s="12">
        <v>0</v>
      </c>
    </row>
    <row r="41" spans="2:9" ht="15" customHeight="1" x14ac:dyDescent="0.2">
      <c r="B41" t="s">
        <v>86</v>
      </c>
      <c r="C41" s="12">
        <v>4</v>
      </c>
      <c r="D41" s="8">
        <v>1.73</v>
      </c>
      <c r="E41" s="12">
        <v>3</v>
      </c>
      <c r="F41" s="8">
        <v>2.91</v>
      </c>
      <c r="G41" s="12">
        <v>1</v>
      </c>
      <c r="H41" s="8">
        <v>0.81</v>
      </c>
      <c r="I41" s="12">
        <v>0</v>
      </c>
    </row>
    <row r="42" spans="2:9" ht="15" customHeight="1" x14ac:dyDescent="0.2">
      <c r="B42" t="s">
        <v>78</v>
      </c>
      <c r="C42" s="12">
        <v>3</v>
      </c>
      <c r="D42" s="8">
        <v>1.3</v>
      </c>
      <c r="E42" s="12">
        <v>1</v>
      </c>
      <c r="F42" s="8">
        <v>0.97</v>
      </c>
      <c r="G42" s="12">
        <v>2</v>
      </c>
      <c r="H42" s="8">
        <v>1.63</v>
      </c>
      <c r="I42" s="12">
        <v>0</v>
      </c>
    </row>
    <row r="43" spans="2:9" ht="15" customHeight="1" x14ac:dyDescent="0.2">
      <c r="B43" t="s">
        <v>79</v>
      </c>
      <c r="C43" s="12">
        <v>3</v>
      </c>
      <c r="D43" s="8">
        <v>1.3</v>
      </c>
      <c r="E43" s="12">
        <v>0</v>
      </c>
      <c r="F43" s="8">
        <v>0</v>
      </c>
      <c r="G43" s="12">
        <v>3</v>
      </c>
      <c r="H43" s="8">
        <v>2.44</v>
      </c>
      <c r="I43" s="12">
        <v>0</v>
      </c>
    </row>
    <row r="44" spans="2:9" ht="15" customHeight="1" x14ac:dyDescent="0.2">
      <c r="B44" t="s">
        <v>80</v>
      </c>
      <c r="C44" s="12">
        <v>3</v>
      </c>
      <c r="D44" s="8">
        <v>1.3</v>
      </c>
      <c r="E44" s="12">
        <v>2</v>
      </c>
      <c r="F44" s="8">
        <v>1.94</v>
      </c>
      <c r="G44" s="12">
        <v>1</v>
      </c>
      <c r="H44" s="8">
        <v>0.81</v>
      </c>
      <c r="I44" s="12">
        <v>0</v>
      </c>
    </row>
    <row r="47" spans="2:9" ht="33" customHeight="1" x14ac:dyDescent="0.2">
      <c r="B47" t="s">
        <v>197</v>
      </c>
      <c r="C47" s="10" t="s">
        <v>61</v>
      </c>
      <c r="D47" s="10" t="s">
        <v>62</v>
      </c>
      <c r="E47" s="10" t="s">
        <v>63</v>
      </c>
      <c r="F47" s="10" t="s">
        <v>64</v>
      </c>
      <c r="G47" s="10" t="s">
        <v>65</v>
      </c>
      <c r="H47" s="10" t="s">
        <v>66</v>
      </c>
      <c r="I47" s="10" t="s">
        <v>67</v>
      </c>
    </row>
    <row r="48" spans="2:9" ht="15" customHeight="1" x14ac:dyDescent="0.2">
      <c r="B48" t="s">
        <v>120</v>
      </c>
      <c r="C48" s="12">
        <v>21</v>
      </c>
      <c r="D48" s="8">
        <v>9.09</v>
      </c>
      <c r="E48" s="12">
        <v>13</v>
      </c>
      <c r="F48" s="8">
        <v>12.62</v>
      </c>
      <c r="G48" s="12">
        <v>8</v>
      </c>
      <c r="H48" s="8">
        <v>6.5</v>
      </c>
      <c r="I48" s="12">
        <v>0</v>
      </c>
    </row>
    <row r="49" spans="2:9" ht="15" customHeight="1" x14ac:dyDescent="0.2">
      <c r="B49" t="s">
        <v>146</v>
      </c>
      <c r="C49" s="12">
        <v>13</v>
      </c>
      <c r="D49" s="8">
        <v>5.63</v>
      </c>
      <c r="E49" s="12">
        <v>2</v>
      </c>
      <c r="F49" s="8">
        <v>1.94</v>
      </c>
      <c r="G49" s="12">
        <v>11</v>
      </c>
      <c r="H49" s="8">
        <v>8.94</v>
      </c>
      <c r="I49" s="12">
        <v>0</v>
      </c>
    </row>
    <row r="50" spans="2:9" ht="15" customHeight="1" x14ac:dyDescent="0.2">
      <c r="B50" t="s">
        <v>118</v>
      </c>
      <c r="C50" s="12">
        <v>9</v>
      </c>
      <c r="D50" s="8">
        <v>3.9</v>
      </c>
      <c r="E50" s="12">
        <v>1</v>
      </c>
      <c r="F50" s="8">
        <v>0.97</v>
      </c>
      <c r="G50" s="12">
        <v>8</v>
      </c>
      <c r="H50" s="8">
        <v>6.5</v>
      </c>
      <c r="I50" s="12">
        <v>0</v>
      </c>
    </row>
    <row r="51" spans="2:9" ht="15" customHeight="1" x14ac:dyDescent="0.2">
      <c r="B51" t="s">
        <v>133</v>
      </c>
      <c r="C51" s="12">
        <v>9</v>
      </c>
      <c r="D51" s="8">
        <v>3.9</v>
      </c>
      <c r="E51" s="12">
        <v>9</v>
      </c>
      <c r="F51" s="8">
        <v>8.74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121</v>
      </c>
      <c r="C52" s="12">
        <v>8</v>
      </c>
      <c r="D52" s="8">
        <v>3.46</v>
      </c>
      <c r="E52" s="12">
        <v>4</v>
      </c>
      <c r="F52" s="8">
        <v>3.88</v>
      </c>
      <c r="G52" s="12">
        <v>4</v>
      </c>
      <c r="H52" s="8">
        <v>3.25</v>
      </c>
      <c r="I52" s="12">
        <v>0</v>
      </c>
    </row>
    <row r="53" spans="2:9" ht="15" customHeight="1" x14ac:dyDescent="0.2">
      <c r="B53" t="s">
        <v>122</v>
      </c>
      <c r="C53" s="12">
        <v>8</v>
      </c>
      <c r="D53" s="8">
        <v>3.46</v>
      </c>
      <c r="E53" s="12">
        <v>4</v>
      </c>
      <c r="F53" s="8">
        <v>3.88</v>
      </c>
      <c r="G53" s="12">
        <v>4</v>
      </c>
      <c r="H53" s="8">
        <v>3.25</v>
      </c>
      <c r="I53" s="12">
        <v>0</v>
      </c>
    </row>
    <row r="54" spans="2:9" ht="15" customHeight="1" x14ac:dyDescent="0.2">
      <c r="B54" t="s">
        <v>134</v>
      </c>
      <c r="C54" s="12">
        <v>6</v>
      </c>
      <c r="D54" s="8">
        <v>2.6</v>
      </c>
      <c r="E54" s="12">
        <v>6</v>
      </c>
      <c r="F54" s="8">
        <v>5.83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137</v>
      </c>
      <c r="C55" s="12">
        <v>6</v>
      </c>
      <c r="D55" s="8">
        <v>2.6</v>
      </c>
      <c r="E55" s="12">
        <v>4</v>
      </c>
      <c r="F55" s="8">
        <v>3.88</v>
      </c>
      <c r="G55" s="12">
        <v>2</v>
      </c>
      <c r="H55" s="8">
        <v>1.63</v>
      </c>
      <c r="I55" s="12">
        <v>0</v>
      </c>
    </row>
    <row r="56" spans="2:9" ht="15" customHeight="1" x14ac:dyDescent="0.2">
      <c r="B56" t="s">
        <v>173</v>
      </c>
      <c r="C56" s="12">
        <v>5</v>
      </c>
      <c r="D56" s="8">
        <v>2.16</v>
      </c>
      <c r="E56" s="12">
        <v>2</v>
      </c>
      <c r="F56" s="8">
        <v>1.94</v>
      </c>
      <c r="G56" s="12">
        <v>3</v>
      </c>
      <c r="H56" s="8">
        <v>2.44</v>
      </c>
      <c r="I56" s="12">
        <v>0</v>
      </c>
    </row>
    <row r="57" spans="2:9" ht="15" customHeight="1" x14ac:dyDescent="0.2">
      <c r="B57" t="s">
        <v>150</v>
      </c>
      <c r="C57" s="12">
        <v>5</v>
      </c>
      <c r="D57" s="8">
        <v>2.16</v>
      </c>
      <c r="E57" s="12">
        <v>3</v>
      </c>
      <c r="F57" s="8">
        <v>2.91</v>
      </c>
      <c r="G57" s="12">
        <v>2</v>
      </c>
      <c r="H57" s="8">
        <v>1.63</v>
      </c>
      <c r="I57" s="12">
        <v>0</v>
      </c>
    </row>
    <row r="58" spans="2:9" ht="15" customHeight="1" x14ac:dyDescent="0.2">
      <c r="B58" t="s">
        <v>123</v>
      </c>
      <c r="C58" s="12">
        <v>5</v>
      </c>
      <c r="D58" s="8">
        <v>2.16</v>
      </c>
      <c r="E58" s="12">
        <v>3</v>
      </c>
      <c r="F58" s="8">
        <v>2.91</v>
      </c>
      <c r="G58" s="12">
        <v>2</v>
      </c>
      <c r="H58" s="8">
        <v>1.63</v>
      </c>
      <c r="I58" s="12">
        <v>0</v>
      </c>
    </row>
    <row r="59" spans="2:9" ht="15" customHeight="1" x14ac:dyDescent="0.2">
      <c r="B59" t="s">
        <v>124</v>
      </c>
      <c r="C59" s="12">
        <v>5</v>
      </c>
      <c r="D59" s="8">
        <v>2.16</v>
      </c>
      <c r="E59" s="12">
        <v>4</v>
      </c>
      <c r="F59" s="8">
        <v>3.88</v>
      </c>
      <c r="G59" s="12">
        <v>1</v>
      </c>
      <c r="H59" s="8">
        <v>0.81</v>
      </c>
      <c r="I59" s="12">
        <v>0</v>
      </c>
    </row>
    <row r="60" spans="2:9" ht="15" customHeight="1" x14ac:dyDescent="0.2">
      <c r="B60" t="s">
        <v>130</v>
      </c>
      <c r="C60" s="12">
        <v>5</v>
      </c>
      <c r="D60" s="8">
        <v>2.16</v>
      </c>
      <c r="E60" s="12">
        <v>2</v>
      </c>
      <c r="F60" s="8">
        <v>1.94</v>
      </c>
      <c r="G60" s="12">
        <v>3</v>
      </c>
      <c r="H60" s="8">
        <v>2.44</v>
      </c>
      <c r="I60" s="12">
        <v>0</v>
      </c>
    </row>
    <row r="61" spans="2:9" ht="15" customHeight="1" x14ac:dyDescent="0.2">
      <c r="B61" t="s">
        <v>135</v>
      </c>
      <c r="C61" s="12">
        <v>5</v>
      </c>
      <c r="D61" s="8">
        <v>2.16</v>
      </c>
      <c r="E61" s="12">
        <v>4</v>
      </c>
      <c r="F61" s="8">
        <v>3.88</v>
      </c>
      <c r="G61" s="12">
        <v>1</v>
      </c>
      <c r="H61" s="8">
        <v>0.81</v>
      </c>
      <c r="I61" s="12">
        <v>0</v>
      </c>
    </row>
    <row r="62" spans="2:9" ht="15" customHeight="1" x14ac:dyDescent="0.2">
      <c r="B62" t="s">
        <v>119</v>
      </c>
      <c r="C62" s="12">
        <v>4</v>
      </c>
      <c r="D62" s="8">
        <v>1.73</v>
      </c>
      <c r="E62" s="12">
        <v>2</v>
      </c>
      <c r="F62" s="8">
        <v>1.94</v>
      </c>
      <c r="G62" s="12">
        <v>2</v>
      </c>
      <c r="H62" s="8">
        <v>1.63</v>
      </c>
      <c r="I62" s="12">
        <v>0</v>
      </c>
    </row>
    <row r="63" spans="2:9" ht="15" customHeight="1" x14ac:dyDescent="0.2">
      <c r="B63" t="s">
        <v>167</v>
      </c>
      <c r="C63" s="12">
        <v>4</v>
      </c>
      <c r="D63" s="8">
        <v>1.73</v>
      </c>
      <c r="E63" s="12">
        <v>3</v>
      </c>
      <c r="F63" s="8">
        <v>2.91</v>
      </c>
      <c r="G63" s="12">
        <v>1</v>
      </c>
      <c r="H63" s="8">
        <v>0.81</v>
      </c>
      <c r="I63" s="12">
        <v>0</v>
      </c>
    </row>
    <row r="64" spans="2:9" ht="15" customHeight="1" x14ac:dyDescent="0.2">
      <c r="B64" t="s">
        <v>177</v>
      </c>
      <c r="C64" s="12">
        <v>4</v>
      </c>
      <c r="D64" s="8">
        <v>1.73</v>
      </c>
      <c r="E64" s="12">
        <v>0</v>
      </c>
      <c r="F64" s="8">
        <v>0</v>
      </c>
      <c r="G64" s="12">
        <v>4</v>
      </c>
      <c r="H64" s="8">
        <v>3.25</v>
      </c>
      <c r="I64" s="12">
        <v>0</v>
      </c>
    </row>
    <row r="65" spans="2:9" ht="15" customHeight="1" x14ac:dyDescent="0.2">
      <c r="B65" t="s">
        <v>131</v>
      </c>
      <c r="C65" s="12">
        <v>4</v>
      </c>
      <c r="D65" s="8">
        <v>1.73</v>
      </c>
      <c r="E65" s="12">
        <v>4</v>
      </c>
      <c r="F65" s="8">
        <v>3.88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148</v>
      </c>
      <c r="C66" s="12">
        <v>4</v>
      </c>
      <c r="D66" s="8">
        <v>1.73</v>
      </c>
      <c r="E66" s="12">
        <v>3</v>
      </c>
      <c r="F66" s="8">
        <v>2.91</v>
      </c>
      <c r="G66" s="12">
        <v>1</v>
      </c>
      <c r="H66" s="8">
        <v>0.81</v>
      </c>
      <c r="I66" s="12">
        <v>0</v>
      </c>
    </row>
    <row r="67" spans="2:9" ht="15" customHeight="1" x14ac:dyDescent="0.2">
      <c r="B67" t="s">
        <v>132</v>
      </c>
      <c r="C67" s="12">
        <v>4</v>
      </c>
      <c r="D67" s="8">
        <v>1.73</v>
      </c>
      <c r="E67" s="12">
        <v>4</v>
      </c>
      <c r="F67" s="8">
        <v>3.88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136</v>
      </c>
      <c r="C68" s="12">
        <v>4</v>
      </c>
      <c r="D68" s="8">
        <v>1.73</v>
      </c>
      <c r="E68" s="12">
        <v>3</v>
      </c>
      <c r="F68" s="8">
        <v>2.91</v>
      </c>
      <c r="G68" s="12">
        <v>1</v>
      </c>
      <c r="H68" s="8">
        <v>0.81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2671-8184-4E6D-B5EC-74F2665E303B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170</v>
      </c>
      <c r="D6" s="8">
        <v>20.36</v>
      </c>
      <c r="E6" s="12">
        <v>93</v>
      </c>
      <c r="F6" s="8">
        <v>18.38</v>
      </c>
      <c r="G6" s="12">
        <v>77</v>
      </c>
      <c r="H6" s="8">
        <v>23.77</v>
      </c>
      <c r="I6" s="12">
        <v>0</v>
      </c>
    </row>
    <row r="7" spans="2:9" ht="15" customHeight="1" x14ac:dyDescent="0.2">
      <c r="B7" t="s">
        <v>47</v>
      </c>
      <c r="C7" s="12">
        <v>125</v>
      </c>
      <c r="D7" s="8">
        <v>14.97</v>
      </c>
      <c r="E7" s="12">
        <v>56</v>
      </c>
      <c r="F7" s="8">
        <v>11.07</v>
      </c>
      <c r="G7" s="12">
        <v>68</v>
      </c>
      <c r="H7" s="8">
        <v>20.99</v>
      </c>
      <c r="I7" s="12">
        <v>1</v>
      </c>
    </row>
    <row r="8" spans="2:9" ht="15" customHeight="1" x14ac:dyDescent="0.2">
      <c r="B8" t="s">
        <v>48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0.31</v>
      </c>
      <c r="I8" s="12">
        <v>0</v>
      </c>
    </row>
    <row r="9" spans="2:9" ht="15" customHeight="1" x14ac:dyDescent="0.2">
      <c r="B9" t="s">
        <v>49</v>
      </c>
      <c r="C9" s="12">
        <v>2</v>
      </c>
      <c r="D9" s="8">
        <v>0.24</v>
      </c>
      <c r="E9" s="12">
        <v>0</v>
      </c>
      <c r="F9" s="8">
        <v>0</v>
      </c>
      <c r="G9" s="12">
        <v>2</v>
      </c>
      <c r="H9" s="8">
        <v>0.62</v>
      </c>
      <c r="I9" s="12">
        <v>0</v>
      </c>
    </row>
    <row r="10" spans="2:9" ht="15" customHeight="1" x14ac:dyDescent="0.2">
      <c r="B10" t="s">
        <v>50</v>
      </c>
      <c r="C10" s="12">
        <v>10</v>
      </c>
      <c r="D10" s="8">
        <v>1.2</v>
      </c>
      <c r="E10" s="12">
        <v>3</v>
      </c>
      <c r="F10" s="8">
        <v>0.59</v>
      </c>
      <c r="G10" s="12">
        <v>7</v>
      </c>
      <c r="H10" s="8">
        <v>2.16</v>
      </c>
      <c r="I10" s="12">
        <v>0</v>
      </c>
    </row>
    <row r="11" spans="2:9" ht="15" customHeight="1" x14ac:dyDescent="0.2">
      <c r="B11" t="s">
        <v>51</v>
      </c>
      <c r="C11" s="12">
        <v>209</v>
      </c>
      <c r="D11" s="8">
        <v>25.03</v>
      </c>
      <c r="E11" s="12">
        <v>136</v>
      </c>
      <c r="F11" s="8">
        <v>26.88</v>
      </c>
      <c r="G11" s="12">
        <v>73</v>
      </c>
      <c r="H11" s="8">
        <v>22.53</v>
      </c>
      <c r="I11" s="12">
        <v>0</v>
      </c>
    </row>
    <row r="12" spans="2:9" ht="15" customHeight="1" x14ac:dyDescent="0.2">
      <c r="B12" t="s">
        <v>52</v>
      </c>
      <c r="C12" s="12">
        <v>2</v>
      </c>
      <c r="D12" s="8">
        <v>0.24</v>
      </c>
      <c r="E12" s="12">
        <v>0</v>
      </c>
      <c r="F12" s="8">
        <v>0</v>
      </c>
      <c r="G12" s="12">
        <v>2</v>
      </c>
      <c r="H12" s="8">
        <v>0.62</v>
      </c>
      <c r="I12" s="12">
        <v>0</v>
      </c>
    </row>
    <row r="13" spans="2:9" ht="15" customHeight="1" x14ac:dyDescent="0.2">
      <c r="B13" t="s">
        <v>53</v>
      </c>
      <c r="C13" s="12">
        <v>45</v>
      </c>
      <c r="D13" s="8">
        <v>5.39</v>
      </c>
      <c r="E13" s="12">
        <v>29</v>
      </c>
      <c r="F13" s="8">
        <v>5.73</v>
      </c>
      <c r="G13" s="12">
        <v>16</v>
      </c>
      <c r="H13" s="8">
        <v>4.9400000000000004</v>
      </c>
      <c r="I13" s="12">
        <v>0</v>
      </c>
    </row>
    <row r="14" spans="2:9" ht="15" customHeight="1" x14ac:dyDescent="0.2">
      <c r="B14" t="s">
        <v>54</v>
      </c>
      <c r="C14" s="12">
        <v>16</v>
      </c>
      <c r="D14" s="8">
        <v>1.92</v>
      </c>
      <c r="E14" s="12">
        <v>11</v>
      </c>
      <c r="F14" s="8">
        <v>2.17</v>
      </c>
      <c r="G14" s="12">
        <v>5</v>
      </c>
      <c r="H14" s="8">
        <v>1.54</v>
      </c>
      <c r="I14" s="12">
        <v>0</v>
      </c>
    </row>
    <row r="15" spans="2:9" ht="15" customHeight="1" x14ac:dyDescent="0.2">
      <c r="B15" t="s">
        <v>55</v>
      </c>
      <c r="C15" s="12">
        <v>84</v>
      </c>
      <c r="D15" s="8">
        <v>10.06</v>
      </c>
      <c r="E15" s="12">
        <v>64</v>
      </c>
      <c r="F15" s="8">
        <v>12.65</v>
      </c>
      <c r="G15" s="12">
        <v>20</v>
      </c>
      <c r="H15" s="8">
        <v>6.17</v>
      </c>
      <c r="I15" s="12">
        <v>0</v>
      </c>
    </row>
    <row r="16" spans="2:9" ht="15" customHeight="1" x14ac:dyDescent="0.2">
      <c r="B16" t="s">
        <v>56</v>
      </c>
      <c r="C16" s="12">
        <v>94</v>
      </c>
      <c r="D16" s="8">
        <v>11.26</v>
      </c>
      <c r="E16" s="12">
        <v>69</v>
      </c>
      <c r="F16" s="8">
        <v>13.64</v>
      </c>
      <c r="G16" s="12">
        <v>24</v>
      </c>
      <c r="H16" s="8">
        <v>7.41</v>
      </c>
      <c r="I16" s="12">
        <v>0</v>
      </c>
    </row>
    <row r="17" spans="2:9" ht="15" customHeight="1" x14ac:dyDescent="0.2">
      <c r="B17" t="s">
        <v>57</v>
      </c>
      <c r="C17" s="12">
        <v>9</v>
      </c>
      <c r="D17" s="8">
        <v>1.08</v>
      </c>
      <c r="E17" s="12">
        <v>5</v>
      </c>
      <c r="F17" s="8">
        <v>0.99</v>
      </c>
      <c r="G17" s="12">
        <v>3</v>
      </c>
      <c r="H17" s="8">
        <v>0.93</v>
      </c>
      <c r="I17" s="12">
        <v>0</v>
      </c>
    </row>
    <row r="18" spans="2:9" ht="15" customHeight="1" x14ac:dyDescent="0.2">
      <c r="B18" t="s">
        <v>58</v>
      </c>
      <c r="C18" s="12">
        <v>24</v>
      </c>
      <c r="D18" s="8">
        <v>2.87</v>
      </c>
      <c r="E18" s="12">
        <v>21</v>
      </c>
      <c r="F18" s="8">
        <v>4.1500000000000004</v>
      </c>
      <c r="G18" s="12">
        <v>3</v>
      </c>
      <c r="H18" s="8">
        <v>0.93</v>
      </c>
      <c r="I18" s="12">
        <v>0</v>
      </c>
    </row>
    <row r="19" spans="2:9" ht="15" customHeight="1" x14ac:dyDescent="0.2">
      <c r="B19" t="s">
        <v>59</v>
      </c>
      <c r="C19" s="12">
        <v>44</v>
      </c>
      <c r="D19" s="8">
        <v>5.27</v>
      </c>
      <c r="E19" s="12">
        <v>19</v>
      </c>
      <c r="F19" s="8">
        <v>3.75</v>
      </c>
      <c r="G19" s="12">
        <v>23</v>
      </c>
      <c r="H19" s="8">
        <v>7.1</v>
      </c>
      <c r="I19" s="12">
        <v>1</v>
      </c>
    </row>
    <row r="20" spans="2:9" ht="15" customHeight="1" x14ac:dyDescent="0.2">
      <c r="B20" s="9" t="s">
        <v>195</v>
      </c>
      <c r="C20" s="12">
        <f>SUM(LTBL_08546[総数／事業所数])</f>
        <v>835</v>
      </c>
      <c r="E20" s="12">
        <f>SUBTOTAL(109,LTBL_08546[個人／事業所数])</f>
        <v>506</v>
      </c>
      <c r="G20" s="12">
        <f>SUBTOTAL(109,LTBL_08546[法人／事業所数])</f>
        <v>324</v>
      </c>
      <c r="I20" s="12">
        <f>SUBTOTAL(109,LTBL_08546[法人以外の団体／事業所数])</f>
        <v>2</v>
      </c>
    </row>
    <row r="21" spans="2:9" ht="15" customHeight="1" x14ac:dyDescent="0.2">
      <c r="E21" s="11">
        <f>LTBL_08546[[#Totals],[個人／事業所数]]/LTBL_08546[[#Totals],[総数／事業所数]]</f>
        <v>0.60598802395209583</v>
      </c>
      <c r="G21" s="11">
        <f>LTBL_08546[[#Totals],[法人／事業所数]]/LTBL_08546[[#Totals],[総数／事業所数]]</f>
        <v>0.38802395209580837</v>
      </c>
      <c r="I21" s="11">
        <f>LTBL_08546[[#Totals],[法人以外の団体／事業所数]]/LTBL_08546[[#Totals],[総数／事業所数]]</f>
        <v>2.3952095808383233E-3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80</v>
      </c>
      <c r="D24" s="8">
        <v>9.58</v>
      </c>
      <c r="E24" s="12">
        <v>66</v>
      </c>
      <c r="F24" s="8">
        <v>13.04</v>
      </c>
      <c r="G24" s="12">
        <v>14</v>
      </c>
      <c r="H24" s="8">
        <v>4.32</v>
      </c>
      <c r="I24" s="12">
        <v>0</v>
      </c>
    </row>
    <row r="25" spans="2:9" ht="15" customHeight="1" x14ac:dyDescent="0.2">
      <c r="B25" t="s">
        <v>68</v>
      </c>
      <c r="C25" s="12">
        <v>71</v>
      </c>
      <c r="D25" s="8">
        <v>8.5</v>
      </c>
      <c r="E25" s="12">
        <v>41</v>
      </c>
      <c r="F25" s="8">
        <v>8.1</v>
      </c>
      <c r="G25" s="12">
        <v>30</v>
      </c>
      <c r="H25" s="8">
        <v>9.26</v>
      </c>
      <c r="I25" s="12">
        <v>0</v>
      </c>
    </row>
    <row r="26" spans="2:9" ht="15" customHeight="1" x14ac:dyDescent="0.2">
      <c r="B26" t="s">
        <v>82</v>
      </c>
      <c r="C26" s="12">
        <v>69</v>
      </c>
      <c r="D26" s="8">
        <v>8.26</v>
      </c>
      <c r="E26" s="12">
        <v>57</v>
      </c>
      <c r="F26" s="8">
        <v>11.26</v>
      </c>
      <c r="G26" s="12">
        <v>12</v>
      </c>
      <c r="H26" s="8">
        <v>3.7</v>
      </c>
      <c r="I26" s="12">
        <v>0</v>
      </c>
    </row>
    <row r="27" spans="2:9" ht="15" customHeight="1" x14ac:dyDescent="0.2">
      <c r="B27" t="s">
        <v>69</v>
      </c>
      <c r="C27" s="12">
        <v>66</v>
      </c>
      <c r="D27" s="8">
        <v>7.9</v>
      </c>
      <c r="E27" s="12">
        <v>38</v>
      </c>
      <c r="F27" s="8">
        <v>7.51</v>
      </c>
      <c r="G27" s="12">
        <v>28</v>
      </c>
      <c r="H27" s="8">
        <v>8.64</v>
      </c>
      <c r="I27" s="12">
        <v>0</v>
      </c>
    </row>
    <row r="28" spans="2:9" ht="15" customHeight="1" x14ac:dyDescent="0.2">
      <c r="B28" t="s">
        <v>77</v>
      </c>
      <c r="C28" s="12">
        <v>63</v>
      </c>
      <c r="D28" s="8">
        <v>7.54</v>
      </c>
      <c r="E28" s="12">
        <v>40</v>
      </c>
      <c r="F28" s="8">
        <v>7.91</v>
      </c>
      <c r="G28" s="12">
        <v>23</v>
      </c>
      <c r="H28" s="8">
        <v>7.1</v>
      </c>
      <c r="I28" s="12">
        <v>0</v>
      </c>
    </row>
    <row r="29" spans="2:9" ht="15" customHeight="1" x14ac:dyDescent="0.2">
      <c r="B29" t="s">
        <v>79</v>
      </c>
      <c r="C29" s="12">
        <v>41</v>
      </c>
      <c r="D29" s="8">
        <v>4.91</v>
      </c>
      <c r="E29" s="12">
        <v>29</v>
      </c>
      <c r="F29" s="8">
        <v>5.73</v>
      </c>
      <c r="G29" s="12">
        <v>12</v>
      </c>
      <c r="H29" s="8">
        <v>3.7</v>
      </c>
      <c r="I29" s="12">
        <v>0</v>
      </c>
    </row>
    <row r="30" spans="2:9" ht="15" customHeight="1" x14ac:dyDescent="0.2">
      <c r="B30" t="s">
        <v>75</v>
      </c>
      <c r="C30" s="12">
        <v>40</v>
      </c>
      <c r="D30" s="8">
        <v>4.79</v>
      </c>
      <c r="E30" s="12">
        <v>33</v>
      </c>
      <c r="F30" s="8">
        <v>6.52</v>
      </c>
      <c r="G30" s="12">
        <v>7</v>
      </c>
      <c r="H30" s="8">
        <v>2.16</v>
      </c>
      <c r="I30" s="12">
        <v>0</v>
      </c>
    </row>
    <row r="31" spans="2:9" ht="15" customHeight="1" x14ac:dyDescent="0.2">
      <c r="B31" t="s">
        <v>76</v>
      </c>
      <c r="C31" s="12">
        <v>40</v>
      </c>
      <c r="D31" s="8">
        <v>4.79</v>
      </c>
      <c r="E31" s="12">
        <v>22</v>
      </c>
      <c r="F31" s="8">
        <v>4.3499999999999996</v>
      </c>
      <c r="G31" s="12">
        <v>18</v>
      </c>
      <c r="H31" s="8">
        <v>5.56</v>
      </c>
      <c r="I31" s="12">
        <v>0</v>
      </c>
    </row>
    <row r="32" spans="2:9" ht="15" customHeight="1" x14ac:dyDescent="0.2">
      <c r="B32" t="s">
        <v>70</v>
      </c>
      <c r="C32" s="12">
        <v>33</v>
      </c>
      <c r="D32" s="8">
        <v>3.95</v>
      </c>
      <c r="E32" s="12">
        <v>14</v>
      </c>
      <c r="F32" s="8">
        <v>2.77</v>
      </c>
      <c r="G32" s="12">
        <v>19</v>
      </c>
      <c r="H32" s="8">
        <v>5.86</v>
      </c>
      <c r="I32" s="12">
        <v>0</v>
      </c>
    </row>
    <row r="33" spans="2:9" ht="15" customHeight="1" x14ac:dyDescent="0.2">
      <c r="B33" t="s">
        <v>87</v>
      </c>
      <c r="C33" s="12">
        <v>26</v>
      </c>
      <c r="D33" s="8">
        <v>3.11</v>
      </c>
      <c r="E33" s="12">
        <v>18</v>
      </c>
      <c r="F33" s="8">
        <v>3.56</v>
      </c>
      <c r="G33" s="12">
        <v>8</v>
      </c>
      <c r="H33" s="8">
        <v>2.4700000000000002</v>
      </c>
      <c r="I33" s="12">
        <v>0</v>
      </c>
    </row>
    <row r="34" spans="2:9" ht="15" customHeight="1" x14ac:dyDescent="0.2">
      <c r="B34" t="s">
        <v>71</v>
      </c>
      <c r="C34" s="12">
        <v>25</v>
      </c>
      <c r="D34" s="8">
        <v>2.99</v>
      </c>
      <c r="E34" s="12">
        <v>14</v>
      </c>
      <c r="F34" s="8">
        <v>2.77</v>
      </c>
      <c r="G34" s="12">
        <v>11</v>
      </c>
      <c r="H34" s="8">
        <v>3.4</v>
      </c>
      <c r="I34" s="12">
        <v>0</v>
      </c>
    </row>
    <row r="35" spans="2:9" ht="15" customHeight="1" x14ac:dyDescent="0.2">
      <c r="B35" t="s">
        <v>86</v>
      </c>
      <c r="C35" s="12">
        <v>23</v>
      </c>
      <c r="D35" s="8">
        <v>2.75</v>
      </c>
      <c r="E35" s="12">
        <v>21</v>
      </c>
      <c r="F35" s="8">
        <v>4.1500000000000004</v>
      </c>
      <c r="G35" s="12">
        <v>2</v>
      </c>
      <c r="H35" s="8">
        <v>0.62</v>
      </c>
      <c r="I35" s="12">
        <v>0</v>
      </c>
    </row>
    <row r="36" spans="2:9" ht="15" customHeight="1" x14ac:dyDescent="0.2">
      <c r="B36" t="s">
        <v>74</v>
      </c>
      <c r="C36" s="12">
        <v>22</v>
      </c>
      <c r="D36" s="8">
        <v>2.63</v>
      </c>
      <c r="E36" s="12">
        <v>17</v>
      </c>
      <c r="F36" s="8">
        <v>3.36</v>
      </c>
      <c r="G36" s="12">
        <v>5</v>
      </c>
      <c r="H36" s="8">
        <v>1.54</v>
      </c>
      <c r="I36" s="12">
        <v>0</v>
      </c>
    </row>
    <row r="37" spans="2:9" ht="15" customHeight="1" x14ac:dyDescent="0.2">
      <c r="B37" t="s">
        <v>92</v>
      </c>
      <c r="C37" s="12">
        <v>18</v>
      </c>
      <c r="D37" s="8">
        <v>2.16</v>
      </c>
      <c r="E37" s="12">
        <v>4</v>
      </c>
      <c r="F37" s="8">
        <v>0.79</v>
      </c>
      <c r="G37" s="12">
        <v>14</v>
      </c>
      <c r="H37" s="8">
        <v>4.32</v>
      </c>
      <c r="I37" s="12">
        <v>0</v>
      </c>
    </row>
    <row r="38" spans="2:9" ht="15" customHeight="1" x14ac:dyDescent="0.2">
      <c r="B38" t="s">
        <v>72</v>
      </c>
      <c r="C38" s="12">
        <v>16</v>
      </c>
      <c r="D38" s="8">
        <v>1.92</v>
      </c>
      <c r="E38" s="12">
        <v>11</v>
      </c>
      <c r="F38" s="8">
        <v>2.17</v>
      </c>
      <c r="G38" s="12">
        <v>5</v>
      </c>
      <c r="H38" s="8">
        <v>1.54</v>
      </c>
      <c r="I38" s="12">
        <v>0</v>
      </c>
    </row>
    <row r="39" spans="2:9" ht="15" customHeight="1" x14ac:dyDescent="0.2">
      <c r="B39" t="s">
        <v>93</v>
      </c>
      <c r="C39" s="12">
        <v>12</v>
      </c>
      <c r="D39" s="8">
        <v>1.44</v>
      </c>
      <c r="E39" s="12">
        <v>6</v>
      </c>
      <c r="F39" s="8">
        <v>1.19</v>
      </c>
      <c r="G39" s="12">
        <v>6</v>
      </c>
      <c r="H39" s="8">
        <v>1.85</v>
      </c>
      <c r="I39" s="12">
        <v>0</v>
      </c>
    </row>
    <row r="40" spans="2:9" ht="15" customHeight="1" x14ac:dyDescent="0.2">
      <c r="B40" t="s">
        <v>110</v>
      </c>
      <c r="C40" s="12">
        <v>11</v>
      </c>
      <c r="D40" s="8">
        <v>1.32</v>
      </c>
      <c r="E40" s="12">
        <v>8</v>
      </c>
      <c r="F40" s="8">
        <v>1.58</v>
      </c>
      <c r="G40" s="12">
        <v>2</v>
      </c>
      <c r="H40" s="8">
        <v>0.62</v>
      </c>
      <c r="I40" s="12">
        <v>1</v>
      </c>
    </row>
    <row r="41" spans="2:9" ht="15" customHeight="1" x14ac:dyDescent="0.2">
      <c r="B41" t="s">
        <v>80</v>
      </c>
      <c r="C41" s="12">
        <v>10</v>
      </c>
      <c r="D41" s="8">
        <v>1.2</v>
      </c>
      <c r="E41" s="12">
        <v>8</v>
      </c>
      <c r="F41" s="8">
        <v>1.58</v>
      </c>
      <c r="G41" s="12">
        <v>2</v>
      </c>
      <c r="H41" s="8">
        <v>0.62</v>
      </c>
      <c r="I41" s="12">
        <v>0</v>
      </c>
    </row>
    <row r="42" spans="2:9" ht="15" customHeight="1" x14ac:dyDescent="0.2">
      <c r="B42" t="s">
        <v>97</v>
      </c>
      <c r="C42" s="12">
        <v>9</v>
      </c>
      <c r="D42" s="8">
        <v>1.08</v>
      </c>
      <c r="E42" s="12">
        <v>4</v>
      </c>
      <c r="F42" s="8">
        <v>0.79</v>
      </c>
      <c r="G42" s="12">
        <v>5</v>
      </c>
      <c r="H42" s="8">
        <v>1.54</v>
      </c>
      <c r="I42" s="12">
        <v>0</v>
      </c>
    </row>
    <row r="43" spans="2:9" ht="15" customHeight="1" x14ac:dyDescent="0.2">
      <c r="B43" t="s">
        <v>84</v>
      </c>
      <c r="C43" s="12">
        <v>9</v>
      </c>
      <c r="D43" s="8">
        <v>1.08</v>
      </c>
      <c r="E43" s="12">
        <v>3</v>
      </c>
      <c r="F43" s="8">
        <v>0.59</v>
      </c>
      <c r="G43" s="12">
        <v>6</v>
      </c>
      <c r="H43" s="8">
        <v>1.85</v>
      </c>
      <c r="I43" s="12">
        <v>0</v>
      </c>
    </row>
    <row r="44" spans="2:9" ht="15" customHeight="1" x14ac:dyDescent="0.2">
      <c r="B44" t="s">
        <v>85</v>
      </c>
      <c r="C44" s="12">
        <v>9</v>
      </c>
      <c r="D44" s="8">
        <v>1.08</v>
      </c>
      <c r="E44" s="12">
        <v>5</v>
      </c>
      <c r="F44" s="8">
        <v>0.99</v>
      </c>
      <c r="G44" s="12">
        <v>3</v>
      </c>
      <c r="H44" s="8">
        <v>0.93</v>
      </c>
      <c r="I44" s="12">
        <v>0</v>
      </c>
    </row>
    <row r="45" spans="2:9" ht="15" customHeight="1" x14ac:dyDescent="0.2">
      <c r="B45" t="s">
        <v>89</v>
      </c>
      <c r="C45" s="12">
        <v>9</v>
      </c>
      <c r="D45" s="8">
        <v>1.08</v>
      </c>
      <c r="E45" s="12">
        <v>1</v>
      </c>
      <c r="F45" s="8">
        <v>0.2</v>
      </c>
      <c r="G45" s="12">
        <v>7</v>
      </c>
      <c r="H45" s="8">
        <v>2.16</v>
      </c>
      <c r="I45" s="12">
        <v>1</v>
      </c>
    </row>
    <row r="48" spans="2:9" ht="33" customHeight="1" x14ac:dyDescent="0.2">
      <c r="B48" t="s">
        <v>197</v>
      </c>
      <c r="C48" s="10" t="s">
        <v>61</v>
      </c>
      <c r="D48" s="10" t="s">
        <v>62</v>
      </c>
      <c r="E48" s="10" t="s">
        <v>63</v>
      </c>
      <c r="F48" s="10" t="s">
        <v>64</v>
      </c>
      <c r="G48" s="10" t="s">
        <v>65</v>
      </c>
      <c r="H48" s="10" t="s">
        <v>66</v>
      </c>
      <c r="I48" s="10" t="s">
        <v>67</v>
      </c>
    </row>
    <row r="49" spans="2:9" ht="15" customHeight="1" x14ac:dyDescent="0.2">
      <c r="B49" t="s">
        <v>120</v>
      </c>
      <c r="C49" s="12">
        <v>45</v>
      </c>
      <c r="D49" s="8">
        <v>5.39</v>
      </c>
      <c r="E49" s="12">
        <v>33</v>
      </c>
      <c r="F49" s="8">
        <v>6.52</v>
      </c>
      <c r="G49" s="12">
        <v>12</v>
      </c>
      <c r="H49" s="8">
        <v>3.7</v>
      </c>
      <c r="I49" s="12">
        <v>0</v>
      </c>
    </row>
    <row r="50" spans="2:9" ht="15" customHeight="1" x14ac:dyDescent="0.2">
      <c r="B50" t="s">
        <v>129</v>
      </c>
      <c r="C50" s="12">
        <v>34</v>
      </c>
      <c r="D50" s="8">
        <v>4.07</v>
      </c>
      <c r="E50" s="12">
        <v>29</v>
      </c>
      <c r="F50" s="8">
        <v>5.73</v>
      </c>
      <c r="G50" s="12">
        <v>5</v>
      </c>
      <c r="H50" s="8">
        <v>1.54</v>
      </c>
      <c r="I50" s="12">
        <v>0</v>
      </c>
    </row>
    <row r="51" spans="2:9" ht="15" customHeight="1" x14ac:dyDescent="0.2">
      <c r="B51" t="s">
        <v>134</v>
      </c>
      <c r="C51" s="12">
        <v>32</v>
      </c>
      <c r="D51" s="8">
        <v>3.83</v>
      </c>
      <c r="E51" s="12">
        <v>30</v>
      </c>
      <c r="F51" s="8">
        <v>5.93</v>
      </c>
      <c r="G51" s="12">
        <v>2</v>
      </c>
      <c r="H51" s="8">
        <v>0.62</v>
      </c>
      <c r="I51" s="12">
        <v>0</v>
      </c>
    </row>
    <row r="52" spans="2:9" ht="15" customHeight="1" x14ac:dyDescent="0.2">
      <c r="B52" t="s">
        <v>133</v>
      </c>
      <c r="C52" s="12">
        <v>31</v>
      </c>
      <c r="D52" s="8">
        <v>3.71</v>
      </c>
      <c r="E52" s="12">
        <v>28</v>
      </c>
      <c r="F52" s="8">
        <v>5.53</v>
      </c>
      <c r="G52" s="12">
        <v>3</v>
      </c>
      <c r="H52" s="8">
        <v>0.93</v>
      </c>
      <c r="I52" s="12">
        <v>0</v>
      </c>
    </row>
    <row r="53" spans="2:9" ht="15" customHeight="1" x14ac:dyDescent="0.2">
      <c r="B53" t="s">
        <v>124</v>
      </c>
      <c r="C53" s="12">
        <v>28</v>
      </c>
      <c r="D53" s="8">
        <v>3.35</v>
      </c>
      <c r="E53" s="12">
        <v>14</v>
      </c>
      <c r="F53" s="8">
        <v>2.77</v>
      </c>
      <c r="G53" s="12">
        <v>14</v>
      </c>
      <c r="H53" s="8">
        <v>4.32</v>
      </c>
      <c r="I53" s="12">
        <v>0</v>
      </c>
    </row>
    <row r="54" spans="2:9" ht="15" customHeight="1" x14ac:dyDescent="0.2">
      <c r="B54" t="s">
        <v>137</v>
      </c>
      <c r="C54" s="12">
        <v>26</v>
      </c>
      <c r="D54" s="8">
        <v>3.11</v>
      </c>
      <c r="E54" s="12">
        <v>18</v>
      </c>
      <c r="F54" s="8">
        <v>3.56</v>
      </c>
      <c r="G54" s="12">
        <v>8</v>
      </c>
      <c r="H54" s="8">
        <v>2.4700000000000002</v>
      </c>
      <c r="I54" s="12">
        <v>0</v>
      </c>
    </row>
    <row r="55" spans="2:9" ht="15" customHeight="1" x14ac:dyDescent="0.2">
      <c r="B55" t="s">
        <v>121</v>
      </c>
      <c r="C55" s="12">
        <v>23</v>
      </c>
      <c r="D55" s="8">
        <v>2.75</v>
      </c>
      <c r="E55" s="12">
        <v>12</v>
      </c>
      <c r="F55" s="8">
        <v>2.37</v>
      </c>
      <c r="G55" s="12">
        <v>11</v>
      </c>
      <c r="H55" s="8">
        <v>3.4</v>
      </c>
      <c r="I55" s="12">
        <v>0</v>
      </c>
    </row>
    <row r="56" spans="2:9" ht="15" customHeight="1" x14ac:dyDescent="0.2">
      <c r="B56" t="s">
        <v>131</v>
      </c>
      <c r="C56" s="12">
        <v>18</v>
      </c>
      <c r="D56" s="8">
        <v>2.16</v>
      </c>
      <c r="E56" s="12">
        <v>16</v>
      </c>
      <c r="F56" s="8">
        <v>3.16</v>
      </c>
      <c r="G56" s="12">
        <v>2</v>
      </c>
      <c r="H56" s="8">
        <v>0.62</v>
      </c>
      <c r="I56" s="12">
        <v>0</v>
      </c>
    </row>
    <row r="57" spans="2:9" ht="15" customHeight="1" x14ac:dyDescent="0.2">
      <c r="B57" t="s">
        <v>132</v>
      </c>
      <c r="C57" s="12">
        <v>17</v>
      </c>
      <c r="D57" s="8">
        <v>2.04</v>
      </c>
      <c r="E57" s="12">
        <v>16</v>
      </c>
      <c r="F57" s="8">
        <v>3.16</v>
      </c>
      <c r="G57" s="12">
        <v>1</v>
      </c>
      <c r="H57" s="8">
        <v>0.31</v>
      </c>
      <c r="I57" s="12">
        <v>0</v>
      </c>
    </row>
    <row r="58" spans="2:9" ht="15" customHeight="1" x14ac:dyDescent="0.2">
      <c r="B58" t="s">
        <v>123</v>
      </c>
      <c r="C58" s="12">
        <v>15</v>
      </c>
      <c r="D58" s="8">
        <v>1.8</v>
      </c>
      <c r="E58" s="12">
        <v>12</v>
      </c>
      <c r="F58" s="8">
        <v>2.37</v>
      </c>
      <c r="G58" s="12">
        <v>3</v>
      </c>
      <c r="H58" s="8">
        <v>0.93</v>
      </c>
      <c r="I58" s="12">
        <v>0</v>
      </c>
    </row>
    <row r="59" spans="2:9" ht="15" customHeight="1" x14ac:dyDescent="0.2">
      <c r="B59" t="s">
        <v>127</v>
      </c>
      <c r="C59" s="12">
        <v>15</v>
      </c>
      <c r="D59" s="8">
        <v>1.8</v>
      </c>
      <c r="E59" s="12">
        <v>11</v>
      </c>
      <c r="F59" s="8">
        <v>2.17</v>
      </c>
      <c r="G59" s="12">
        <v>4</v>
      </c>
      <c r="H59" s="8">
        <v>1.23</v>
      </c>
      <c r="I59" s="12">
        <v>0</v>
      </c>
    </row>
    <row r="60" spans="2:9" ht="15" customHeight="1" x14ac:dyDescent="0.2">
      <c r="B60" t="s">
        <v>136</v>
      </c>
      <c r="C60" s="12">
        <v>14</v>
      </c>
      <c r="D60" s="8">
        <v>1.68</v>
      </c>
      <c r="E60" s="12">
        <v>13</v>
      </c>
      <c r="F60" s="8">
        <v>2.57</v>
      </c>
      <c r="G60" s="12">
        <v>1</v>
      </c>
      <c r="H60" s="8">
        <v>0.31</v>
      </c>
      <c r="I60" s="12">
        <v>0</v>
      </c>
    </row>
    <row r="61" spans="2:9" ht="15" customHeight="1" x14ac:dyDescent="0.2">
      <c r="B61" t="s">
        <v>119</v>
      </c>
      <c r="C61" s="12">
        <v>13</v>
      </c>
      <c r="D61" s="8">
        <v>1.56</v>
      </c>
      <c r="E61" s="12">
        <v>7</v>
      </c>
      <c r="F61" s="8">
        <v>1.38</v>
      </c>
      <c r="G61" s="12">
        <v>6</v>
      </c>
      <c r="H61" s="8">
        <v>1.85</v>
      </c>
      <c r="I61" s="12">
        <v>0</v>
      </c>
    </row>
    <row r="62" spans="2:9" ht="15" customHeight="1" x14ac:dyDescent="0.2">
      <c r="B62" t="s">
        <v>144</v>
      </c>
      <c r="C62" s="12">
        <v>11</v>
      </c>
      <c r="D62" s="8">
        <v>1.32</v>
      </c>
      <c r="E62" s="12">
        <v>3</v>
      </c>
      <c r="F62" s="8">
        <v>0.59</v>
      </c>
      <c r="G62" s="12">
        <v>8</v>
      </c>
      <c r="H62" s="8">
        <v>2.4700000000000002</v>
      </c>
      <c r="I62" s="12">
        <v>0</v>
      </c>
    </row>
    <row r="63" spans="2:9" ht="15" customHeight="1" x14ac:dyDescent="0.2">
      <c r="B63" t="s">
        <v>154</v>
      </c>
      <c r="C63" s="12">
        <v>11</v>
      </c>
      <c r="D63" s="8">
        <v>1.32</v>
      </c>
      <c r="E63" s="12">
        <v>8</v>
      </c>
      <c r="F63" s="8">
        <v>1.58</v>
      </c>
      <c r="G63" s="12">
        <v>3</v>
      </c>
      <c r="H63" s="8">
        <v>0.93</v>
      </c>
      <c r="I63" s="12">
        <v>0</v>
      </c>
    </row>
    <row r="64" spans="2:9" ht="15" customHeight="1" x14ac:dyDescent="0.2">
      <c r="B64" t="s">
        <v>153</v>
      </c>
      <c r="C64" s="12">
        <v>10</v>
      </c>
      <c r="D64" s="8">
        <v>1.2</v>
      </c>
      <c r="E64" s="12">
        <v>6</v>
      </c>
      <c r="F64" s="8">
        <v>1.19</v>
      </c>
      <c r="G64" s="12">
        <v>4</v>
      </c>
      <c r="H64" s="8">
        <v>1.23</v>
      </c>
      <c r="I64" s="12">
        <v>0</v>
      </c>
    </row>
    <row r="65" spans="2:9" ht="15" customHeight="1" x14ac:dyDescent="0.2">
      <c r="B65" t="s">
        <v>146</v>
      </c>
      <c r="C65" s="12">
        <v>10</v>
      </c>
      <c r="D65" s="8">
        <v>1.2</v>
      </c>
      <c r="E65" s="12">
        <v>6</v>
      </c>
      <c r="F65" s="8">
        <v>1.19</v>
      </c>
      <c r="G65" s="12">
        <v>4</v>
      </c>
      <c r="H65" s="8">
        <v>1.23</v>
      </c>
      <c r="I65" s="12">
        <v>0</v>
      </c>
    </row>
    <row r="66" spans="2:9" ht="15" customHeight="1" x14ac:dyDescent="0.2">
      <c r="B66" t="s">
        <v>122</v>
      </c>
      <c r="C66" s="12">
        <v>10</v>
      </c>
      <c r="D66" s="8">
        <v>1.2</v>
      </c>
      <c r="E66" s="12">
        <v>2</v>
      </c>
      <c r="F66" s="8">
        <v>0.4</v>
      </c>
      <c r="G66" s="12">
        <v>8</v>
      </c>
      <c r="H66" s="8">
        <v>2.4700000000000002</v>
      </c>
      <c r="I66" s="12">
        <v>0</v>
      </c>
    </row>
    <row r="67" spans="2:9" ht="15" customHeight="1" x14ac:dyDescent="0.2">
      <c r="B67" t="s">
        <v>174</v>
      </c>
      <c r="C67" s="12">
        <v>10</v>
      </c>
      <c r="D67" s="8">
        <v>1.2</v>
      </c>
      <c r="E67" s="12">
        <v>8</v>
      </c>
      <c r="F67" s="8">
        <v>1.58</v>
      </c>
      <c r="G67" s="12">
        <v>2</v>
      </c>
      <c r="H67" s="8">
        <v>0.62</v>
      </c>
      <c r="I67" s="12">
        <v>0</v>
      </c>
    </row>
    <row r="68" spans="2:9" ht="15" customHeight="1" x14ac:dyDescent="0.2">
      <c r="B68" t="s">
        <v>157</v>
      </c>
      <c r="C68" s="12">
        <v>10</v>
      </c>
      <c r="D68" s="8">
        <v>1.2</v>
      </c>
      <c r="E68" s="12">
        <v>8</v>
      </c>
      <c r="F68" s="8">
        <v>1.58</v>
      </c>
      <c r="G68" s="12">
        <v>2</v>
      </c>
      <c r="H68" s="8">
        <v>0.62</v>
      </c>
      <c r="I68" s="12">
        <v>0</v>
      </c>
    </row>
    <row r="69" spans="2:9" ht="15" customHeight="1" x14ac:dyDescent="0.2">
      <c r="B69" t="s">
        <v>126</v>
      </c>
      <c r="C69" s="12">
        <v>10</v>
      </c>
      <c r="D69" s="8">
        <v>1.2</v>
      </c>
      <c r="E69" s="12">
        <v>3</v>
      </c>
      <c r="F69" s="8">
        <v>0.59</v>
      </c>
      <c r="G69" s="12">
        <v>7</v>
      </c>
      <c r="H69" s="8">
        <v>2.16</v>
      </c>
      <c r="I69" s="12">
        <v>0</v>
      </c>
    </row>
    <row r="70" spans="2:9" ht="15" customHeight="1" x14ac:dyDescent="0.2">
      <c r="B70" t="s">
        <v>139</v>
      </c>
      <c r="C70" s="12">
        <v>10</v>
      </c>
      <c r="D70" s="8">
        <v>1.2</v>
      </c>
      <c r="E70" s="12">
        <v>6</v>
      </c>
      <c r="F70" s="8">
        <v>1.19</v>
      </c>
      <c r="G70" s="12">
        <v>4</v>
      </c>
      <c r="H70" s="8">
        <v>1.23</v>
      </c>
      <c r="I70" s="12">
        <v>0</v>
      </c>
    </row>
    <row r="72" spans="2:9" ht="15" customHeight="1" x14ac:dyDescent="0.2">
      <c r="B72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B429-ED83-49A6-A8FF-D25B40CAA80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242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56</v>
      </c>
      <c r="D6" s="8">
        <v>21.79</v>
      </c>
      <c r="E6" s="12">
        <v>16</v>
      </c>
      <c r="F6" s="8">
        <v>11.68</v>
      </c>
      <c r="G6" s="12">
        <v>40</v>
      </c>
      <c r="H6" s="8">
        <v>34.78</v>
      </c>
      <c r="I6" s="12">
        <v>0</v>
      </c>
    </row>
    <row r="7" spans="2:9" ht="15" customHeight="1" x14ac:dyDescent="0.2">
      <c r="B7" t="s">
        <v>47</v>
      </c>
      <c r="C7" s="12">
        <v>10</v>
      </c>
      <c r="D7" s="8">
        <v>3.89</v>
      </c>
      <c r="E7" s="12">
        <v>3</v>
      </c>
      <c r="F7" s="8">
        <v>2.19</v>
      </c>
      <c r="G7" s="12">
        <v>7</v>
      </c>
      <c r="H7" s="8">
        <v>6.09</v>
      </c>
      <c r="I7" s="12">
        <v>0</v>
      </c>
    </row>
    <row r="8" spans="2:9" ht="15" customHeight="1" x14ac:dyDescent="0.2">
      <c r="B8" t="s">
        <v>48</v>
      </c>
      <c r="C8" s="12">
        <v>1</v>
      </c>
      <c r="D8" s="8">
        <v>0.39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49</v>
      </c>
      <c r="C9" s="12">
        <v>7</v>
      </c>
      <c r="D9" s="8">
        <v>2.72</v>
      </c>
      <c r="E9" s="12">
        <v>0</v>
      </c>
      <c r="F9" s="8">
        <v>0</v>
      </c>
      <c r="G9" s="12">
        <v>7</v>
      </c>
      <c r="H9" s="8">
        <v>6.09</v>
      </c>
      <c r="I9" s="12">
        <v>0</v>
      </c>
    </row>
    <row r="10" spans="2:9" ht="15" customHeight="1" x14ac:dyDescent="0.2">
      <c r="B10" t="s">
        <v>50</v>
      </c>
      <c r="C10" s="12">
        <v>4</v>
      </c>
      <c r="D10" s="8">
        <v>1.56</v>
      </c>
      <c r="E10" s="12">
        <v>2</v>
      </c>
      <c r="F10" s="8">
        <v>1.46</v>
      </c>
      <c r="G10" s="12">
        <v>2</v>
      </c>
      <c r="H10" s="8">
        <v>1.74</v>
      </c>
      <c r="I10" s="12">
        <v>0</v>
      </c>
    </row>
    <row r="11" spans="2:9" ht="15" customHeight="1" x14ac:dyDescent="0.2">
      <c r="B11" t="s">
        <v>51</v>
      </c>
      <c r="C11" s="12">
        <v>67</v>
      </c>
      <c r="D11" s="8">
        <v>26.07</v>
      </c>
      <c r="E11" s="12">
        <v>34</v>
      </c>
      <c r="F11" s="8">
        <v>24.82</v>
      </c>
      <c r="G11" s="12">
        <v>33</v>
      </c>
      <c r="H11" s="8">
        <v>28.7</v>
      </c>
      <c r="I11" s="12">
        <v>0</v>
      </c>
    </row>
    <row r="12" spans="2:9" ht="15" customHeight="1" x14ac:dyDescent="0.2">
      <c r="B12" t="s">
        <v>52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53</v>
      </c>
      <c r="C13" s="12">
        <v>9</v>
      </c>
      <c r="D13" s="8">
        <v>3.5</v>
      </c>
      <c r="E13" s="12">
        <v>3</v>
      </c>
      <c r="F13" s="8">
        <v>2.19</v>
      </c>
      <c r="G13" s="12">
        <v>6</v>
      </c>
      <c r="H13" s="8">
        <v>5.22</v>
      </c>
      <c r="I13" s="12">
        <v>0</v>
      </c>
    </row>
    <row r="14" spans="2:9" ht="15" customHeight="1" x14ac:dyDescent="0.2">
      <c r="B14" t="s">
        <v>54</v>
      </c>
      <c r="C14" s="12">
        <v>15</v>
      </c>
      <c r="D14" s="8">
        <v>5.84</v>
      </c>
      <c r="E14" s="12">
        <v>10</v>
      </c>
      <c r="F14" s="8">
        <v>7.3</v>
      </c>
      <c r="G14" s="12">
        <v>5</v>
      </c>
      <c r="H14" s="8">
        <v>4.3499999999999996</v>
      </c>
      <c r="I14" s="12">
        <v>0</v>
      </c>
    </row>
    <row r="15" spans="2:9" ht="15" customHeight="1" x14ac:dyDescent="0.2">
      <c r="B15" t="s">
        <v>55</v>
      </c>
      <c r="C15" s="12">
        <v>19</v>
      </c>
      <c r="D15" s="8">
        <v>7.39</v>
      </c>
      <c r="E15" s="12">
        <v>18</v>
      </c>
      <c r="F15" s="8">
        <v>13.14</v>
      </c>
      <c r="G15" s="12">
        <v>1</v>
      </c>
      <c r="H15" s="8">
        <v>0.87</v>
      </c>
      <c r="I15" s="12">
        <v>0</v>
      </c>
    </row>
    <row r="16" spans="2:9" ht="15" customHeight="1" x14ac:dyDescent="0.2">
      <c r="B16" t="s">
        <v>56</v>
      </c>
      <c r="C16" s="12">
        <v>33</v>
      </c>
      <c r="D16" s="8">
        <v>12.84</v>
      </c>
      <c r="E16" s="12">
        <v>31</v>
      </c>
      <c r="F16" s="8">
        <v>22.63</v>
      </c>
      <c r="G16" s="12">
        <v>2</v>
      </c>
      <c r="H16" s="8">
        <v>1.74</v>
      </c>
      <c r="I16" s="12">
        <v>0</v>
      </c>
    </row>
    <row r="17" spans="2:9" ht="15" customHeight="1" x14ac:dyDescent="0.2">
      <c r="B17" t="s">
        <v>57</v>
      </c>
      <c r="C17" s="12">
        <v>9</v>
      </c>
      <c r="D17" s="8">
        <v>3.5</v>
      </c>
      <c r="E17" s="12">
        <v>7</v>
      </c>
      <c r="F17" s="8">
        <v>5.1100000000000003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58</v>
      </c>
      <c r="C18" s="12">
        <v>11</v>
      </c>
      <c r="D18" s="8">
        <v>4.28</v>
      </c>
      <c r="E18" s="12">
        <v>7</v>
      </c>
      <c r="F18" s="8">
        <v>5.1100000000000003</v>
      </c>
      <c r="G18" s="12">
        <v>4</v>
      </c>
      <c r="H18" s="8">
        <v>3.48</v>
      </c>
      <c r="I18" s="12">
        <v>0</v>
      </c>
    </row>
    <row r="19" spans="2:9" ht="15" customHeight="1" x14ac:dyDescent="0.2">
      <c r="B19" t="s">
        <v>59</v>
      </c>
      <c r="C19" s="12">
        <v>16</v>
      </c>
      <c r="D19" s="8">
        <v>6.23</v>
      </c>
      <c r="E19" s="12">
        <v>6</v>
      </c>
      <c r="F19" s="8">
        <v>4.38</v>
      </c>
      <c r="G19" s="12">
        <v>8</v>
      </c>
      <c r="H19" s="8">
        <v>6.96</v>
      </c>
      <c r="I19" s="12">
        <v>0</v>
      </c>
    </row>
    <row r="20" spans="2:9" ht="15" customHeight="1" x14ac:dyDescent="0.2">
      <c r="B20" s="9" t="s">
        <v>195</v>
      </c>
      <c r="C20" s="12">
        <f>SUM(LTBL_08564[総数／事業所数])</f>
        <v>257</v>
      </c>
      <c r="E20" s="12">
        <f>SUBTOTAL(109,LTBL_08564[個人／事業所数])</f>
        <v>137</v>
      </c>
      <c r="G20" s="12">
        <f>SUBTOTAL(109,LTBL_08564[法人／事業所数])</f>
        <v>115</v>
      </c>
      <c r="I20" s="12">
        <f>SUBTOTAL(109,LTBL_08564[法人以外の団体／事業所数])</f>
        <v>0</v>
      </c>
    </row>
    <row r="21" spans="2:9" ht="15" customHeight="1" x14ac:dyDescent="0.2">
      <c r="E21" s="11">
        <f>LTBL_08564[[#Totals],[個人／事業所数]]/LTBL_08564[[#Totals],[総数／事業所数]]</f>
        <v>0.53307392996108949</v>
      </c>
      <c r="G21" s="11">
        <f>LTBL_08564[[#Totals],[法人／事業所数]]/LTBL_08564[[#Totals],[総数／事業所数]]</f>
        <v>0.44747081712062259</v>
      </c>
      <c r="I21" s="11">
        <f>LTBL_08564[[#Totals],[法人以外の団体／事業所数]]/LTBL_08564[[#Totals],[総数／事業所数]]</f>
        <v>0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31</v>
      </c>
      <c r="D24" s="8">
        <v>12.06</v>
      </c>
      <c r="E24" s="12">
        <v>30</v>
      </c>
      <c r="F24" s="8">
        <v>21.9</v>
      </c>
      <c r="G24" s="12">
        <v>1</v>
      </c>
      <c r="H24" s="8">
        <v>0.87</v>
      </c>
      <c r="I24" s="12">
        <v>0</v>
      </c>
    </row>
    <row r="25" spans="2:9" ht="15" customHeight="1" x14ac:dyDescent="0.2">
      <c r="B25" t="s">
        <v>68</v>
      </c>
      <c r="C25" s="12">
        <v>23</v>
      </c>
      <c r="D25" s="8">
        <v>8.9499999999999993</v>
      </c>
      <c r="E25" s="12">
        <v>6</v>
      </c>
      <c r="F25" s="8">
        <v>4.38</v>
      </c>
      <c r="G25" s="12">
        <v>17</v>
      </c>
      <c r="H25" s="8">
        <v>14.78</v>
      </c>
      <c r="I25" s="12">
        <v>0</v>
      </c>
    </row>
    <row r="26" spans="2:9" ht="15" customHeight="1" x14ac:dyDescent="0.2">
      <c r="B26" t="s">
        <v>77</v>
      </c>
      <c r="C26" s="12">
        <v>21</v>
      </c>
      <c r="D26" s="8">
        <v>8.17</v>
      </c>
      <c r="E26" s="12">
        <v>7</v>
      </c>
      <c r="F26" s="8">
        <v>5.1100000000000003</v>
      </c>
      <c r="G26" s="12">
        <v>14</v>
      </c>
      <c r="H26" s="8">
        <v>12.17</v>
      </c>
      <c r="I26" s="12">
        <v>0</v>
      </c>
    </row>
    <row r="27" spans="2:9" ht="15" customHeight="1" x14ac:dyDescent="0.2">
      <c r="B27" t="s">
        <v>69</v>
      </c>
      <c r="C27" s="12">
        <v>18</v>
      </c>
      <c r="D27" s="8">
        <v>7</v>
      </c>
      <c r="E27" s="12">
        <v>8</v>
      </c>
      <c r="F27" s="8">
        <v>5.84</v>
      </c>
      <c r="G27" s="12">
        <v>10</v>
      </c>
      <c r="H27" s="8">
        <v>8.6999999999999993</v>
      </c>
      <c r="I27" s="12">
        <v>0</v>
      </c>
    </row>
    <row r="28" spans="2:9" ht="15" customHeight="1" x14ac:dyDescent="0.2">
      <c r="B28" t="s">
        <v>76</v>
      </c>
      <c r="C28" s="12">
        <v>18</v>
      </c>
      <c r="D28" s="8">
        <v>7</v>
      </c>
      <c r="E28" s="12">
        <v>11</v>
      </c>
      <c r="F28" s="8">
        <v>8.0299999999999994</v>
      </c>
      <c r="G28" s="12">
        <v>7</v>
      </c>
      <c r="H28" s="8">
        <v>6.09</v>
      </c>
      <c r="I28" s="12">
        <v>0</v>
      </c>
    </row>
    <row r="29" spans="2:9" ht="15" customHeight="1" x14ac:dyDescent="0.2">
      <c r="B29" t="s">
        <v>82</v>
      </c>
      <c r="C29" s="12">
        <v>17</v>
      </c>
      <c r="D29" s="8">
        <v>6.61</v>
      </c>
      <c r="E29" s="12">
        <v>16</v>
      </c>
      <c r="F29" s="8">
        <v>11.68</v>
      </c>
      <c r="G29" s="12">
        <v>1</v>
      </c>
      <c r="H29" s="8">
        <v>0.87</v>
      </c>
      <c r="I29" s="12">
        <v>0</v>
      </c>
    </row>
    <row r="30" spans="2:9" ht="15" customHeight="1" x14ac:dyDescent="0.2">
      <c r="B30" t="s">
        <v>75</v>
      </c>
      <c r="C30" s="12">
        <v>16</v>
      </c>
      <c r="D30" s="8">
        <v>6.23</v>
      </c>
      <c r="E30" s="12">
        <v>13</v>
      </c>
      <c r="F30" s="8">
        <v>9.49</v>
      </c>
      <c r="G30" s="12">
        <v>3</v>
      </c>
      <c r="H30" s="8">
        <v>2.61</v>
      </c>
      <c r="I30" s="12">
        <v>0</v>
      </c>
    </row>
    <row r="31" spans="2:9" ht="15" customHeight="1" x14ac:dyDescent="0.2">
      <c r="B31" t="s">
        <v>70</v>
      </c>
      <c r="C31" s="12">
        <v>15</v>
      </c>
      <c r="D31" s="8">
        <v>5.84</v>
      </c>
      <c r="E31" s="12">
        <v>2</v>
      </c>
      <c r="F31" s="8">
        <v>1.46</v>
      </c>
      <c r="G31" s="12">
        <v>13</v>
      </c>
      <c r="H31" s="8">
        <v>11.3</v>
      </c>
      <c r="I31" s="12">
        <v>0</v>
      </c>
    </row>
    <row r="32" spans="2:9" ht="15" customHeight="1" x14ac:dyDescent="0.2">
      <c r="B32" t="s">
        <v>85</v>
      </c>
      <c r="C32" s="12">
        <v>9</v>
      </c>
      <c r="D32" s="8">
        <v>3.5</v>
      </c>
      <c r="E32" s="12">
        <v>7</v>
      </c>
      <c r="F32" s="8">
        <v>5.1100000000000003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81</v>
      </c>
      <c r="C33" s="12">
        <v>8</v>
      </c>
      <c r="D33" s="8">
        <v>3.11</v>
      </c>
      <c r="E33" s="12">
        <v>5</v>
      </c>
      <c r="F33" s="8">
        <v>3.65</v>
      </c>
      <c r="G33" s="12">
        <v>3</v>
      </c>
      <c r="H33" s="8">
        <v>2.61</v>
      </c>
      <c r="I33" s="12">
        <v>0</v>
      </c>
    </row>
    <row r="34" spans="2:9" ht="15" customHeight="1" x14ac:dyDescent="0.2">
      <c r="B34" t="s">
        <v>87</v>
      </c>
      <c r="C34" s="12">
        <v>8</v>
      </c>
      <c r="D34" s="8">
        <v>3.11</v>
      </c>
      <c r="E34" s="12">
        <v>5</v>
      </c>
      <c r="F34" s="8">
        <v>3.65</v>
      </c>
      <c r="G34" s="12">
        <v>3</v>
      </c>
      <c r="H34" s="8">
        <v>2.61</v>
      </c>
      <c r="I34" s="12">
        <v>0</v>
      </c>
    </row>
    <row r="35" spans="2:9" ht="15" customHeight="1" x14ac:dyDescent="0.2">
      <c r="B35" t="s">
        <v>102</v>
      </c>
      <c r="C35" s="12">
        <v>7</v>
      </c>
      <c r="D35" s="8">
        <v>2.72</v>
      </c>
      <c r="E35" s="12">
        <v>0</v>
      </c>
      <c r="F35" s="8">
        <v>0</v>
      </c>
      <c r="G35" s="12">
        <v>7</v>
      </c>
      <c r="H35" s="8">
        <v>6.09</v>
      </c>
      <c r="I35" s="12">
        <v>0</v>
      </c>
    </row>
    <row r="36" spans="2:9" ht="15" customHeight="1" x14ac:dyDescent="0.2">
      <c r="B36" t="s">
        <v>80</v>
      </c>
      <c r="C36" s="12">
        <v>7</v>
      </c>
      <c r="D36" s="8">
        <v>2.72</v>
      </c>
      <c r="E36" s="12">
        <v>5</v>
      </c>
      <c r="F36" s="8">
        <v>3.65</v>
      </c>
      <c r="G36" s="12">
        <v>2</v>
      </c>
      <c r="H36" s="8">
        <v>1.74</v>
      </c>
      <c r="I36" s="12">
        <v>0</v>
      </c>
    </row>
    <row r="37" spans="2:9" ht="15" customHeight="1" x14ac:dyDescent="0.2">
      <c r="B37" t="s">
        <v>86</v>
      </c>
      <c r="C37" s="12">
        <v>7</v>
      </c>
      <c r="D37" s="8">
        <v>2.72</v>
      </c>
      <c r="E37" s="12">
        <v>7</v>
      </c>
      <c r="F37" s="8">
        <v>5.1100000000000003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79</v>
      </c>
      <c r="C38" s="12">
        <v>6</v>
      </c>
      <c r="D38" s="8">
        <v>2.33</v>
      </c>
      <c r="E38" s="12">
        <v>3</v>
      </c>
      <c r="F38" s="8">
        <v>2.19</v>
      </c>
      <c r="G38" s="12">
        <v>3</v>
      </c>
      <c r="H38" s="8">
        <v>2.61</v>
      </c>
      <c r="I38" s="12">
        <v>0</v>
      </c>
    </row>
    <row r="39" spans="2:9" ht="15" customHeight="1" x14ac:dyDescent="0.2">
      <c r="B39" t="s">
        <v>72</v>
      </c>
      <c r="C39" s="12">
        <v>4</v>
      </c>
      <c r="D39" s="8">
        <v>1.56</v>
      </c>
      <c r="E39" s="12">
        <v>0</v>
      </c>
      <c r="F39" s="8">
        <v>0</v>
      </c>
      <c r="G39" s="12">
        <v>4</v>
      </c>
      <c r="H39" s="8">
        <v>3.48</v>
      </c>
      <c r="I39" s="12">
        <v>0</v>
      </c>
    </row>
    <row r="40" spans="2:9" ht="15" customHeight="1" x14ac:dyDescent="0.2">
      <c r="B40" t="s">
        <v>96</v>
      </c>
      <c r="C40" s="12">
        <v>4</v>
      </c>
      <c r="D40" s="8">
        <v>1.56</v>
      </c>
      <c r="E40" s="12">
        <v>0</v>
      </c>
      <c r="F40" s="8">
        <v>0</v>
      </c>
      <c r="G40" s="12">
        <v>4</v>
      </c>
      <c r="H40" s="8">
        <v>3.48</v>
      </c>
      <c r="I40" s="12">
        <v>0</v>
      </c>
    </row>
    <row r="41" spans="2:9" ht="15" customHeight="1" x14ac:dyDescent="0.2">
      <c r="B41" t="s">
        <v>71</v>
      </c>
      <c r="C41" s="12">
        <v>3</v>
      </c>
      <c r="D41" s="8">
        <v>1.17</v>
      </c>
      <c r="E41" s="12">
        <v>1</v>
      </c>
      <c r="F41" s="8">
        <v>0.73</v>
      </c>
      <c r="G41" s="12">
        <v>2</v>
      </c>
      <c r="H41" s="8">
        <v>1.74</v>
      </c>
      <c r="I41" s="12">
        <v>0</v>
      </c>
    </row>
    <row r="42" spans="2:9" ht="15" customHeight="1" x14ac:dyDescent="0.2">
      <c r="B42" t="s">
        <v>108</v>
      </c>
      <c r="C42" s="12">
        <v>3</v>
      </c>
      <c r="D42" s="8">
        <v>1.17</v>
      </c>
      <c r="E42" s="12">
        <v>1</v>
      </c>
      <c r="F42" s="8">
        <v>0.73</v>
      </c>
      <c r="G42" s="12">
        <v>2</v>
      </c>
      <c r="H42" s="8">
        <v>1.74</v>
      </c>
      <c r="I42" s="12">
        <v>0</v>
      </c>
    </row>
    <row r="43" spans="2:9" ht="15" customHeight="1" x14ac:dyDescent="0.2">
      <c r="B43" t="s">
        <v>74</v>
      </c>
      <c r="C43" s="12">
        <v>3</v>
      </c>
      <c r="D43" s="8">
        <v>1.17</v>
      </c>
      <c r="E43" s="12">
        <v>2</v>
      </c>
      <c r="F43" s="8">
        <v>1.46</v>
      </c>
      <c r="G43" s="12">
        <v>1</v>
      </c>
      <c r="H43" s="8">
        <v>0.87</v>
      </c>
      <c r="I43" s="12">
        <v>0</v>
      </c>
    </row>
    <row r="44" spans="2:9" ht="15" customHeight="1" x14ac:dyDescent="0.2">
      <c r="B44" t="s">
        <v>89</v>
      </c>
      <c r="C44" s="12">
        <v>3</v>
      </c>
      <c r="D44" s="8">
        <v>1.17</v>
      </c>
      <c r="E44" s="12">
        <v>0</v>
      </c>
      <c r="F44" s="8">
        <v>0</v>
      </c>
      <c r="G44" s="12">
        <v>3</v>
      </c>
      <c r="H44" s="8">
        <v>2.61</v>
      </c>
      <c r="I44" s="12">
        <v>0</v>
      </c>
    </row>
    <row r="45" spans="2:9" ht="15" customHeight="1" x14ac:dyDescent="0.2">
      <c r="B45" t="s">
        <v>115</v>
      </c>
      <c r="C45" s="12">
        <v>3</v>
      </c>
      <c r="D45" s="8">
        <v>1.17</v>
      </c>
      <c r="E45" s="12">
        <v>1</v>
      </c>
      <c r="F45" s="8">
        <v>0.73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197</v>
      </c>
      <c r="C48" s="10" t="s">
        <v>61</v>
      </c>
      <c r="D48" s="10" t="s">
        <v>62</v>
      </c>
      <c r="E48" s="10" t="s">
        <v>63</v>
      </c>
      <c r="F48" s="10" t="s">
        <v>64</v>
      </c>
      <c r="G48" s="10" t="s">
        <v>65</v>
      </c>
      <c r="H48" s="10" t="s">
        <v>66</v>
      </c>
      <c r="I48" s="10" t="s">
        <v>67</v>
      </c>
    </row>
    <row r="49" spans="2:9" ht="15" customHeight="1" x14ac:dyDescent="0.2">
      <c r="B49" t="s">
        <v>134</v>
      </c>
      <c r="C49" s="12">
        <v>18</v>
      </c>
      <c r="D49" s="8">
        <v>7</v>
      </c>
      <c r="E49" s="12">
        <v>18</v>
      </c>
      <c r="F49" s="8">
        <v>13.14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121</v>
      </c>
      <c r="C50" s="12">
        <v>9</v>
      </c>
      <c r="D50" s="8">
        <v>3.5</v>
      </c>
      <c r="E50" s="12">
        <v>2</v>
      </c>
      <c r="F50" s="8">
        <v>1.46</v>
      </c>
      <c r="G50" s="12">
        <v>7</v>
      </c>
      <c r="H50" s="8">
        <v>6.09</v>
      </c>
      <c r="I50" s="12">
        <v>0</v>
      </c>
    </row>
    <row r="51" spans="2:9" ht="15" customHeight="1" x14ac:dyDescent="0.2">
      <c r="B51" t="s">
        <v>124</v>
      </c>
      <c r="C51" s="12">
        <v>9</v>
      </c>
      <c r="D51" s="8">
        <v>3.5</v>
      </c>
      <c r="E51" s="12">
        <v>6</v>
      </c>
      <c r="F51" s="8">
        <v>4.38</v>
      </c>
      <c r="G51" s="12">
        <v>3</v>
      </c>
      <c r="H51" s="8">
        <v>2.61</v>
      </c>
      <c r="I51" s="12">
        <v>0</v>
      </c>
    </row>
    <row r="52" spans="2:9" ht="15" customHeight="1" x14ac:dyDescent="0.2">
      <c r="B52" t="s">
        <v>133</v>
      </c>
      <c r="C52" s="12">
        <v>8</v>
      </c>
      <c r="D52" s="8">
        <v>3.11</v>
      </c>
      <c r="E52" s="12">
        <v>8</v>
      </c>
      <c r="F52" s="8">
        <v>5.84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8</v>
      </c>
      <c r="D53" s="8">
        <v>3.11</v>
      </c>
      <c r="E53" s="12">
        <v>5</v>
      </c>
      <c r="F53" s="8">
        <v>3.65</v>
      </c>
      <c r="G53" s="12">
        <v>3</v>
      </c>
      <c r="H53" s="8">
        <v>2.61</v>
      </c>
      <c r="I53" s="12">
        <v>0</v>
      </c>
    </row>
    <row r="54" spans="2:9" ht="15" customHeight="1" x14ac:dyDescent="0.2">
      <c r="B54" t="s">
        <v>118</v>
      </c>
      <c r="C54" s="12">
        <v>7</v>
      </c>
      <c r="D54" s="8">
        <v>2.72</v>
      </c>
      <c r="E54" s="12">
        <v>0</v>
      </c>
      <c r="F54" s="8">
        <v>0</v>
      </c>
      <c r="G54" s="12">
        <v>7</v>
      </c>
      <c r="H54" s="8">
        <v>6.09</v>
      </c>
      <c r="I54" s="12">
        <v>0</v>
      </c>
    </row>
    <row r="55" spans="2:9" ht="15" customHeight="1" x14ac:dyDescent="0.2">
      <c r="B55" t="s">
        <v>120</v>
      </c>
      <c r="C55" s="12">
        <v>7</v>
      </c>
      <c r="D55" s="8">
        <v>2.72</v>
      </c>
      <c r="E55" s="12">
        <v>5</v>
      </c>
      <c r="F55" s="8">
        <v>3.65</v>
      </c>
      <c r="G55" s="12">
        <v>2</v>
      </c>
      <c r="H55" s="8">
        <v>1.74</v>
      </c>
      <c r="I55" s="12">
        <v>0</v>
      </c>
    </row>
    <row r="56" spans="2:9" ht="15" customHeight="1" x14ac:dyDescent="0.2">
      <c r="B56" t="s">
        <v>131</v>
      </c>
      <c r="C56" s="12">
        <v>6</v>
      </c>
      <c r="D56" s="8">
        <v>2.33</v>
      </c>
      <c r="E56" s="12">
        <v>5</v>
      </c>
      <c r="F56" s="8">
        <v>3.65</v>
      </c>
      <c r="G56" s="12">
        <v>1</v>
      </c>
      <c r="H56" s="8">
        <v>0.87</v>
      </c>
      <c r="I56" s="12">
        <v>0</v>
      </c>
    </row>
    <row r="57" spans="2:9" ht="15" customHeight="1" x14ac:dyDescent="0.2">
      <c r="B57" t="s">
        <v>151</v>
      </c>
      <c r="C57" s="12">
        <v>5</v>
      </c>
      <c r="D57" s="8">
        <v>1.95</v>
      </c>
      <c r="E57" s="12">
        <v>1</v>
      </c>
      <c r="F57" s="8">
        <v>0.73</v>
      </c>
      <c r="G57" s="12">
        <v>4</v>
      </c>
      <c r="H57" s="8">
        <v>3.48</v>
      </c>
      <c r="I57" s="12">
        <v>0</v>
      </c>
    </row>
    <row r="58" spans="2:9" ht="15" customHeight="1" x14ac:dyDescent="0.2">
      <c r="B58" t="s">
        <v>181</v>
      </c>
      <c r="C58" s="12">
        <v>5</v>
      </c>
      <c r="D58" s="8">
        <v>1.95</v>
      </c>
      <c r="E58" s="12">
        <v>0</v>
      </c>
      <c r="F58" s="8">
        <v>0</v>
      </c>
      <c r="G58" s="12">
        <v>5</v>
      </c>
      <c r="H58" s="8">
        <v>4.3499999999999996</v>
      </c>
      <c r="I58" s="12">
        <v>0</v>
      </c>
    </row>
    <row r="59" spans="2:9" ht="15" customHeight="1" x14ac:dyDescent="0.2">
      <c r="B59" t="s">
        <v>147</v>
      </c>
      <c r="C59" s="12">
        <v>5</v>
      </c>
      <c r="D59" s="8">
        <v>1.95</v>
      </c>
      <c r="E59" s="12">
        <v>4</v>
      </c>
      <c r="F59" s="8">
        <v>2.92</v>
      </c>
      <c r="G59" s="12">
        <v>1</v>
      </c>
      <c r="H59" s="8">
        <v>0.87</v>
      </c>
      <c r="I59" s="12">
        <v>0</v>
      </c>
    </row>
    <row r="60" spans="2:9" ht="15" customHeight="1" x14ac:dyDescent="0.2">
      <c r="B60" t="s">
        <v>140</v>
      </c>
      <c r="C60" s="12">
        <v>5</v>
      </c>
      <c r="D60" s="8">
        <v>1.95</v>
      </c>
      <c r="E60" s="12">
        <v>3</v>
      </c>
      <c r="F60" s="8">
        <v>2.19</v>
      </c>
      <c r="G60" s="12">
        <v>2</v>
      </c>
      <c r="H60" s="8">
        <v>1.74</v>
      </c>
      <c r="I60" s="12">
        <v>0</v>
      </c>
    </row>
    <row r="61" spans="2:9" ht="15" customHeight="1" x14ac:dyDescent="0.2">
      <c r="B61" t="s">
        <v>127</v>
      </c>
      <c r="C61" s="12">
        <v>5</v>
      </c>
      <c r="D61" s="8">
        <v>1.95</v>
      </c>
      <c r="E61" s="12">
        <v>1</v>
      </c>
      <c r="F61" s="8">
        <v>0.73</v>
      </c>
      <c r="G61" s="12">
        <v>4</v>
      </c>
      <c r="H61" s="8">
        <v>3.48</v>
      </c>
      <c r="I61" s="12">
        <v>0</v>
      </c>
    </row>
    <row r="62" spans="2:9" ht="15" customHeight="1" x14ac:dyDescent="0.2">
      <c r="B62" t="s">
        <v>130</v>
      </c>
      <c r="C62" s="12">
        <v>5</v>
      </c>
      <c r="D62" s="8">
        <v>1.95</v>
      </c>
      <c r="E62" s="12">
        <v>3</v>
      </c>
      <c r="F62" s="8">
        <v>2.19</v>
      </c>
      <c r="G62" s="12">
        <v>2</v>
      </c>
      <c r="H62" s="8">
        <v>1.74</v>
      </c>
      <c r="I62" s="12">
        <v>0</v>
      </c>
    </row>
    <row r="63" spans="2:9" ht="15" customHeight="1" x14ac:dyDescent="0.2">
      <c r="B63" t="s">
        <v>139</v>
      </c>
      <c r="C63" s="12">
        <v>5</v>
      </c>
      <c r="D63" s="8">
        <v>1.95</v>
      </c>
      <c r="E63" s="12">
        <v>4</v>
      </c>
      <c r="F63" s="8">
        <v>2.92</v>
      </c>
      <c r="G63" s="12">
        <v>1</v>
      </c>
      <c r="H63" s="8">
        <v>0.87</v>
      </c>
      <c r="I63" s="12">
        <v>0</v>
      </c>
    </row>
    <row r="64" spans="2:9" ht="15" customHeight="1" x14ac:dyDescent="0.2">
      <c r="B64" t="s">
        <v>135</v>
      </c>
      <c r="C64" s="12">
        <v>5</v>
      </c>
      <c r="D64" s="8">
        <v>1.95</v>
      </c>
      <c r="E64" s="12">
        <v>5</v>
      </c>
      <c r="F64" s="8">
        <v>3.65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153</v>
      </c>
      <c r="C65" s="12">
        <v>4</v>
      </c>
      <c r="D65" s="8">
        <v>1.56</v>
      </c>
      <c r="E65" s="12">
        <v>1</v>
      </c>
      <c r="F65" s="8">
        <v>0.73</v>
      </c>
      <c r="G65" s="12">
        <v>3</v>
      </c>
      <c r="H65" s="8">
        <v>2.61</v>
      </c>
      <c r="I65" s="12">
        <v>0</v>
      </c>
    </row>
    <row r="66" spans="2:9" ht="15" customHeight="1" x14ac:dyDescent="0.2">
      <c r="B66" t="s">
        <v>155</v>
      </c>
      <c r="C66" s="12">
        <v>4</v>
      </c>
      <c r="D66" s="8">
        <v>1.56</v>
      </c>
      <c r="E66" s="12">
        <v>3</v>
      </c>
      <c r="F66" s="8">
        <v>2.19</v>
      </c>
      <c r="G66" s="12">
        <v>1</v>
      </c>
      <c r="H66" s="8">
        <v>0.87</v>
      </c>
      <c r="I66" s="12">
        <v>0</v>
      </c>
    </row>
    <row r="67" spans="2:9" ht="15" customHeight="1" x14ac:dyDescent="0.2">
      <c r="B67" t="s">
        <v>123</v>
      </c>
      <c r="C67" s="12">
        <v>4</v>
      </c>
      <c r="D67" s="8">
        <v>1.56</v>
      </c>
      <c r="E67" s="12">
        <v>4</v>
      </c>
      <c r="F67" s="8">
        <v>2.92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191</v>
      </c>
      <c r="C68" s="12">
        <v>4</v>
      </c>
      <c r="D68" s="8">
        <v>1.56</v>
      </c>
      <c r="E68" s="12">
        <v>2</v>
      </c>
      <c r="F68" s="8">
        <v>1.46</v>
      </c>
      <c r="G68" s="12">
        <v>2</v>
      </c>
      <c r="H68" s="8">
        <v>1.74</v>
      </c>
      <c r="I68" s="12">
        <v>0</v>
      </c>
    </row>
    <row r="69" spans="2:9" ht="15" customHeight="1" x14ac:dyDescent="0.2">
      <c r="B69" t="s">
        <v>170</v>
      </c>
      <c r="C69" s="12">
        <v>4</v>
      </c>
      <c r="D69" s="8">
        <v>1.56</v>
      </c>
      <c r="E69" s="12">
        <v>2</v>
      </c>
      <c r="F69" s="8">
        <v>1.46</v>
      </c>
      <c r="G69" s="12">
        <v>2</v>
      </c>
      <c r="H69" s="8">
        <v>1.74</v>
      </c>
      <c r="I69" s="12">
        <v>0</v>
      </c>
    </row>
    <row r="70" spans="2:9" ht="15" customHeight="1" x14ac:dyDescent="0.2">
      <c r="B70" t="s">
        <v>126</v>
      </c>
      <c r="C70" s="12">
        <v>4</v>
      </c>
      <c r="D70" s="8">
        <v>1.56</v>
      </c>
      <c r="E70" s="12">
        <v>1</v>
      </c>
      <c r="F70" s="8">
        <v>0.73</v>
      </c>
      <c r="G70" s="12">
        <v>3</v>
      </c>
      <c r="H70" s="8">
        <v>2.61</v>
      </c>
      <c r="I70" s="12">
        <v>0</v>
      </c>
    </row>
    <row r="71" spans="2:9" ht="15" customHeight="1" x14ac:dyDescent="0.2">
      <c r="B71" t="s">
        <v>136</v>
      </c>
      <c r="C71" s="12">
        <v>4</v>
      </c>
      <c r="D71" s="8">
        <v>1.56</v>
      </c>
      <c r="E71" s="12">
        <v>4</v>
      </c>
      <c r="F71" s="8">
        <v>2.92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B0C6-CF18-45E9-B0F4-DA10DE0361B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31</v>
      </c>
      <c r="D5" s="8">
        <v>0.05</v>
      </c>
      <c r="E5" s="12">
        <v>8</v>
      </c>
      <c r="F5" s="8">
        <v>0.02</v>
      </c>
      <c r="G5" s="12">
        <v>23</v>
      </c>
      <c r="H5" s="8">
        <v>0.08</v>
      </c>
      <c r="I5" s="12">
        <v>0</v>
      </c>
    </row>
    <row r="6" spans="2:9" ht="15" customHeight="1" x14ac:dyDescent="0.2">
      <c r="B6" t="s">
        <v>46</v>
      </c>
      <c r="C6" s="12">
        <v>11715</v>
      </c>
      <c r="D6" s="8">
        <v>18.38</v>
      </c>
      <c r="E6" s="12">
        <v>4749</v>
      </c>
      <c r="F6" s="8">
        <v>13.65</v>
      </c>
      <c r="G6" s="12">
        <v>6965</v>
      </c>
      <c r="H6" s="8">
        <v>24.48</v>
      </c>
      <c r="I6" s="12">
        <v>1</v>
      </c>
    </row>
    <row r="7" spans="2:9" ht="15" customHeight="1" x14ac:dyDescent="0.2">
      <c r="B7" t="s">
        <v>47</v>
      </c>
      <c r="C7" s="12">
        <v>5766</v>
      </c>
      <c r="D7" s="8">
        <v>9.0500000000000007</v>
      </c>
      <c r="E7" s="12">
        <v>2340</v>
      </c>
      <c r="F7" s="8">
        <v>6.72</v>
      </c>
      <c r="G7" s="12">
        <v>3425</v>
      </c>
      <c r="H7" s="8">
        <v>12.04</v>
      </c>
      <c r="I7" s="12">
        <v>1</v>
      </c>
    </row>
    <row r="8" spans="2:9" ht="15" customHeight="1" x14ac:dyDescent="0.2">
      <c r="B8" t="s">
        <v>48</v>
      </c>
      <c r="C8" s="12">
        <v>199</v>
      </c>
      <c r="D8" s="8">
        <v>0.31</v>
      </c>
      <c r="E8" s="12">
        <v>3</v>
      </c>
      <c r="F8" s="8">
        <v>0.01</v>
      </c>
      <c r="G8" s="12">
        <v>184</v>
      </c>
      <c r="H8" s="8">
        <v>0.65</v>
      </c>
      <c r="I8" s="12">
        <v>1</v>
      </c>
    </row>
    <row r="9" spans="2:9" ht="15" customHeight="1" x14ac:dyDescent="0.2">
      <c r="B9" t="s">
        <v>49</v>
      </c>
      <c r="C9" s="12">
        <v>449</v>
      </c>
      <c r="D9" s="8">
        <v>0.7</v>
      </c>
      <c r="E9" s="12">
        <v>33</v>
      </c>
      <c r="F9" s="8">
        <v>0.09</v>
      </c>
      <c r="G9" s="12">
        <v>416</v>
      </c>
      <c r="H9" s="8">
        <v>1.46</v>
      </c>
      <c r="I9" s="12">
        <v>0</v>
      </c>
    </row>
    <row r="10" spans="2:9" ht="15" customHeight="1" x14ac:dyDescent="0.2">
      <c r="B10" t="s">
        <v>50</v>
      </c>
      <c r="C10" s="12">
        <v>690</v>
      </c>
      <c r="D10" s="8">
        <v>1.08</v>
      </c>
      <c r="E10" s="12">
        <v>95</v>
      </c>
      <c r="F10" s="8">
        <v>0.27</v>
      </c>
      <c r="G10" s="12">
        <v>588</v>
      </c>
      <c r="H10" s="8">
        <v>2.0699999999999998</v>
      </c>
      <c r="I10" s="12">
        <v>6</v>
      </c>
    </row>
    <row r="11" spans="2:9" ht="15" customHeight="1" x14ac:dyDescent="0.2">
      <c r="B11" t="s">
        <v>51</v>
      </c>
      <c r="C11" s="12">
        <v>14546</v>
      </c>
      <c r="D11" s="8">
        <v>22.82</v>
      </c>
      <c r="E11" s="12">
        <v>7291</v>
      </c>
      <c r="F11" s="8">
        <v>20.95</v>
      </c>
      <c r="G11" s="12">
        <v>7240</v>
      </c>
      <c r="H11" s="8">
        <v>25.44</v>
      </c>
      <c r="I11" s="12">
        <v>14</v>
      </c>
    </row>
    <row r="12" spans="2:9" ht="15" customHeight="1" x14ac:dyDescent="0.2">
      <c r="B12" t="s">
        <v>52</v>
      </c>
      <c r="C12" s="12">
        <v>382</v>
      </c>
      <c r="D12" s="8">
        <v>0.6</v>
      </c>
      <c r="E12" s="12">
        <v>62</v>
      </c>
      <c r="F12" s="8">
        <v>0.18</v>
      </c>
      <c r="G12" s="12">
        <v>319</v>
      </c>
      <c r="H12" s="8">
        <v>1.1200000000000001</v>
      </c>
      <c r="I12" s="12">
        <v>0</v>
      </c>
    </row>
    <row r="13" spans="2:9" ht="15" customHeight="1" x14ac:dyDescent="0.2">
      <c r="B13" t="s">
        <v>53</v>
      </c>
      <c r="C13" s="12">
        <v>4765</v>
      </c>
      <c r="D13" s="8">
        <v>7.48</v>
      </c>
      <c r="E13" s="12">
        <v>2066</v>
      </c>
      <c r="F13" s="8">
        <v>5.94</v>
      </c>
      <c r="G13" s="12">
        <v>2690</v>
      </c>
      <c r="H13" s="8">
        <v>9.4499999999999993</v>
      </c>
      <c r="I13" s="12">
        <v>3</v>
      </c>
    </row>
    <row r="14" spans="2:9" ht="15" customHeight="1" x14ac:dyDescent="0.2">
      <c r="B14" t="s">
        <v>54</v>
      </c>
      <c r="C14" s="12">
        <v>2877</v>
      </c>
      <c r="D14" s="8">
        <v>4.51</v>
      </c>
      <c r="E14" s="12">
        <v>1462</v>
      </c>
      <c r="F14" s="8">
        <v>4.2</v>
      </c>
      <c r="G14" s="12">
        <v>1381</v>
      </c>
      <c r="H14" s="8">
        <v>4.8499999999999996</v>
      </c>
      <c r="I14" s="12">
        <v>2</v>
      </c>
    </row>
    <row r="15" spans="2:9" ht="15" customHeight="1" x14ac:dyDescent="0.2">
      <c r="B15" t="s">
        <v>55</v>
      </c>
      <c r="C15" s="12">
        <v>6421</v>
      </c>
      <c r="D15" s="8">
        <v>10.08</v>
      </c>
      <c r="E15" s="12">
        <v>5205</v>
      </c>
      <c r="F15" s="8">
        <v>14.96</v>
      </c>
      <c r="G15" s="12">
        <v>1193</v>
      </c>
      <c r="H15" s="8">
        <v>4.1900000000000004</v>
      </c>
      <c r="I15" s="12">
        <v>0</v>
      </c>
    </row>
    <row r="16" spans="2:9" ht="15" customHeight="1" x14ac:dyDescent="0.2">
      <c r="B16" t="s">
        <v>56</v>
      </c>
      <c r="C16" s="12">
        <v>8333</v>
      </c>
      <c r="D16" s="8">
        <v>13.08</v>
      </c>
      <c r="E16" s="12">
        <v>6795</v>
      </c>
      <c r="F16" s="8">
        <v>19.53</v>
      </c>
      <c r="G16" s="12">
        <v>1497</v>
      </c>
      <c r="H16" s="8">
        <v>5.26</v>
      </c>
      <c r="I16" s="12">
        <v>4</v>
      </c>
    </row>
    <row r="17" spans="2:9" ht="15" customHeight="1" x14ac:dyDescent="0.2">
      <c r="B17" t="s">
        <v>57</v>
      </c>
      <c r="C17" s="12">
        <v>2029</v>
      </c>
      <c r="D17" s="8">
        <v>3.18</v>
      </c>
      <c r="E17" s="12">
        <v>1373</v>
      </c>
      <c r="F17" s="8">
        <v>3.95</v>
      </c>
      <c r="G17" s="12">
        <v>487</v>
      </c>
      <c r="H17" s="8">
        <v>1.71</v>
      </c>
      <c r="I17" s="12">
        <v>4</v>
      </c>
    </row>
    <row r="18" spans="2:9" ht="15" customHeight="1" x14ac:dyDescent="0.2">
      <c r="B18" t="s">
        <v>58</v>
      </c>
      <c r="C18" s="12">
        <v>2619</v>
      </c>
      <c r="D18" s="8">
        <v>4.1100000000000003</v>
      </c>
      <c r="E18" s="12">
        <v>1801</v>
      </c>
      <c r="F18" s="8">
        <v>5.18</v>
      </c>
      <c r="G18" s="12">
        <v>733</v>
      </c>
      <c r="H18" s="8">
        <v>2.58</v>
      </c>
      <c r="I18" s="12">
        <v>8</v>
      </c>
    </row>
    <row r="19" spans="2:9" ht="15" customHeight="1" x14ac:dyDescent="0.2">
      <c r="B19" t="s">
        <v>59</v>
      </c>
      <c r="C19" s="12">
        <v>2908</v>
      </c>
      <c r="D19" s="8">
        <v>4.5599999999999996</v>
      </c>
      <c r="E19" s="12">
        <v>1517</v>
      </c>
      <c r="F19" s="8">
        <v>4.3600000000000003</v>
      </c>
      <c r="G19" s="12">
        <v>1314</v>
      </c>
      <c r="H19" s="8">
        <v>4.62</v>
      </c>
      <c r="I19" s="12">
        <v>11</v>
      </c>
    </row>
    <row r="20" spans="2:9" ht="15" customHeight="1" x14ac:dyDescent="0.2">
      <c r="B20" s="9" t="s">
        <v>195</v>
      </c>
      <c r="C20" s="12">
        <f>SUM(LTBL_08000[総数／事業所数])</f>
        <v>63730</v>
      </c>
      <c r="E20" s="12">
        <f>SUBTOTAL(109,LTBL_08000[個人／事業所数])</f>
        <v>34800</v>
      </c>
      <c r="G20" s="12">
        <f>SUBTOTAL(109,LTBL_08000[法人／事業所数])</f>
        <v>28455</v>
      </c>
      <c r="I20" s="12">
        <f>SUBTOTAL(109,LTBL_08000[法人以外の団体／事業所数])</f>
        <v>55</v>
      </c>
    </row>
    <row r="21" spans="2:9" ht="15" customHeight="1" x14ac:dyDescent="0.2">
      <c r="E21" s="11">
        <f>LTBL_08000[[#Totals],[個人／事業所数]]/LTBL_08000[[#Totals],[総数／事業所数]]</f>
        <v>0.54605366389455512</v>
      </c>
      <c r="G21" s="11">
        <f>LTBL_08000[[#Totals],[法人／事業所数]]/LTBL_08000[[#Totals],[総数／事業所数]]</f>
        <v>0.44649301741722891</v>
      </c>
      <c r="I21" s="11">
        <f>LTBL_08000[[#Totals],[法人以外の団体／事業所数]]/LTBL_08000[[#Totals],[総数／事業所数]]</f>
        <v>8.6301584810921075E-4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7185</v>
      </c>
      <c r="D24" s="8">
        <v>11.27</v>
      </c>
      <c r="E24" s="12">
        <v>6282</v>
      </c>
      <c r="F24" s="8">
        <v>18.05</v>
      </c>
      <c r="G24" s="12">
        <v>902</v>
      </c>
      <c r="H24" s="8">
        <v>3.17</v>
      </c>
      <c r="I24" s="12">
        <v>0</v>
      </c>
    </row>
    <row r="25" spans="2:9" ht="15" customHeight="1" x14ac:dyDescent="0.2">
      <c r="B25" t="s">
        <v>82</v>
      </c>
      <c r="C25" s="12">
        <v>5699</v>
      </c>
      <c r="D25" s="8">
        <v>8.94</v>
      </c>
      <c r="E25" s="12">
        <v>4907</v>
      </c>
      <c r="F25" s="8">
        <v>14.1</v>
      </c>
      <c r="G25" s="12">
        <v>792</v>
      </c>
      <c r="H25" s="8">
        <v>2.78</v>
      </c>
      <c r="I25" s="12">
        <v>0</v>
      </c>
    </row>
    <row r="26" spans="2:9" ht="15" customHeight="1" x14ac:dyDescent="0.2">
      <c r="B26" t="s">
        <v>68</v>
      </c>
      <c r="C26" s="12">
        <v>5015</v>
      </c>
      <c r="D26" s="8">
        <v>7.87</v>
      </c>
      <c r="E26" s="12">
        <v>1867</v>
      </c>
      <c r="F26" s="8">
        <v>5.36</v>
      </c>
      <c r="G26" s="12">
        <v>3148</v>
      </c>
      <c r="H26" s="8">
        <v>11.06</v>
      </c>
      <c r="I26" s="12">
        <v>0</v>
      </c>
    </row>
    <row r="27" spans="2:9" ht="15" customHeight="1" x14ac:dyDescent="0.2">
      <c r="B27" t="s">
        <v>77</v>
      </c>
      <c r="C27" s="12">
        <v>4363</v>
      </c>
      <c r="D27" s="8">
        <v>6.85</v>
      </c>
      <c r="E27" s="12">
        <v>2294</v>
      </c>
      <c r="F27" s="8">
        <v>6.59</v>
      </c>
      <c r="G27" s="12">
        <v>2066</v>
      </c>
      <c r="H27" s="8">
        <v>7.26</v>
      </c>
      <c r="I27" s="12">
        <v>3</v>
      </c>
    </row>
    <row r="28" spans="2:9" ht="15" customHeight="1" x14ac:dyDescent="0.2">
      <c r="B28" t="s">
        <v>69</v>
      </c>
      <c r="C28" s="12">
        <v>3921</v>
      </c>
      <c r="D28" s="8">
        <v>6.15</v>
      </c>
      <c r="E28" s="12">
        <v>2033</v>
      </c>
      <c r="F28" s="8">
        <v>5.84</v>
      </c>
      <c r="G28" s="12">
        <v>1887</v>
      </c>
      <c r="H28" s="8">
        <v>6.63</v>
      </c>
      <c r="I28" s="12">
        <v>1</v>
      </c>
    </row>
    <row r="29" spans="2:9" ht="15" customHeight="1" x14ac:dyDescent="0.2">
      <c r="B29" t="s">
        <v>79</v>
      </c>
      <c r="C29" s="12">
        <v>3757</v>
      </c>
      <c r="D29" s="8">
        <v>5.9</v>
      </c>
      <c r="E29" s="12">
        <v>1927</v>
      </c>
      <c r="F29" s="8">
        <v>5.54</v>
      </c>
      <c r="G29" s="12">
        <v>1821</v>
      </c>
      <c r="H29" s="8">
        <v>6.4</v>
      </c>
      <c r="I29" s="12">
        <v>3</v>
      </c>
    </row>
    <row r="30" spans="2:9" ht="15" customHeight="1" x14ac:dyDescent="0.2">
      <c r="B30" t="s">
        <v>75</v>
      </c>
      <c r="C30" s="12">
        <v>3004</v>
      </c>
      <c r="D30" s="8">
        <v>4.71</v>
      </c>
      <c r="E30" s="12">
        <v>2271</v>
      </c>
      <c r="F30" s="8">
        <v>6.53</v>
      </c>
      <c r="G30" s="12">
        <v>725</v>
      </c>
      <c r="H30" s="8">
        <v>2.5499999999999998</v>
      </c>
      <c r="I30" s="12">
        <v>7</v>
      </c>
    </row>
    <row r="31" spans="2:9" ht="15" customHeight="1" x14ac:dyDescent="0.2">
      <c r="B31" t="s">
        <v>70</v>
      </c>
      <c r="C31" s="12">
        <v>2779</v>
      </c>
      <c r="D31" s="8">
        <v>4.3600000000000003</v>
      </c>
      <c r="E31" s="12">
        <v>849</v>
      </c>
      <c r="F31" s="8">
        <v>2.44</v>
      </c>
      <c r="G31" s="12">
        <v>1930</v>
      </c>
      <c r="H31" s="8">
        <v>6.78</v>
      </c>
      <c r="I31" s="12">
        <v>0</v>
      </c>
    </row>
    <row r="32" spans="2:9" ht="15" customHeight="1" x14ac:dyDescent="0.2">
      <c r="B32" t="s">
        <v>76</v>
      </c>
      <c r="C32" s="12">
        <v>2206</v>
      </c>
      <c r="D32" s="8">
        <v>3.46</v>
      </c>
      <c r="E32" s="12">
        <v>1357</v>
      </c>
      <c r="F32" s="8">
        <v>3.9</v>
      </c>
      <c r="G32" s="12">
        <v>848</v>
      </c>
      <c r="H32" s="8">
        <v>2.98</v>
      </c>
      <c r="I32" s="12">
        <v>1</v>
      </c>
    </row>
    <row r="33" spans="2:9" ht="15" customHeight="1" x14ac:dyDescent="0.2">
      <c r="B33" t="s">
        <v>85</v>
      </c>
      <c r="C33" s="12">
        <v>2029</v>
      </c>
      <c r="D33" s="8">
        <v>3.18</v>
      </c>
      <c r="E33" s="12">
        <v>1373</v>
      </c>
      <c r="F33" s="8">
        <v>3.95</v>
      </c>
      <c r="G33" s="12">
        <v>487</v>
      </c>
      <c r="H33" s="8">
        <v>1.71</v>
      </c>
      <c r="I33" s="12">
        <v>4</v>
      </c>
    </row>
    <row r="34" spans="2:9" ht="15" customHeight="1" x14ac:dyDescent="0.2">
      <c r="B34" t="s">
        <v>86</v>
      </c>
      <c r="C34" s="12">
        <v>1998</v>
      </c>
      <c r="D34" s="8">
        <v>3.14</v>
      </c>
      <c r="E34" s="12">
        <v>1785</v>
      </c>
      <c r="F34" s="8">
        <v>5.13</v>
      </c>
      <c r="G34" s="12">
        <v>209</v>
      </c>
      <c r="H34" s="8">
        <v>0.73</v>
      </c>
      <c r="I34" s="12">
        <v>1</v>
      </c>
    </row>
    <row r="35" spans="2:9" ht="15" customHeight="1" x14ac:dyDescent="0.2">
      <c r="B35" t="s">
        <v>87</v>
      </c>
      <c r="C35" s="12">
        <v>1569</v>
      </c>
      <c r="D35" s="8">
        <v>2.46</v>
      </c>
      <c r="E35" s="12">
        <v>1273</v>
      </c>
      <c r="F35" s="8">
        <v>3.66</v>
      </c>
      <c r="G35" s="12">
        <v>296</v>
      </c>
      <c r="H35" s="8">
        <v>1.04</v>
      </c>
      <c r="I35" s="12">
        <v>0</v>
      </c>
    </row>
    <row r="36" spans="2:9" ht="15" customHeight="1" x14ac:dyDescent="0.2">
      <c r="B36" t="s">
        <v>81</v>
      </c>
      <c r="C36" s="12">
        <v>1386</v>
      </c>
      <c r="D36" s="8">
        <v>2.17</v>
      </c>
      <c r="E36" s="12">
        <v>541</v>
      </c>
      <c r="F36" s="8">
        <v>1.55</v>
      </c>
      <c r="G36" s="12">
        <v>814</v>
      </c>
      <c r="H36" s="8">
        <v>2.86</v>
      </c>
      <c r="I36" s="12">
        <v>0</v>
      </c>
    </row>
    <row r="37" spans="2:9" ht="15" customHeight="1" x14ac:dyDescent="0.2">
      <c r="B37" t="s">
        <v>80</v>
      </c>
      <c r="C37" s="12">
        <v>1373</v>
      </c>
      <c r="D37" s="8">
        <v>2.15</v>
      </c>
      <c r="E37" s="12">
        <v>912</v>
      </c>
      <c r="F37" s="8">
        <v>2.62</v>
      </c>
      <c r="G37" s="12">
        <v>459</v>
      </c>
      <c r="H37" s="8">
        <v>1.61</v>
      </c>
      <c r="I37" s="12">
        <v>2</v>
      </c>
    </row>
    <row r="38" spans="2:9" ht="15" customHeight="1" x14ac:dyDescent="0.2">
      <c r="B38" t="s">
        <v>74</v>
      </c>
      <c r="C38" s="12">
        <v>1305</v>
      </c>
      <c r="D38" s="8">
        <v>2.0499999999999998</v>
      </c>
      <c r="E38" s="12">
        <v>625</v>
      </c>
      <c r="F38" s="8">
        <v>1.8</v>
      </c>
      <c r="G38" s="12">
        <v>680</v>
      </c>
      <c r="H38" s="8">
        <v>2.39</v>
      </c>
      <c r="I38" s="12">
        <v>0</v>
      </c>
    </row>
    <row r="39" spans="2:9" ht="15" customHeight="1" x14ac:dyDescent="0.2">
      <c r="B39" t="s">
        <v>72</v>
      </c>
      <c r="C39" s="12">
        <v>904</v>
      </c>
      <c r="D39" s="8">
        <v>1.42</v>
      </c>
      <c r="E39" s="12">
        <v>175</v>
      </c>
      <c r="F39" s="8">
        <v>0.5</v>
      </c>
      <c r="G39" s="12">
        <v>729</v>
      </c>
      <c r="H39" s="8">
        <v>2.56</v>
      </c>
      <c r="I39" s="12">
        <v>0</v>
      </c>
    </row>
    <row r="40" spans="2:9" ht="15" customHeight="1" x14ac:dyDescent="0.2">
      <c r="B40" t="s">
        <v>73</v>
      </c>
      <c r="C40" s="12">
        <v>856</v>
      </c>
      <c r="D40" s="8">
        <v>1.34</v>
      </c>
      <c r="E40" s="12">
        <v>84</v>
      </c>
      <c r="F40" s="8">
        <v>0.24</v>
      </c>
      <c r="G40" s="12">
        <v>772</v>
      </c>
      <c r="H40" s="8">
        <v>2.71</v>
      </c>
      <c r="I40" s="12">
        <v>0</v>
      </c>
    </row>
    <row r="41" spans="2:9" ht="15" customHeight="1" x14ac:dyDescent="0.2">
      <c r="B41" t="s">
        <v>71</v>
      </c>
      <c r="C41" s="12">
        <v>809</v>
      </c>
      <c r="D41" s="8">
        <v>1.27</v>
      </c>
      <c r="E41" s="12">
        <v>312</v>
      </c>
      <c r="F41" s="8">
        <v>0.9</v>
      </c>
      <c r="G41" s="12">
        <v>497</v>
      </c>
      <c r="H41" s="8">
        <v>1.75</v>
      </c>
      <c r="I41" s="12">
        <v>0</v>
      </c>
    </row>
    <row r="42" spans="2:9" ht="15" customHeight="1" x14ac:dyDescent="0.2">
      <c r="B42" t="s">
        <v>84</v>
      </c>
      <c r="C42" s="12">
        <v>790</v>
      </c>
      <c r="D42" s="8">
        <v>1.24</v>
      </c>
      <c r="E42" s="12">
        <v>347</v>
      </c>
      <c r="F42" s="8">
        <v>1</v>
      </c>
      <c r="G42" s="12">
        <v>428</v>
      </c>
      <c r="H42" s="8">
        <v>1.5</v>
      </c>
      <c r="I42" s="12">
        <v>1</v>
      </c>
    </row>
    <row r="43" spans="2:9" ht="15" customHeight="1" x14ac:dyDescent="0.2">
      <c r="B43" t="s">
        <v>78</v>
      </c>
      <c r="C43" s="12">
        <v>767</v>
      </c>
      <c r="D43" s="8">
        <v>1.2</v>
      </c>
      <c r="E43" s="12">
        <v>104</v>
      </c>
      <c r="F43" s="8">
        <v>0.3</v>
      </c>
      <c r="G43" s="12">
        <v>663</v>
      </c>
      <c r="H43" s="8">
        <v>2.33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3435</v>
      </c>
      <c r="D47" s="8">
        <v>5.39</v>
      </c>
      <c r="E47" s="12">
        <v>3163</v>
      </c>
      <c r="F47" s="8">
        <v>9.09</v>
      </c>
      <c r="G47" s="12">
        <v>272</v>
      </c>
      <c r="H47" s="8">
        <v>0.96</v>
      </c>
      <c r="I47" s="12">
        <v>0</v>
      </c>
    </row>
    <row r="48" spans="2:9" ht="15" customHeight="1" x14ac:dyDescent="0.2">
      <c r="B48" t="s">
        <v>133</v>
      </c>
      <c r="C48" s="12">
        <v>2660</v>
      </c>
      <c r="D48" s="8">
        <v>4.17</v>
      </c>
      <c r="E48" s="12">
        <v>2529</v>
      </c>
      <c r="F48" s="8">
        <v>7.27</v>
      </c>
      <c r="G48" s="12">
        <v>131</v>
      </c>
      <c r="H48" s="8">
        <v>0.46</v>
      </c>
      <c r="I48" s="12">
        <v>0</v>
      </c>
    </row>
    <row r="49" spans="2:9" ht="15" customHeight="1" x14ac:dyDescent="0.2">
      <c r="B49" t="s">
        <v>129</v>
      </c>
      <c r="C49" s="12">
        <v>2406</v>
      </c>
      <c r="D49" s="8">
        <v>3.78</v>
      </c>
      <c r="E49" s="12">
        <v>1589</v>
      </c>
      <c r="F49" s="8">
        <v>4.57</v>
      </c>
      <c r="G49" s="12">
        <v>811</v>
      </c>
      <c r="H49" s="8">
        <v>2.85</v>
      </c>
      <c r="I49" s="12">
        <v>0</v>
      </c>
    </row>
    <row r="50" spans="2:9" ht="15" customHeight="1" x14ac:dyDescent="0.2">
      <c r="B50" t="s">
        <v>120</v>
      </c>
      <c r="C50" s="12">
        <v>1717</v>
      </c>
      <c r="D50" s="8">
        <v>2.69</v>
      </c>
      <c r="E50" s="12">
        <v>1149</v>
      </c>
      <c r="F50" s="8">
        <v>3.3</v>
      </c>
      <c r="G50" s="12">
        <v>568</v>
      </c>
      <c r="H50" s="8">
        <v>2</v>
      </c>
      <c r="I50" s="12">
        <v>0</v>
      </c>
    </row>
    <row r="51" spans="2:9" ht="15" customHeight="1" x14ac:dyDescent="0.2">
      <c r="B51" t="s">
        <v>131</v>
      </c>
      <c r="C51" s="12">
        <v>1676</v>
      </c>
      <c r="D51" s="8">
        <v>2.63</v>
      </c>
      <c r="E51" s="12">
        <v>1370</v>
      </c>
      <c r="F51" s="8">
        <v>3.94</v>
      </c>
      <c r="G51" s="12">
        <v>306</v>
      </c>
      <c r="H51" s="8">
        <v>1.08</v>
      </c>
      <c r="I51" s="12">
        <v>0</v>
      </c>
    </row>
    <row r="52" spans="2:9" ht="15" customHeight="1" x14ac:dyDescent="0.2">
      <c r="B52" t="s">
        <v>137</v>
      </c>
      <c r="C52" s="12">
        <v>1567</v>
      </c>
      <c r="D52" s="8">
        <v>2.46</v>
      </c>
      <c r="E52" s="12">
        <v>1273</v>
      </c>
      <c r="F52" s="8">
        <v>3.66</v>
      </c>
      <c r="G52" s="12">
        <v>294</v>
      </c>
      <c r="H52" s="8">
        <v>1.03</v>
      </c>
      <c r="I52" s="12">
        <v>0</v>
      </c>
    </row>
    <row r="53" spans="2:9" ht="15" customHeight="1" x14ac:dyDescent="0.2">
      <c r="B53" t="s">
        <v>118</v>
      </c>
      <c r="C53" s="12">
        <v>1520</v>
      </c>
      <c r="D53" s="8">
        <v>2.39</v>
      </c>
      <c r="E53" s="12">
        <v>248</v>
      </c>
      <c r="F53" s="8">
        <v>0.71</v>
      </c>
      <c r="G53" s="12">
        <v>1272</v>
      </c>
      <c r="H53" s="8">
        <v>4.47</v>
      </c>
      <c r="I53" s="12">
        <v>0</v>
      </c>
    </row>
    <row r="54" spans="2:9" ht="15" customHeight="1" x14ac:dyDescent="0.2">
      <c r="B54" t="s">
        <v>132</v>
      </c>
      <c r="C54" s="12">
        <v>1514</v>
      </c>
      <c r="D54" s="8">
        <v>2.38</v>
      </c>
      <c r="E54" s="12">
        <v>1398</v>
      </c>
      <c r="F54" s="8">
        <v>4.0199999999999996</v>
      </c>
      <c r="G54" s="12">
        <v>116</v>
      </c>
      <c r="H54" s="8">
        <v>0.41</v>
      </c>
      <c r="I54" s="12">
        <v>0</v>
      </c>
    </row>
    <row r="55" spans="2:9" ht="15" customHeight="1" x14ac:dyDescent="0.2">
      <c r="B55" t="s">
        <v>124</v>
      </c>
      <c r="C55" s="12">
        <v>1476</v>
      </c>
      <c r="D55" s="8">
        <v>2.3199999999999998</v>
      </c>
      <c r="E55" s="12">
        <v>860</v>
      </c>
      <c r="F55" s="8">
        <v>2.4700000000000002</v>
      </c>
      <c r="G55" s="12">
        <v>615</v>
      </c>
      <c r="H55" s="8">
        <v>2.16</v>
      </c>
      <c r="I55" s="12">
        <v>1</v>
      </c>
    </row>
    <row r="56" spans="2:9" ht="15" customHeight="1" x14ac:dyDescent="0.2">
      <c r="B56" t="s">
        <v>136</v>
      </c>
      <c r="C56" s="12">
        <v>1330</v>
      </c>
      <c r="D56" s="8">
        <v>2.09</v>
      </c>
      <c r="E56" s="12">
        <v>1200</v>
      </c>
      <c r="F56" s="8">
        <v>3.45</v>
      </c>
      <c r="G56" s="12">
        <v>129</v>
      </c>
      <c r="H56" s="8">
        <v>0.45</v>
      </c>
      <c r="I56" s="12">
        <v>1</v>
      </c>
    </row>
    <row r="57" spans="2:9" ht="15" customHeight="1" x14ac:dyDescent="0.2">
      <c r="B57" t="s">
        <v>121</v>
      </c>
      <c r="C57" s="12">
        <v>1289</v>
      </c>
      <c r="D57" s="8">
        <v>2.02</v>
      </c>
      <c r="E57" s="12">
        <v>479</v>
      </c>
      <c r="F57" s="8">
        <v>1.38</v>
      </c>
      <c r="G57" s="12">
        <v>810</v>
      </c>
      <c r="H57" s="8">
        <v>2.85</v>
      </c>
      <c r="I57" s="12">
        <v>0</v>
      </c>
    </row>
    <row r="58" spans="2:9" ht="15" customHeight="1" x14ac:dyDescent="0.2">
      <c r="B58" t="s">
        <v>127</v>
      </c>
      <c r="C58" s="12">
        <v>1197</v>
      </c>
      <c r="D58" s="8">
        <v>1.88</v>
      </c>
      <c r="E58" s="12">
        <v>749</v>
      </c>
      <c r="F58" s="8">
        <v>2.15</v>
      </c>
      <c r="G58" s="12">
        <v>447</v>
      </c>
      <c r="H58" s="8">
        <v>1.57</v>
      </c>
      <c r="I58" s="12">
        <v>1</v>
      </c>
    </row>
    <row r="59" spans="2:9" ht="15" customHeight="1" x14ac:dyDescent="0.2">
      <c r="B59" t="s">
        <v>135</v>
      </c>
      <c r="C59" s="12">
        <v>1155</v>
      </c>
      <c r="D59" s="8">
        <v>1.81</v>
      </c>
      <c r="E59" s="12">
        <v>900</v>
      </c>
      <c r="F59" s="8">
        <v>2.59</v>
      </c>
      <c r="G59" s="12">
        <v>251</v>
      </c>
      <c r="H59" s="8">
        <v>0.88</v>
      </c>
      <c r="I59" s="12">
        <v>4</v>
      </c>
    </row>
    <row r="60" spans="2:9" ht="15" customHeight="1" x14ac:dyDescent="0.2">
      <c r="B60" t="s">
        <v>123</v>
      </c>
      <c r="C60" s="12">
        <v>1146</v>
      </c>
      <c r="D60" s="8">
        <v>1.8</v>
      </c>
      <c r="E60" s="12">
        <v>823</v>
      </c>
      <c r="F60" s="8">
        <v>2.36</v>
      </c>
      <c r="G60" s="12">
        <v>321</v>
      </c>
      <c r="H60" s="8">
        <v>1.1299999999999999</v>
      </c>
      <c r="I60" s="12">
        <v>2</v>
      </c>
    </row>
    <row r="61" spans="2:9" ht="15" customHeight="1" x14ac:dyDescent="0.2">
      <c r="B61" t="s">
        <v>122</v>
      </c>
      <c r="C61" s="12">
        <v>1030</v>
      </c>
      <c r="D61" s="8">
        <v>1.62</v>
      </c>
      <c r="E61" s="12">
        <v>319</v>
      </c>
      <c r="F61" s="8">
        <v>0.92</v>
      </c>
      <c r="G61" s="12">
        <v>711</v>
      </c>
      <c r="H61" s="8">
        <v>2.5</v>
      </c>
      <c r="I61" s="12">
        <v>0</v>
      </c>
    </row>
    <row r="62" spans="2:9" ht="15" customHeight="1" x14ac:dyDescent="0.2">
      <c r="B62" t="s">
        <v>119</v>
      </c>
      <c r="C62" s="12">
        <v>1010</v>
      </c>
      <c r="D62" s="8">
        <v>1.58</v>
      </c>
      <c r="E62" s="12">
        <v>265</v>
      </c>
      <c r="F62" s="8">
        <v>0.76</v>
      </c>
      <c r="G62" s="12">
        <v>745</v>
      </c>
      <c r="H62" s="8">
        <v>2.62</v>
      </c>
      <c r="I62" s="12">
        <v>0</v>
      </c>
    </row>
    <row r="63" spans="2:9" ht="15" customHeight="1" x14ac:dyDescent="0.2">
      <c r="B63" t="s">
        <v>130</v>
      </c>
      <c r="C63" s="12">
        <v>829</v>
      </c>
      <c r="D63" s="8">
        <v>1.3</v>
      </c>
      <c r="E63" s="12">
        <v>288</v>
      </c>
      <c r="F63" s="8">
        <v>0.83</v>
      </c>
      <c r="G63" s="12">
        <v>516</v>
      </c>
      <c r="H63" s="8">
        <v>1.81</v>
      </c>
      <c r="I63" s="12">
        <v>0</v>
      </c>
    </row>
    <row r="64" spans="2:9" ht="15" customHeight="1" x14ac:dyDescent="0.2">
      <c r="B64" t="s">
        <v>125</v>
      </c>
      <c r="C64" s="12">
        <v>774</v>
      </c>
      <c r="D64" s="8">
        <v>1.21</v>
      </c>
      <c r="E64" s="12">
        <v>292</v>
      </c>
      <c r="F64" s="8">
        <v>0.84</v>
      </c>
      <c r="G64" s="12">
        <v>482</v>
      </c>
      <c r="H64" s="8">
        <v>1.69</v>
      </c>
      <c r="I64" s="12">
        <v>0</v>
      </c>
    </row>
    <row r="65" spans="2:9" ht="15" customHeight="1" x14ac:dyDescent="0.2">
      <c r="B65" t="s">
        <v>126</v>
      </c>
      <c r="C65" s="12">
        <v>740</v>
      </c>
      <c r="D65" s="8">
        <v>1.1599999999999999</v>
      </c>
      <c r="E65" s="12">
        <v>301</v>
      </c>
      <c r="F65" s="8">
        <v>0.86</v>
      </c>
      <c r="G65" s="12">
        <v>439</v>
      </c>
      <c r="H65" s="8">
        <v>1.54</v>
      </c>
      <c r="I65" s="12">
        <v>0</v>
      </c>
    </row>
    <row r="66" spans="2:9" ht="15" customHeight="1" x14ac:dyDescent="0.2">
      <c r="B66" t="s">
        <v>128</v>
      </c>
      <c r="C66" s="12">
        <v>727</v>
      </c>
      <c r="D66" s="8">
        <v>1.1399999999999999</v>
      </c>
      <c r="E66" s="12">
        <v>123</v>
      </c>
      <c r="F66" s="8">
        <v>0.35</v>
      </c>
      <c r="G66" s="12">
        <v>604</v>
      </c>
      <c r="H66" s="8">
        <v>2.12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8917-2963-466A-9222-6ADE9C10FA0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883</v>
      </c>
      <c r="D6" s="8">
        <v>13.53</v>
      </c>
      <c r="E6" s="12">
        <v>218</v>
      </c>
      <c r="F6" s="8">
        <v>7.01</v>
      </c>
      <c r="G6" s="12">
        <v>664</v>
      </c>
      <c r="H6" s="8">
        <v>19.7</v>
      </c>
      <c r="I6" s="12">
        <v>1</v>
      </c>
    </row>
    <row r="7" spans="2:9" ht="15" customHeight="1" x14ac:dyDescent="0.2">
      <c r="B7" t="s">
        <v>47</v>
      </c>
      <c r="C7" s="12">
        <v>284</v>
      </c>
      <c r="D7" s="8">
        <v>4.3499999999999996</v>
      </c>
      <c r="E7" s="12">
        <v>112</v>
      </c>
      <c r="F7" s="8">
        <v>3.6</v>
      </c>
      <c r="G7" s="12">
        <v>172</v>
      </c>
      <c r="H7" s="8">
        <v>5.0999999999999996</v>
      </c>
      <c r="I7" s="12">
        <v>0</v>
      </c>
    </row>
    <row r="8" spans="2:9" ht="15" customHeight="1" x14ac:dyDescent="0.2">
      <c r="B8" t="s">
        <v>48</v>
      </c>
      <c r="C8" s="12">
        <v>15</v>
      </c>
      <c r="D8" s="8">
        <v>0.23</v>
      </c>
      <c r="E8" s="12">
        <v>0</v>
      </c>
      <c r="F8" s="8">
        <v>0</v>
      </c>
      <c r="G8" s="12">
        <v>15</v>
      </c>
      <c r="H8" s="8">
        <v>0.45</v>
      </c>
      <c r="I8" s="12">
        <v>0</v>
      </c>
    </row>
    <row r="9" spans="2:9" ht="15" customHeight="1" x14ac:dyDescent="0.2">
      <c r="B9" t="s">
        <v>49</v>
      </c>
      <c r="C9" s="12">
        <v>59</v>
      </c>
      <c r="D9" s="8">
        <v>0.9</v>
      </c>
      <c r="E9" s="12">
        <v>0</v>
      </c>
      <c r="F9" s="8">
        <v>0</v>
      </c>
      <c r="G9" s="12">
        <v>59</v>
      </c>
      <c r="H9" s="8">
        <v>1.75</v>
      </c>
      <c r="I9" s="12">
        <v>0</v>
      </c>
    </row>
    <row r="10" spans="2:9" ht="15" customHeight="1" x14ac:dyDescent="0.2">
      <c r="B10" t="s">
        <v>50</v>
      </c>
      <c r="C10" s="12">
        <v>23</v>
      </c>
      <c r="D10" s="8">
        <v>0.35</v>
      </c>
      <c r="E10" s="12">
        <v>3</v>
      </c>
      <c r="F10" s="8">
        <v>0.1</v>
      </c>
      <c r="G10" s="12">
        <v>20</v>
      </c>
      <c r="H10" s="8">
        <v>0.59</v>
      </c>
      <c r="I10" s="12">
        <v>0</v>
      </c>
    </row>
    <row r="11" spans="2:9" ht="15" customHeight="1" x14ac:dyDescent="0.2">
      <c r="B11" t="s">
        <v>51</v>
      </c>
      <c r="C11" s="12">
        <v>1515</v>
      </c>
      <c r="D11" s="8">
        <v>23.22</v>
      </c>
      <c r="E11" s="12">
        <v>538</v>
      </c>
      <c r="F11" s="8">
        <v>17.29</v>
      </c>
      <c r="G11" s="12">
        <v>976</v>
      </c>
      <c r="H11" s="8">
        <v>28.96</v>
      </c>
      <c r="I11" s="12">
        <v>1</v>
      </c>
    </row>
    <row r="12" spans="2:9" ht="15" customHeight="1" x14ac:dyDescent="0.2">
      <c r="B12" t="s">
        <v>52</v>
      </c>
      <c r="C12" s="12">
        <v>77</v>
      </c>
      <c r="D12" s="8">
        <v>1.18</v>
      </c>
      <c r="E12" s="12">
        <v>3</v>
      </c>
      <c r="F12" s="8">
        <v>0.1</v>
      </c>
      <c r="G12" s="12">
        <v>74</v>
      </c>
      <c r="H12" s="8">
        <v>2.2000000000000002</v>
      </c>
      <c r="I12" s="12">
        <v>0</v>
      </c>
    </row>
    <row r="13" spans="2:9" ht="15" customHeight="1" x14ac:dyDescent="0.2">
      <c r="B13" t="s">
        <v>53</v>
      </c>
      <c r="C13" s="12">
        <v>767</v>
      </c>
      <c r="D13" s="8">
        <v>11.75</v>
      </c>
      <c r="E13" s="12">
        <v>324</v>
      </c>
      <c r="F13" s="8">
        <v>10.41</v>
      </c>
      <c r="G13" s="12">
        <v>442</v>
      </c>
      <c r="H13" s="8">
        <v>13.12</v>
      </c>
      <c r="I13" s="12">
        <v>1</v>
      </c>
    </row>
    <row r="14" spans="2:9" ht="15" customHeight="1" x14ac:dyDescent="0.2">
      <c r="B14" t="s">
        <v>54</v>
      </c>
      <c r="C14" s="12">
        <v>465</v>
      </c>
      <c r="D14" s="8">
        <v>7.13</v>
      </c>
      <c r="E14" s="12">
        <v>211</v>
      </c>
      <c r="F14" s="8">
        <v>6.78</v>
      </c>
      <c r="G14" s="12">
        <v>251</v>
      </c>
      <c r="H14" s="8">
        <v>7.45</v>
      </c>
      <c r="I14" s="12">
        <v>0</v>
      </c>
    </row>
    <row r="15" spans="2:9" ht="15" customHeight="1" x14ac:dyDescent="0.2">
      <c r="B15" t="s">
        <v>55</v>
      </c>
      <c r="C15" s="12">
        <v>736</v>
      </c>
      <c r="D15" s="8">
        <v>11.28</v>
      </c>
      <c r="E15" s="12">
        <v>606</v>
      </c>
      <c r="F15" s="8">
        <v>19.47</v>
      </c>
      <c r="G15" s="12">
        <v>130</v>
      </c>
      <c r="H15" s="8">
        <v>3.86</v>
      </c>
      <c r="I15" s="12">
        <v>0</v>
      </c>
    </row>
    <row r="16" spans="2:9" ht="15" customHeight="1" x14ac:dyDescent="0.2">
      <c r="B16" t="s">
        <v>56</v>
      </c>
      <c r="C16" s="12">
        <v>819</v>
      </c>
      <c r="D16" s="8">
        <v>12.55</v>
      </c>
      <c r="E16" s="12">
        <v>603</v>
      </c>
      <c r="F16" s="8">
        <v>19.38</v>
      </c>
      <c r="G16" s="12">
        <v>215</v>
      </c>
      <c r="H16" s="8">
        <v>6.38</v>
      </c>
      <c r="I16" s="12">
        <v>0</v>
      </c>
    </row>
    <row r="17" spans="2:9" ht="15" customHeight="1" x14ac:dyDescent="0.2">
      <c r="B17" t="s">
        <v>57</v>
      </c>
      <c r="C17" s="12">
        <v>246</v>
      </c>
      <c r="D17" s="8">
        <v>3.77</v>
      </c>
      <c r="E17" s="12">
        <v>159</v>
      </c>
      <c r="F17" s="8">
        <v>5.1100000000000003</v>
      </c>
      <c r="G17" s="12">
        <v>58</v>
      </c>
      <c r="H17" s="8">
        <v>1.72</v>
      </c>
      <c r="I17" s="12">
        <v>1</v>
      </c>
    </row>
    <row r="18" spans="2:9" ht="15" customHeight="1" x14ac:dyDescent="0.2">
      <c r="B18" t="s">
        <v>58</v>
      </c>
      <c r="C18" s="12">
        <v>301</v>
      </c>
      <c r="D18" s="8">
        <v>4.6100000000000003</v>
      </c>
      <c r="E18" s="12">
        <v>205</v>
      </c>
      <c r="F18" s="8">
        <v>6.59</v>
      </c>
      <c r="G18" s="12">
        <v>92</v>
      </c>
      <c r="H18" s="8">
        <v>2.73</v>
      </c>
      <c r="I18" s="12">
        <v>2</v>
      </c>
    </row>
    <row r="19" spans="2:9" ht="15" customHeight="1" x14ac:dyDescent="0.2">
      <c r="B19" t="s">
        <v>59</v>
      </c>
      <c r="C19" s="12">
        <v>335</v>
      </c>
      <c r="D19" s="8">
        <v>5.13</v>
      </c>
      <c r="E19" s="12">
        <v>130</v>
      </c>
      <c r="F19" s="8">
        <v>4.18</v>
      </c>
      <c r="G19" s="12">
        <v>202</v>
      </c>
      <c r="H19" s="8">
        <v>5.99</v>
      </c>
      <c r="I19" s="12">
        <v>2</v>
      </c>
    </row>
    <row r="20" spans="2:9" ht="15" customHeight="1" x14ac:dyDescent="0.2">
      <c r="B20" s="9" t="s">
        <v>195</v>
      </c>
      <c r="C20" s="12">
        <f>SUM(LTBL_08201[総数／事業所数])</f>
        <v>6525</v>
      </c>
      <c r="E20" s="12">
        <f>SUBTOTAL(109,LTBL_08201[個人／事業所数])</f>
        <v>3112</v>
      </c>
      <c r="G20" s="12">
        <f>SUBTOTAL(109,LTBL_08201[法人／事業所数])</f>
        <v>3370</v>
      </c>
      <c r="I20" s="12">
        <f>SUBTOTAL(109,LTBL_08201[法人以外の団体／事業所数])</f>
        <v>8</v>
      </c>
    </row>
    <row r="21" spans="2:9" ht="15" customHeight="1" x14ac:dyDescent="0.2">
      <c r="E21" s="11">
        <f>LTBL_08201[[#Totals],[個人／事業所数]]/LTBL_08201[[#Totals],[総数／事業所数]]</f>
        <v>0.47693486590038314</v>
      </c>
      <c r="G21" s="11">
        <f>LTBL_08201[[#Totals],[法人／事業所数]]/LTBL_08201[[#Totals],[総数／事業所数]]</f>
        <v>0.5164750957854406</v>
      </c>
      <c r="I21" s="11">
        <f>LTBL_08201[[#Totals],[法人以外の団体／事業所数]]/LTBL_08201[[#Totals],[総数／事業所数]]</f>
        <v>1.2260536398467432E-3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705</v>
      </c>
      <c r="D24" s="8">
        <v>10.8</v>
      </c>
      <c r="E24" s="12">
        <v>559</v>
      </c>
      <c r="F24" s="8">
        <v>17.96</v>
      </c>
      <c r="G24" s="12">
        <v>146</v>
      </c>
      <c r="H24" s="8">
        <v>4.33</v>
      </c>
      <c r="I24" s="12">
        <v>0</v>
      </c>
    </row>
    <row r="25" spans="2:9" ht="15" customHeight="1" x14ac:dyDescent="0.2">
      <c r="B25" t="s">
        <v>82</v>
      </c>
      <c r="C25" s="12">
        <v>694</v>
      </c>
      <c r="D25" s="8">
        <v>10.64</v>
      </c>
      <c r="E25" s="12">
        <v>595</v>
      </c>
      <c r="F25" s="8">
        <v>19.12</v>
      </c>
      <c r="G25" s="12">
        <v>99</v>
      </c>
      <c r="H25" s="8">
        <v>2.94</v>
      </c>
      <c r="I25" s="12">
        <v>0</v>
      </c>
    </row>
    <row r="26" spans="2:9" ht="15" customHeight="1" x14ac:dyDescent="0.2">
      <c r="B26" t="s">
        <v>79</v>
      </c>
      <c r="C26" s="12">
        <v>627</v>
      </c>
      <c r="D26" s="8">
        <v>9.61</v>
      </c>
      <c r="E26" s="12">
        <v>311</v>
      </c>
      <c r="F26" s="8">
        <v>9.99</v>
      </c>
      <c r="G26" s="12">
        <v>315</v>
      </c>
      <c r="H26" s="8">
        <v>9.35</v>
      </c>
      <c r="I26" s="12">
        <v>1</v>
      </c>
    </row>
    <row r="27" spans="2:9" ht="15" customHeight="1" x14ac:dyDescent="0.2">
      <c r="B27" t="s">
        <v>77</v>
      </c>
      <c r="C27" s="12">
        <v>410</v>
      </c>
      <c r="D27" s="8">
        <v>6.28</v>
      </c>
      <c r="E27" s="12">
        <v>173</v>
      </c>
      <c r="F27" s="8">
        <v>5.56</v>
      </c>
      <c r="G27" s="12">
        <v>236</v>
      </c>
      <c r="H27" s="8">
        <v>7</v>
      </c>
      <c r="I27" s="12">
        <v>1</v>
      </c>
    </row>
    <row r="28" spans="2:9" ht="15" customHeight="1" x14ac:dyDescent="0.2">
      <c r="B28" t="s">
        <v>68</v>
      </c>
      <c r="C28" s="12">
        <v>382</v>
      </c>
      <c r="D28" s="8">
        <v>5.85</v>
      </c>
      <c r="E28" s="12">
        <v>75</v>
      </c>
      <c r="F28" s="8">
        <v>2.41</v>
      </c>
      <c r="G28" s="12">
        <v>307</v>
      </c>
      <c r="H28" s="8">
        <v>9.11</v>
      </c>
      <c r="I28" s="12">
        <v>0</v>
      </c>
    </row>
    <row r="29" spans="2:9" ht="15" customHeight="1" x14ac:dyDescent="0.2">
      <c r="B29" t="s">
        <v>69</v>
      </c>
      <c r="C29" s="12">
        <v>286</v>
      </c>
      <c r="D29" s="8">
        <v>4.38</v>
      </c>
      <c r="E29" s="12">
        <v>99</v>
      </c>
      <c r="F29" s="8">
        <v>3.18</v>
      </c>
      <c r="G29" s="12">
        <v>186</v>
      </c>
      <c r="H29" s="8">
        <v>5.52</v>
      </c>
      <c r="I29" s="12">
        <v>1</v>
      </c>
    </row>
    <row r="30" spans="2:9" ht="15" customHeight="1" x14ac:dyDescent="0.2">
      <c r="B30" t="s">
        <v>75</v>
      </c>
      <c r="C30" s="12">
        <v>263</v>
      </c>
      <c r="D30" s="8">
        <v>4.03</v>
      </c>
      <c r="E30" s="12">
        <v>159</v>
      </c>
      <c r="F30" s="8">
        <v>5.1100000000000003</v>
      </c>
      <c r="G30" s="12">
        <v>104</v>
      </c>
      <c r="H30" s="8">
        <v>3.09</v>
      </c>
      <c r="I30" s="12">
        <v>0</v>
      </c>
    </row>
    <row r="31" spans="2:9" ht="15" customHeight="1" x14ac:dyDescent="0.2">
      <c r="B31" t="s">
        <v>85</v>
      </c>
      <c r="C31" s="12">
        <v>246</v>
      </c>
      <c r="D31" s="8">
        <v>3.77</v>
      </c>
      <c r="E31" s="12">
        <v>159</v>
      </c>
      <c r="F31" s="8">
        <v>5.1100000000000003</v>
      </c>
      <c r="G31" s="12">
        <v>58</v>
      </c>
      <c r="H31" s="8">
        <v>1.72</v>
      </c>
      <c r="I31" s="12">
        <v>1</v>
      </c>
    </row>
    <row r="32" spans="2:9" ht="15" customHeight="1" x14ac:dyDescent="0.2">
      <c r="B32" t="s">
        <v>80</v>
      </c>
      <c r="C32" s="12">
        <v>238</v>
      </c>
      <c r="D32" s="8">
        <v>3.65</v>
      </c>
      <c r="E32" s="12">
        <v>147</v>
      </c>
      <c r="F32" s="8">
        <v>4.72</v>
      </c>
      <c r="G32" s="12">
        <v>91</v>
      </c>
      <c r="H32" s="8">
        <v>2.7</v>
      </c>
      <c r="I32" s="12">
        <v>0</v>
      </c>
    </row>
    <row r="33" spans="2:9" ht="15" customHeight="1" x14ac:dyDescent="0.2">
      <c r="B33" t="s">
        <v>86</v>
      </c>
      <c r="C33" s="12">
        <v>228</v>
      </c>
      <c r="D33" s="8">
        <v>3.49</v>
      </c>
      <c r="E33" s="12">
        <v>203</v>
      </c>
      <c r="F33" s="8">
        <v>6.52</v>
      </c>
      <c r="G33" s="12">
        <v>25</v>
      </c>
      <c r="H33" s="8">
        <v>0.74</v>
      </c>
      <c r="I33" s="12">
        <v>0</v>
      </c>
    </row>
    <row r="34" spans="2:9" ht="15" customHeight="1" x14ac:dyDescent="0.2">
      <c r="B34" t="s">
        <v>70</v>
      </c>
      <c r="C34" s="12">
        <v>215</v>
      </c>
      <c r="D34" s="8">
        <v>3.3</v>
      </c>
      <c r="E34" s="12">
        <v>44</v>
      </c>
      <c r="F34" s="8">
        <v>1.41</v>
      </c>
      <c r="G34" s="12">
        <v>171</v>
      </c>
      <c r="H34" s="8">
        <v>5.07</v>
      </c>
      <c r="I34" s="12">
        <v>0</v>
      </c>
    </row>
    <row r="35" spans="2:9" ht="15" customHeight="1" x14ac:dyDescent="0.2">
      <c r="B35" t="s">
        <v>81</v>
      </c>
      <c r="C35" s="12">
        <v>207</v>
      </c>
      <c r="D35" s="8">
        <v>3.17</v>
      </c>
      <c r="E35" s="12">
        <v>63</v>
      </c>
      <c r="F35" s="8">
        <v>2.02</v>
      </c>
      <c r="G35" s="12">
        <v>141</v>
      </c>
      <c r="H35" s="8">
        <v>4.18</v>
      </c>
      <c r="I35" s="12">
        <v>0</v>
      </c>
    </row>
    <row r="36" spans="2:9" ht="15" customHeight="1" x14ac:dyDescent="0.2">
      <c r="B36" t="s">
        <v>76</v>
      </c>
      <c r="C36" s="12">
        <v>196</v>
      </c>
      <c r="D36" s="8">
        <v>3</v>
      </c>
      <c r="E36" s="12">
        <v>115</v>
      </c>
      <c r="F36" s="8">
        <v>3.7</v>
      </c>
      <c r="G36" s="12">
        <v>81</v>
      </c>
      <c r="H36" s="8">
        <v>2.4</v>
      </c>
      <c r="I36" s="12">
        <v>0</v>
      </c>
    </row>
    <row r="37" spans="2:9" ht="15" customHeight="1" x14ac:dyDescent="0.2">
      <c r="B37" t="s">
        <v>74</v>
      </c>
      <c r="C37" s="12">
        <v>151</v>
      </c>
      <c r="D37" s="8">
        <v>2.31</v>
      </c>
      <c r="E37" s="12">
        <v>45</v>
      </c>
      <c r="F37" s="8">
        <v>1.45</v>
      </c>
      <c r="G37" s="12">
        <v>106</v>
      </c>
      <c r="H37" s="8">
        <v>3.15</v>
      </c>
      <c r="I37" s="12">
        <v>0</v>
      </c>
    </row>
    <row r="38" spans="2:9" ht="15" customHeight="1" x14ac:dyDescent="0.2">
      <c r="B38" t="s">
        <v>87</v>
      </c>
      <c r="C38" s="12">
        <v>139</v>
      </c>
      <c r="D38" s="8">
        <v>2.13</v>
      </c>
      <c r="E38" s="12">
        <v>100</v>
      </c>
      <c r="F38" s="8">
        <v>3.21</v>
      </c>
      <c r="G38" s="12">
        <v>39</v>
      </c>
      <c r="H38" s="8">
        <v>1.1599999999999999</v>
      </c>
      <c r="I38" s="12">
        <v>0</v>
      </c>
    </row>
    <row r="39" spans="2:9" ht="15" customHeight="1" x14ac:dyDescent="0.2">
      <c r="B39" t="s">
        <v>73</v>
      </c>
      <c r="C39" s="12">
        <v>136</v>
      </c>
      <c r="D39" s="8">
        <v>2.08</v>
      </c>
      <c r="E39" s="12">
        <v>6</v>
      </c>
      <c r="F39" s="8">
        <v>0.19</v>
      </c>
      <c r="G39" s="12">
        <v>130</v>
      </c>
      <c r="H39" s="8">
        <v>3.86</v>
      </c>
      <c r="I39" s="12">
        <v>0</v>
      </c>
    </row>
    <row r="40" spans="2:9" ht="15" customHeight="1" x14ac:dyDescent="0.2">
      <c r="B40" t="s">
        <v>78</v>
      </c>
      <c r="C40" s="12">
        <v>106</v>
      </c>
      <c r="D40" s="8">
        <v>1.62</v>
      </c>
      <c r="E40" s="12">
        <v>11</v>
      </c>
      <c r="F40" s="8">
        <v>0.35</v>
      </c>
      <c r="G40" s="12">
        <v>95</v>
      </c>
      <c r="H40" s="8">
        <v>2.82</v>
      </c>
      <c r="I40" s="12">
        <v>0</v>
      </c>
    </row>
    <row r="41" spans="2:9" ht="15" customHeight="1" x14ac:dyDescent="0.2">
      <c r="B41" t="s">
        <v>88</v>
      </c>
      <c r="C41" s="12">
        <v>99</v>
      </c>
      <c r="D41" s="8">
        <v>1.52</v>
      </c>
      <c r="E41" s="12">
        <v>13</v>
      </c>
      <c r="F41" s="8">
        <v>0.42</v>
      </c>
      <c r="G41" s="12">
        <v>86</v>
      </c>
      <c r="H41" s="8">
        <v>2.5499999999999998</v>
      </c>
      <c r="I41" s="12">
        <v>0</v>
      </c>
    </row>
    <row r="42" spans="2:9" ht="15" customHeight="1" x14ac:dyDescent="0.2">
      <c r="B42" t="s">
        <v>72</v>
      </c>
      <c r="C42" s="12">
        <v>98</v>
      </c>
      <c r="D42" s="8">
        <v>1.5</v>
      </c>
      <c r="E42" s="12">
        <v>8</v>
      </c>
      <c r="F42" s="8">
        <v>0.26</v>
      </c>
      <c r="G42" s="12">
        <v>90</v>
      </c>
      <c r="H42" s="8">
        <v>2.67</v>
      </c>
      <c r="I42" s="12">
        <v>0</v>
      </c>
    </row>
    <row r="43" spans="2:9" ht="15" customHeight="1" x14ac:dyDescent="0.2">
      <c r="B43" t="s">
        <v>89</v>
      </c>
      <c r="C43" s="12">
        <v>90</v>
      </c>
      <c r="D43" s="8">
        <v>1.38</v>
      </c>
      <c r="E43" s="12">
        <v>6</v>
      </c>
      <c r="F43" s="8">
        <v>0.19</v>
      </c>
      <c r="G43" s="12">
        <v>83</v>
      </c>
      <c r="H43" s="8">
        <v>2.46</v>
      </c>
      <c r="I43" s="12">
        <v>1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129</v>
      </c>
      <c r="C47" s="12">
        <v>388</v>
      </c>
      <c r="D47" s="8">
        <v>5.95</v>
      </c>
      <c r="E47" s="12">
        <v>268</v>
      </c>
      <c r="F47" s="8">
        <v>8.61</v>
      </c>
      <c r="G47" s="12">
        <v>120</v>
      </c>
      <c r="H47" s="8">
        <v>3.56</v>
      </c>
      <c r="I47" s="12">
        <v>0</v>
      </c>
    </row>
    <row r="48" spans="2:9" ht="15" customHeight="1" x14ac:dyDescent="0.2">
      <c r="B48" t="s">
        <v>134</v>
      </c>
      <c r="C48" s="12">
        <v>357</v>
      </c>
      <c r="D48" s="8">
        <v>5.47</v>
      </c>
      <c r="E48" s="12">
        <v>310</v>
      </c>
      <c r="F48" s="8">
        <v>9.9600000000000009</v>
      </c>
      <c r="G48" s="12">
        <v>47</v>
      </c>
      <c r="H48" s="8">
        <v>1.39</v>
      </c>
      <c r="I48" s="12">
        <v>0</v>
      </c>
    </row>
    <row r="49" spans="2:9" ht="15" customHeight="1" x14ac:dyDescent="0.2">
      <c r="B49" t="s">
        <v>131</v>
      </c>
      <c r="C49" s="12">
        <v>229</v>
      </c>
      <c r="D49" s="8">
        <v>3.51</v>
      </c>
      <c r="E49" s="12">
        <v>188</v>
      </c>
      <c r="F49" s="8">
        <v>6.04</v>
      </c>
      <c r="G49" s="12">
        <v>41</v>
      </c>
      <c r="H49" s="8">
        <v>1.22</v>
      </c>
      <c r="I49" s="12">
        <v>0</v>
      </c>
    </row>
    <row r="50" spans="2:9" ht="15" customHeight="1" x14ac:dyDescent="0.2">
      <c r="B50" t="s">
        <v>133</v>
      </c>
      <c r="C50" s="12">
        <v>205</v>
      </c>
      <c r="D50" s="8">
        <v>3.14</v>
      </c>
      <c r="E50" s="12">
        <v>189</v>
      </c>
      <c r="F50" s="8">
        <v>6.07</v>
      </c>
      <c r="G50" s="12">
        <v>16</v>
      </c>
      <c r="H50" s="8">
        <v>0.47</v>
      </c>
      <c r="I50" s="12">
        <v>0</v>
      </c>
    </row>
    <row r="51" spans="2:9" ht="15" customHeight="1" x14ac:dyDescent="0.2">
      <c r="B51" t="s">
        <v>132</v>
      </c>
      <c r="C51" s="12">
        <v>166</v>
      </c>
      <c r="D51" s="8">
        <v>2.54</v>
      </c>
      <c r="E51" s="12">
        <v>150</v>
      </c>
      <c r="F51" s="8">
        <v>4.82</v>
      </c>
      <c r="G51" s="12">
        <v>16</v>
      </c>
      <c r="H51" s="8">
        <v>0.47</v>
      </c>
      <c r="I51" s="12">
        <v>0</v>
      </c>
    </row>
    <row r="52" spans="2:9" ht="15" customHeight="1" x14ac:dyDescent="0.2">
      <c r="B52" t="s">
        <v>130</v>
      </c>
      <c r="C52" s="12">
        <v>155</v>
      </c>
      <c r="D52" s="8">
        <v>2.38</v>
      </c>
      <c r="E52" s="12">
        <v>42</v>
      </c>
      <c r="F52" s="8">
        <v>1.35</v>
      </c>
      <c r="G52" s="12">
        <v>110</v>
      </c>
      <c r="H52" s="8">
        <v>3.26</v>
      </c>
      <c r="I52" s="12">
        <v>0</v>
      </c>
    </row>
    <row r="53" spans="2:9" ht="15" customHeight="1" x14ac:dyDescent="0.2">
      <c r="B53" t="s">
        <v>135</v>
      </c>
      <c r="C53" s="12">
        <v>150</v>
      </c>
      <c r="D53" s="8">
        <v>2.2999999999999998</v>
      </c>
      <c r="E53" s="12">
        <v>114</v>
      </c>
      <c r="F53" s="8">
        <v>3.66</v>
      </c>
      <c r="G53" s="12">
        <v>35</v>
      </c>
      <c r="H53" s="8">
        <v>1.04</v>
      </c>
      <c r="I53" s="12">
        <v>1</v>
      </c>
    </row>
    <row r="54" spans="2:9" ht="15" customHeight="1" x14ac:dyDescent="0.2">
      <c r="B54" t="s">
        <v>136</v>
      </c>
      <c r="C54" s="12">
        <v>150</v>
      </c>
      <c r="D54" s="8">
        <v>2.2999999999999998</v>
      </c>
      <c r="E54" s="12">
        <v>138</v>
      </c>
      <c r="F54" s="8">
        <v>4.43</v>
      </c>
      <c r="G54" s="12">
        <v>12</v>
      </c>
      <c r="H54" s="8">
        <v>0.36</v>
      </c>
      <c r="I54" s="12">
        <v>0</v>
      </c>
    </row>
    <row r="55" spans="2:9" ht="15" customHeight="1" x14ac:dyDescent="0.2">
      <c r="B55" t="s">
        <v>137</v>
      </c>
      <c r="C55" s="12">
        <v>138</v>
      </c>
      <c r="D55" s="8">
        <v>2.11</v>
      </c>
      <c r="E55" s="12">
        <v>100</v>
      </c>
      <c r="F55" s="8">
        <v>3.21</v>
      </c>
      <c r="G55" s="12">
        <v>38</v>
      </c>
      <c r="H55" s="8">
        <v>1.1299999999999999</v>
      </c>
      <c r="I55" s="12">
        <v>0</v>
      </c>
    </row>
    <row r="56" spans="2:9" ht="15" customHeight="1" x14ac:dyDescent="0.2">
      <c r="B56" t="s">
        <v>128</v>
      </c>
      <c r="C56" s="12">
        <v>128</v>
      </c>
      <c r="D56" s="8">
        <v>1.96</v>
      </c>
      <c r="E56" s="12">
        <v>16</v>
      </c>
      <c r="F56" s="8">
        <v>0.51</v>
      </c>
      <c r="G56" s="12">
        <v>112</v>
      </c>
      <c r="H56" s="8">
        <v>3.32</v>
      </c>
      <c r="I56" s="12">
        <v>0</v>
      </c>
    </row>
    <row r="57" spans="2:9" ht="15" customHeight="1" x14ac:dyDescent="0.2">
      <c r="B57" t="s">
        <v>127</v>
      </c>
      <c r="C57" s="12">
        <v>123</v>
      </c>
      <c r="D57" s="8">
        <v>1.89</v>
      </c>
      <c r="E57" s="12">
        <v>65</v>
      </c>
      <c r="F57" s="8">
        <v>2.09</v>
      </c>
      <c r="G57" s="12">
        <v>58</v>
      </c>
      <c r="H57" s="8">
        <v>1.72</v>
      </c>
      <c r="I57" s="12">
        <v>0</v>
      </c>
    </row>
    <row r="58" spans="2:9" ht="15" customHeight="1" x14ac:dyDescent="0.2">
      <c r="B58" t="s">
        <v>124</v>
      </c>
      <c r="C58" s="12">
        <v>112</v>
      </c>
      <c r="D58" s="8">
        <v>1.72</v>
      </c>
      <c r="E58" s="12">
        <v>56</v>
      </c>
      <c r="F58" s="8">
        <v>1.8</v>
      </c>
      <c r="G58" s="12">
        <v>56</v>
      </c>
      <c r="H58" s="8">
        <v>1.66</v>
      </c>
      <c r="I58" s="12">
        <v>0</v>
      </c>
    </row>
    <row r="59" spans="2:9" ht="15" customHeight="1" x14ac:dyDescent="0.2">
      <c r="B59" t="s">
        <v>118</v>
      </c>
      <c r="C59" s="12">
        <v>107</v>
      </c>
      <c r="D59" s="8">
        <v>1.64</v>
      </c>
      <c r="E59" s="12">
        <v>16</v>
      </c>
      <c r="F59" s="8">
        <v>0.51</v>
      </c>
      <c r="G59" s="12">
        <v>91</v>
      </c>
      <c r="H59" s="8">
        <v>2.7</v>
      </c>
      <c r="I59" s="12">
        <v>0</v>
      </c>
    </row>
    <row r="60" spans="2:9" ht="15" customHeight="1" x14ac:dyDescent="0.2">
      <c r="B60" t="s">
        <v>119</v>
      </c>
      <c r="C60" s="12">
        <v>103</v>
      </c>
      <c r="D60" s="8">
        <v>1.58</v>
      </c>
      <c r="E60" s="12">
        <v>13</v>
      </c>
      <c r="F60" s="8">
        <v>0.42</v>
      </c>
      <c r="G60" s="12">
        <v>90</v>
      </c>
      <c r="H60" s="8">
        <v>2.67</v>
      </c>
      <c r="I60" s="12">
        <v>0</v>
      </c>
    </row>
    <row r="61" spans="2:9" ht="15" customHeight="1" x14ac:dyDescent="0.2">
      <c r="B61" t="s">
        <v>125</v>
      </c>
      <c r="C61" s="12">
        <v>102</v>
      </c>
      <c r="D61" s="8">
        <v>1.56</v>
      </c>
      <c r="E61" s="12">
        <v>28</v>
      </c>
      <c r="F61" s="8">
        <v>0.9</v>
      </c>
      <c r="G61" s="12">
        <v>74</v>
      </c>
      <c r="H61" s="8">
        <v>2.2000000000000002</v>
      </c>
      <c r="I61" s="12">
        <v>0</v>
      </c>
    </row>
    <row r="62" spans="2:9" ht="15" customHeight="1" x14ac:dyDescent="0.2">
      <c r="B62" t="s">
        <v>138</v>
      </c>
      <c r="C62" s="12">
        <v>99</v>
      </c>
      <c r="D62" s="8">
        <v>1.52</v>
      </c>
      <c r="E62" s="12">
        <v>94</v>
      </c>
      <c r="F62" s="8">
        <v>3.02</v>
      </c>
      <c r="G62" s="12">
        <v>5</v>
      </c>
      <c r="H62" s="8">
        <v>0.15</v>
      </c>
      <c r="I62" s="12">
        <v>0</v>
      </c>
    </row>
    <row r="63" spans="2:9" ht="15" customHeight="1" x14ac:dyDescent="0.2">
      <c r="B63" t="s">
        <v>123</v>
      </c>
      <c r="C63" s="12">
        <v>95</v>
      </c>
      <c r="D63" s="8">
        <v>1.46</v>
      </c>
      <c r="E63" s="12">
        <v>49</v>
      </c>
      <c r="F63" s="8">
        <v>1.57</v>
      </c>
      <c r="G63" s="12">
        <v>46</v>
      </c>
      <c r="H63" s="8">
        <v>1.36</v>
      </c>
      <c r="I63" s="12">
        <v>0</v>
      </c>
    </row>
    <row r="64" spans="2:9" ht="15" customHeight="1" x14ac:dyDescent="0.2">
      <c r="B64" t="s">
        <v>120</v>
      </c>
      <c r="C64" s="12">
        <v>93</v>
      </c>
      <c r="D64" s="8">
        <v>1.43</v>
      </c>
      <c r="E64" s="12">
        <v>34</v>
      </c>
      <c r="F64" s="8">
        <v>1.0900000000000001</v>
      </c>
      <c r="G64" s="12">
        <v>59</v>
      </c>
      <c r="H64" s="8">
        <v>1.75</v>
      </c>
      <c r="I64" s="12">
        <v>0</v>
      </c>
    </row>
    <row r="65" spans="2:9" ht="15" customHeight="1" x14ac:dyDescent="0.2">
      <c r="B65" t="s">
        <v>139</v>
      </c>
      <c r="C65" s="12">
        <v>88</v>
      </c>
      <c r="D65" s="8">
        <v>1.35</v>
      </c>
      <c r="E65" s="12">
        <v>37</v>
      </c>
      <c r="F65" s="8">
        <v>1.19</v>
      </c>
      <c r="G65" s="12">
        <v>51</v>
      </c>
      <c r="H65" s="8">
        <v>1.51</v>
      </c>
      <c r="I65" s="12">
        <v>0</v>
      </c>
    </row>
    <row r="66" spans="2:9" ht="15" customHeight="1" x14ac:dyDescent="0.2">
      <c r="B66" t="s">
        <v>122</v>
      </c>
      <c r="C66" s="12">
        <v>83</v>
      </c>
      <c r="D66" s="8">
        <v>1.27</v>
      </c>
      <c r="E66" s="12">
        <v>18</v>
      </c>
      <c r="F66" s="8">
        <v>0.57999999999999996</v>
      </c>
      <c r="G66" s="12">
        <v>65</v>
      </c>
      <c r="H66" s="8">
        <v>1.93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9AA6-F743-49ED-ADD1-5FEE94D74ED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200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4</v>
      </c>
      <c r="D5" s="8">
        <v>0.11</v>
      </c>
      <c r="E5" s="12">
        <v>2</v>
      </c>
      <c r="F5" s="8">
        <v>0.1</v>
      </c>
      <c r="G5" s="12">
        <v>2</v>
      </c>
      <c r="H5" s="8">
        <v>0.13</v>
      </c>
      <c r="I5" s="12">
        <v>0</v>
      </c>
    </row>
    <row r="6" spans="2:9" ht="15" customHeight="1" x14ac:dyDescent="0.2">
      <c r="B6" t="s">
        <v>46</v>
      </c>
      <c r="C6" s="12">
        <v>501</v>
      </c>
      <c r="D6" s="8">
        <v>14.19</v>
      </c>
      <c r="E6" s="12">
        <v>160</v>
      </c>
      <c r="F6" s="8">
        <v>7.9</v>
      </c>
      <c r="G6" s="12">
        <v>341</v>
      </c>
      <c r="H6" s="8">
        <v>22.81</v>
      </c>
      <c r="I6" s="12">
        <v>0</v>
      </c>
    </row>
    <row r="7" spans="2:9" ht="15" customHeight="1" x14ac:dyDescent="0.2">
      <c r="B7" t="s">
        <v>47</v>
      </c>
      <c r="C7" s="12">
        <v>352</v>
      </c>
      <c r="D7" s="8">
        <v>9.9700000000000006</v>
      </c>
      <c r="E7" s="12">
        <v>117</v>
      </c>
      <c r="F7" s="8">
        <v>5.78</v>
      </c>
      <c r="G7" s="12">
        <v>235</v>
      </c>
      <c r="H7" s="8">
        <v>15.72</v>
      </c>
      <c r="I7" s="12">
        <v>0</v>
      </c>
    </row>
    <row r="8" spans="2:9" ht="15" customHeight="1" x14ac:dyDescent="0.2">
      <c r="B8" t="s">
        <v>48</v>
      </c>
      <c r="C8" s="12">
        <v>13</v>
      </c>
      <c r="D8" s="8">
        <v>0.37</v>
      </c>
      <c r="E8" s="12">
        <v>0</v>
      </c>
      <c r="F8" s="8">
        <v>0</v>
      </c>
      <c r="G8" s="12">
        <v>13</v>
      </c>
      <c r="H8" s="8">
        <v>0.87</v>
      </c>
      <c r="I8" s="12">
        <v>0</v>
      </c>
    </row>
    <row r="9" spans="2:9" ht="15" customHeight="1" x14ac:dyDescent="0.2">
      <c r="B9" t="s">
        <v>49</v>
      </c>
      <c r="C9" s="12">
        <v>30</v>
      </c>
      <c r="D9" s="8">
        <v>0.85</v>
      </c>
      <c r="E9" s="12">
        <v>2</v>
      </c>
      <c r="F9" s="8">
        <v>0.1</v>
      </c>
      <c r="G9" s="12">
        <v>28</v>
      </c>
      <c r="H9" s="8">
        <v>1.87</v>
      </c>
      <c r="I9" s="12">
        <v>0</v>
      </c>
    </row>
    <row r="10" spans="2:9" ht="15" customHeight="1" x14ac:dyDescent="0.2">
      <c r="B10" t="s">
        <v>50</v>
      </c>
      <c r="C10" s="12">
        <v>19</v>
      </c>
      <c r="D10" s="8">
        <v>0.54</v>
      </c>
      <c r="E10" s="12">
        <v>1</v>
      </c>
      <c r="F10" s="8">
        <v>0.05</v>
      </c>
      <c r="G10" s="12">
        <v>18</v>
      </c>
      <c r="H10" s="8">
        <v>1.2</v>
      </c>
      <c r="I10" s="12">
        <v>0</v>
      </c>
    </row>
    <row r="11" spans="2:9" ht="15" customHeight="1" x14ac:dyDescent="0.2">
      <c r="B11" t="s">
        <v>51</v>
      </c>
      <c r="C11" s="12">
        <v>819</v>
      </c>
      <c r="D11" s="8">
        <v>23.19</v>
      </c>
      <c r="E11" s="12">
        <v>412</v>
      </c>
      <c r="F11" s="8">
        <v>20.350000000000001</v>
      </c>
      <c r="G11" s="12">
        <v>407</v>
      </c>
      <c r="H11" s="8">
        <v>27.22</v>
      </c>
      <c r="I11" s="12">
        <v>0</v>
      </c>
    </row>
    <row r="12" spans="2:9" ht="15" customHeight="1" x14ac:dyDescent="0.2">
      <c r="B12" t="s">
        <v>52</v>
      </c>
      <c r="C12" s="12">
        <v>10</v>
      </c>
      <c r="D12" s="8">
        <v>0.28000000000000003</v>
      </c>
      <c r="E12" s="12">
        <v>1</v>
      </c>
      <c r="F12" s="8">
        <v>0.05</v>
      </c>
      <c r="G12" s="12">
        <v>9</v>
      </c>
      <c r="H12" s="8">
        <v>0.6</v>
      </c>
      <c r="I12" s="12">
        <v>0</v>
      </c>
    </row>
    <row r="13" spans="2:9" ht="15" customHeight="1" x14ac:dyDescent="0.2">
      <c r="B13" t="s">
        <v>53</v>
      </c>
      <c r="C13" s="12">
        <v>237</v>
      </c>
      <c r="D13" s="8">
        <v>6.71</v>
      </c>
      <c r="E13" s="12">
        <v>110</v>
      </c>
      <c r="F13" s="8">
        <v>5.43</v>
      </c>
      <c r="G13" s="12">
        <v>127</v>
      </c>
      <c r="H13" s="8">
        <v>8.49</v>
      </c>
      <c r="I13" s="12">
        <v>0</v>
      </c>
    </row>
    <row r="14" spans="2:9" ht="15" customHeight="1" x14ac:dyDescent="0.2">
      <c r="B14" t="s">
        <v>54</v>
      </c>
      <c r="C14" s="12">
        <v>139</v>
      </c>
      <c r="D14" s="8">
        <v>3.94</v>
      </c>
      <c r="E14" s="12">
        <v>80</v>
      </c>
      <c r="F14" s="8">
        <v>3.95</v>
      </c>
      <c r="G14" s="12">
        <v>57</v>
      </c>
      <c r="H14" s="8">
        <v>3.81</v>
      </c>
      <c r="I14" s="12">
        <v>0</v>
      </c>
    </row>
    <row r="15" spans="2:9" ht="15" customHeight="1" x14ac:dyDescent="0.2">
      <c r="B15" t="s">
        <v>55</v>
      </c>
      <c r="C15" s="12">
        <v>468</v>
      </c>
      <c r="D15" s="8">
        <v>13.25</v>
      </c>
      <c r="E15" s="12">
        <v>400</v>
      </c>
      <c r="F15" s="8">
        <v>19.75</v>
      </c>
      <c r="G15" s="12">
        <v>67</v>
      </c>
      <c r="H15" s="8">
        <v>4.4800000000000004</v>
      </c>
      <c r="I15" s="12">
        <v>0</v>
      </c>
    </row>
    <row r="16" spans="2:9" ht="15" customHeight="1" x14ac:dyDescent="0.2">
      <c r="B16" t="s">
        <v>56</v>
      </c>
      <c r="C16" s="12">
        <v>566</v>
      </c>
      <c r="D16" s="8">
        <v>16.03</v>
      </c>
      <c r="E16" s="12">
        <v>484</v>
      </c>
      <c r="F16" s="8">
        <v>23.9</v>
      </c>
      <c r="G16" s="12">
        <v>81</v>
      </c>
      <c r="H16" s="8">
        <v>5.42</v>
      </c>
      <c r="I16" s="12">
        <v>0</v>
      </c>
    </row>
    <row r="17" spans="2:9" ht="15" customHeight="1" x14ac:dyDescent="0.2">
      <c r="B17" t="s">
        <v>57</v>
      </c>
      <c r="C17" s="12">
        <v>137</v>
      </c>
      <c r="D17" s="8">
        <v>3.88</v>
      </c>
      <c r="E17" s="12">
        <v>99</v>
      </c>
      <c r="F17" s="8">
        <v>4.8899999999999997</v>
      </c>
      <c r="G17" s="12">
        <v>36</v>
      </c>
      <c r="H17" s="8">
        <v>2.41</v>
      </c>
      <c r="I17" s="12">
        <v>0</v>
      </c>
    </row>
    <row r="18" spans="2:9" ht="15" customHeight="1" x14ac:dyDescent="0.2">
      <c r="B18" t="s">
        <v>58</v>
      </c>
      <c r="C18" s="12">
        <v>138</v>
      </c>
      <c r="D18" s="8">
        <v>3.91</v>
      </c>
      <c r="E18" s="12">
        <v>109</v>
      </c>
      <c r="F18" s="8">
        <v>5.38</v>
      </c>
      <c r="G18" s="12">
        <v>24</v>
      </c>
      <c r="H18" s="8">
        <v>1.61</v>
      </c>
      <c r="I18" s="12">
        <v>1</v>
      </c>
    </row>
    <row r="19" spans="2:9" ht="15" customHeight="1" x14ac:dyDescent="0.2">
      <c r="B19" t="s">
        <v>59</v>
      </c>
      <c r="C19" s="12">
        <v>98</v>
      </c>
      <c r="D19" s="8">
        <v>2.78</v>
      </c>
      <c r="E19" s="12">
        <v>48</v>
      </c>
      <c r="F19" s="8">
        <v>2.37</v>
      </c>
      <c r="G19" s="12">
        <v>50</v>
      </c>
      <c r="H19" s="8">
        <v>3.34</v>
      </c>
      <c r="I19" s="12">
        <v>0</v>
      </c>
    </row>
    <row r="20" spans="2:9" ht="15" customHeight="1" x14ac:dyDescent="0.2">
      <c r="B20" s="9" t="s">
        <v>195</v>
      </c>
      <c r="C20" s="12">
        <f>SUM(LTBL_08202[総数／事業所数])</f>
        <v>3531</v>
      </c>
      <c r="E20" s="12">
        <f>SUBTOTAL(109,LTBL_08202[個人／事業所数])</f>
        <v>2025</v>
      </c>
      <c r="G20" s="12">
        <f>SUBTOTAL(109,LTBL_08202[法人／事業所数])</f>
        <v>1495</v>
      </c>
      <c r="I20" s="12">
        <f>SUBTOTAL(109,LTBL_08202[法人以外の団体／事業所数])</f>
        <v>1</v>
      </c>
    </row>
    <row r="21" spans="2:9" ht="15" customHeight="1" x14ac:dyDescent="0.2">
      <c r="E21" s="11">
        <f>LTBL_08202[[#Totals],[個人／事業所数]]/LTBL_08202[[#Totals],[総数／事業所数]]</f>
        <v>0.57349192863211551</v>
      </c>
      <c r="G21" s="11">
        <f>LTBL_08202[[#Totals],[法人／事業所数]]/LTBL_08202[[#Totals],[総数／事業所数]]</f>
        <v>0.42339280657037665</v>
      </c>
      <c r="I21" s="11">
        <f>LTBL_08202[[#Totals],[法人以外の団体／事業所数]]/LTBL_08202[[#Totals],[総数／事業所数]]</f>
        <v>2.8320589068252618E-4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500</v>
      </c>
      <c r="D24" s="8">
        <v>14.16</v>
      </c>
      <c r="E24" s="12">
        <v>450</v>
      </c>
      <c r="F24" s="8">
        <v>22.22</v>
      </c>
      <c r="G24" s="12">
        <v>50</v>
      </c>
      <c r="H24" s="8">
        <v>3.34</v>
      </c>
      <c r="I24" s="12">
        <v>0</v>
      </c>
    </row>
    <row r="25" spans="2:9" ht="15" customHeight="1" x14ac:dyDescent="0.2">
      <c r="B25" t="s">
        <v>82</v>
      </c>
      <c r="C25" s="12">
        <v>423</v>
      </c>
      <c r="D25" s="8">
        <v>11.98</v>
      </c>
      <c r="E25" s="12">
        <v>380</v>
      </c>
      <c r="F25" s="8">
        <v>18.77</v>
      </c>
      <c r="G25" s="12">
        <v>43</v>
      </c>
      <c r="H25" s="8">
        <v>2.88</v>
      </c>
      <c r="I25" s="12">
        <v>0</v>
      </c>
    </row>
    <row r="26" spans="2:9" ht="15" customHeight="1" x14ac:dyDescent="0.2">
      <c r="B26" t="s">
        <v>77</v>
      </c>
      <c r="C26" s="12">
        <v>251</v>
      </c>
      <c r="D26" s="8">
        <v>7.11</v>
      </c>
      <c r="E26" s="12">
        <v>137</v>
      </c>
      <c r="F26" s="8">
        <v>6.77</v>
      </c>
      <c r="G26" s="12">
        <v>114</v>
      </c>
      <c r="H26" s="8">
        <v>7.63</v>
      </c>
      <c r="I26" s="12">
        <v>0</v>
      </c>
    </row>
    <row r="27" spans="2:9" ht="15" customHeight="1" x14ac:dyDescent="0.2">
      <c r="B27" t="s">
        <v>79</v>
      </c>
      <c r="C27" s="12">
        <v>192</v>
      </c>
      <c r="D27" s="8">
        <v>5.44</v>
      </c>
      <c r="E27" s="12">
        <v>103</v>
      </c>
      <c r="F27" s="8">
        <v>5.09</v>
      </c>
      <c r="G27" s="12">
        <v>89</v>
      </c>
      <c r="H27" s="8">
        <v>5.95</v>
      </c>
      <c r="I27" s="12">
        <v>0</v>
      </c>
    </row>
    <row r="28" spans="2:9" ht="15" customHeight="1" x14ac:dyDescent="0.2">
      <c r="B28" t="s">
        <v>68</v>
      </c>
      <c r="C28" s="12">
        <v>188</v>
      </c>
      <c r="D28" s="8">
        <v>5.32</v>
      </c>
      <c r="E28" s="12">
        <v>70</v>
      </c>
      <c r="F28" s="8">
        <v>3.46</v>
      </c>
      <c r="G28" s="12">
        <v>118</v>
      </c>
      <c r="H28" s="8">
        <v>7.89</v>
      </c>
      <c r="I28" s="12">
        <v>0</v>
      </c>
    </row>
    <row r="29" spans="2:9" ht="15" customHeight="1" x14ac:dyDescent="0.2">
      <c r="B29" t="s">
        <v>75</v>
      </c>
      <c r="C29" s="12">
        <v>176</v>
      </c>
      <c r="D29" s="8">
        <v>4.9800000000000004</v>
      </c>
      <c r="E29" s="12">
        <v>135</v>
      </c>
      <c r="F29" s="8">
        <v>6.67</v>
      </c>
      <c r="G29" s="12">
        <v>41</v>
      </c>
      <c r="H29" s="8">
        <v>2.74</v>
      </c>
      <c r="I29" s="12">
        <v>0</v>
      </c>
    </row>
    <row r="30" spans="2:9" ht="15" customHeight="1" x14ac:dyDescent="0.2">
      <c r="B30" t="s">
        <v>69</v>
      </c>
      <c r="C30" s="12">
        <v>163</v>
      </c>
      <c r="D30" s="8">
        <v>4.62</v>
      </c>
      <c r="E30" s="12">
        <v>61</v>
      </c>
      <c r="F30" s="8">
        <v>3.01</v>
      </c>
      <c r="G30" s="12">
        <v>102</v>
      </c>
      <c r="H30" s="8">
        <v>6.82</v>
      </c>
      <c r="I30" s="12">
        <v>0</v>
      </c>
    </row>
    <row r="31" spans="2:9" ht="15" customHeight="1" x14ac:dyDescent="0.2">
      <c r="B31" t="s">
        <v>70</v>
      </c>
      <c r="C31" s="12">
        <v>150</v>
      </c>
      <c r="D31" s="8">
        <v>4.25</v>
      </c>
      <c r="E31" s="12">
        <v>29</v>
      </c>
      <c r="F31" s="8">
        <v>1.43</v>
      </c>
      <c r="G31" s="12">
        <v>121</v>
      </c>
      <c r="H31" s="8">
        <v>8.09</v>
      </c>
      <c r="I31" s="12">
        <v>0</v>
      </c>
    </row>
    <row r="32" spans="2:9" ht="15" customHeight="1" x14ac:dyDescent="0.2">
      <c r="B32" t="s">
        <v>85</v>
      </c>
      <c r="C32" s="12">
        <v>137</v>
      </c>
      <c r="D32" s="8">
        <v>3.88</v>
      </c>
      <c r="E32" s="12">
        <v>99</v>
      </c>
      <c r="F32" s="8">
        <v>4.8899999999999997</v>
      </c>
      <c r="G32" s="12">
        <v>36</v>
      </c>
      <c r="H32" s="8">
        <v>2.41</v>
      </c>
      <c r="I32" s="12">
        <v>0</v>
      </c>
    </row>
    <row r="33" spans="2:9" ht="15" customHeight="1" x14ac:dyDescent="0.2">
      <c r="B33" t="s">
        <v>76</v>
      </c>
      <c r="C33" s="12">
        <v>127</v>
      </c>
      <c r="D33" s="8">
        <v>3.6</v>
      </c>
      <c r="E33" s="12">
        <v>74</v>
      </c>
      <c r="F33" s="8">
        <v>3.65</v>
      </c>
      <c r="G33" s="12">
        <v>53</v>
      </c>
      <c r="H33" s="8">
        <v>3.55</v>
      </c>
      <c r="I33" s="12">
        <v>0</v>
      </c>
    </row>
    <row r="34" spans="2:9" ht="15" customHeight="1" x14ac:dyDescent="0.2">
      <c r="B34" t="s">
        <v>86</v>
      </c>
      <c r="C34" s="12">
        <v>118</v>
      </c>
      <c r="D34" s="8">
        <v>3.34</v>
      </c>
      <c r="E34" s="12">
        <v>108</v>
      </c>
      <c r="F34" s="8">
        <v>5.33</v>
      </c>
      <c r="G34" s="12">
        <v>10</v>
      </c>
      <c r="H34" s="8">
        <v>0.67</v>
      </c>
      <c r="I34" s="12">
        <v>0</v>
      </c>
    </row>
    <row r="35" spans="2:9" ht="15" customHeight="1" x14ac:dyDescent="0.2">
      <c r="B35" t="s">
        <v>74</v>
      </c>
      <c r="C35" s="12">
        <v>81</v>
      </c>
      <c r="D35" s="8">
        <v>2.29</v>
      </c>
      <c r="E35" s="12">
        <v>41</v>
      </c>
      <c r="F35" s="8">
        <v>2.02</v>
      </c>
      <c r="G35" s="12">
        <v>40</v>
      </c>
      <c r="H35" s="8">
        <v>2.68</v>
      </c>
      <c r="I35" s="12">
        <v>0</v>
      </c>
    </row>
    <row r="36" spans="2:9" ht="15" customHeight="1" x14ac:dyDescent="0.2">
      <c r="B36" t="s">
        <v>81</v>
      </c>
      <c r="C36" s="12">
        <v>78</v>
      </c>
      <c r="D36" s="8">
        <v>2.21</v>
      </c>
      <c r="E36" s="12">
        <v>31</v>
      </c>
      <c r="F36" s="8">
        <v>1.53</v>
      </c>
      <c r="G36" s="12">
        <v>46</v>
      </c>
      <c r="H36" s="8">
        <v>3.08</v>
      </c>
      <c r="I36" s="12">
        <v>0</v>
      </c>
    </row>
    <row r="37" spans="2:9" ht="15" customHeight="1" x14ac:dyDescent="0.2">
      <c r="B37" t="s">
        <v>73</v>
      </c>
      <c r="C37" s="12">
        <v>61</v>
      </c>
      <c r="D37" s="8">
        <v>1.73</v>
      </c>
      <c r="E37" s="12">
        <v>1</v>
      </c>
      <c r="F37" s="8">
        <v>0.05</v>
      </c>
      <c r="G37" s="12">
        <v>60</v>
      </c>
      <c r="H37" s="8">
        <v>4.01</v>
      </c>
      <c r="I37" s="12">
        <v>0</v>
      </c>
    </row>
    <row r="38" spans="2:9" ht="15" customHeight="1" x14ac:dyDescent="0.2">
      <c r="B38" t="s">
        <v>80</v>
      </c>
      <c r="C38" s="12">
        <v>57</v>
      </c>
      <c r="D38" s="8">
        <v>1.61</v>
      </c>
      <c r="E38" s="12">
        <v>48</v>
      </c>
      <c r="F38" s="8">
        <v>2.37</v>
      </c>
      <c r="G38" s="12">
        <v>9</v>
      </c>
      <c r="H38" s="8">
        <v>0.6</v>
      </c>
      <c r="I38" s="12">
        <v>0</v>
      </c>
    </row>
    <row r="39" spans="2:9" ht="15" customHeight="1" x14ac:dyDescent="0.2">
      <c r="B39" t="s">
        <v>71</v>
      </c>
      <c r="C39" s="12">
        <v>54</v>
      </c>
      <c r="D39" s="8">
        <v>1.53</v>
      </c>
      <c r="E39" s="12">
        <v>18</v>
      </c>
      <c r="F39" s="8">
        <v>0.89</v>
      </c>
      <c r="G39" s="12">
        <v>36</v>
      </c>
      <c r="H39" s="8">
        <v>2.41</v>
      </c>
      <c r="I39" s="12">
        <v>0</v>
      </c>
    </row>
    <row r="40" spans="2:9" ht="15" customHeight="1" x14ac:dyDescent="0.2">
      <c r="B40" t="s">
        <v>72</v>
      </c>
      <c r="C40" s="12">
        <v>51</v>
      </c>
      <c r="D40" s="8">
        <v>1.44</v>
      </c>
      <c r="E40" s="12">
        <v>13</v>
      </c>
      <c r="F40" s="8">
        <v>0.64</v>
      </c>
      <c r="G40" s="12">
        <v>38</v>
      </c>
      <c r="H40" s="8">
        <v>2.54</v>
      </c>
      <c r="I40" s="12">
        <v>0</v>
      </c>
    </row>
    <row r="41" spans="2:9" ht="15" customHeight="1" x14ac:dyDescent="0.2">
      <c r="B41" t="s">
        <v>90</v>
      </c>
      <c r="C41" s="12">
        <v>49</v>
      </c>
      <c r="D41" s="8">
        <v>1.39</v>
      </c>
      <c r="E41" s="12">
        <v>10</v>
      </c>
      <c r="F41" s="8">
        <v>0.49</v>
      </c>
      <c r="G41" s="12">
        <v>39</v>
      </c>
      <c r="H41" s="8">
        <v>2.61</v>
      </c>
      <c r="I41" s="12">
        <v>0</v>
      </c>
    </row>
    <row r="42" spans="2:9" ht="15" customHeight="1" x14ac:dyDescent="0.2">
      <c r="B42" t="s">
        <v>84</v>
      </c>
      <c r="C42" s="12">
        <v>48</v>
      </c>
      <c r="D42" s="8">
        <v>1.36</v>
      </c>
      <c r="E42" s="12">
        <v>23</v>
      </c>
      <c r="F42" s="8">
        <v>1.1399999999999999</v>
      </c>
      <c r="G42" s="12">
        <v>24</v>
      </c>
      <c r="H42" s="8">
        <v>1.61</v>
      </c>
      <c r="I42" s="12">
        <v>0</v>
      </c>
    </row>
    <row r="43" spans="2:9" ht="15" customHeight="1" x14ac:dyDescent="0.2">
      <c r="B43" t="s">
        <v>87</v>
      </c>
      <c r="C43" s="12">
        <v>46</v>
      </c>
      <c r="D43" s="8">
        <v>1.3</v>
      </c>
      <c r="E43" s="12">
        <v>34</v>
      </c>
      <c r="F43" s="8">
        <v>1.68</v>
      </c>
      <c r="G43" s="12">
        <v>12</v>
      </c>
      <c r="H43" s="8">
        <v>0.8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134</v>
      </c>
      <c r="C47" s="12">
        <v>247</v>
      </c>
      <c r="D47" s="8">
        <v>7</v>
      </c>
      <c r="E47" s="12">
        <v>240</v>
      </c>
      <c r="F47" s="8">
        <v>11.85</v>
      </c>
      <c r="G47" s="12">
        <v>7</v>
      </c>
      <c r="H47" s="8">
        <v>0.47</v>
      </c>
      <c r="I47" s="12">
        <v>0</v>
      </c>
    </row>
    <row r="48" spans="2:9" ht="15" customHeight="1" x14ac:dyDescent="0.2">
      <c r="B48" t="s">
        <v>133</v>
      </c>
      <c r="C48" s="12">
        <v>165</v>
      </c>
      <c r="D48" s="8">
        <v>4.67</v>
      </c>
      <c r="E48" s="12">
        <v>161</v>
      </c>
      <c r="F48" s="8">
        <v>7.95</v>
      </c>
      <c r="G48" s="12">
        <v>4</v>
      </c>
      <c r="H48" s="8">
        <v>0.27</v>
      </c>
      <c r="I48" s="12">
        <v>0</v>
      </c>
    </row>
    <row r="49" spans="2:9" ht="15" customHeight="1" x14ac:dyDescent="0.2">
      <c r="B49" t="s">
        <v>132</v>
      </c>
      <c r="C49" s="12">
        <v>115</v>
      </c>
      <c r="D49" s="8">
        <v>3.26</v>
      </c>
      <c r="E49" s="12">
        <v>108</v>
      </c>
      <c r="F49" s="8">
        <v>5.33</v>
      </c>
      <c r="G49" s="12">
        <v>7</v>
      </c>
      <c r="H49" s="8">
        <v>0.47</v>
      </c>
      <c r="I49" s="12">
        <v>0</v>
      </c>
    </row>
    <row r="50" spans="2:9" ht="15" customHeight="1" x14ac:dyDescent="0.2">
      <c r="B50" t="s">
        <v>129</v>
      </c>
      <c r="C50" s="12">
        <v>109</v>
      </c>
      <c r="D50" s="8">
        <v>3.09</v>
      </c>
      <c r="E50" s="12">
        <v>69</v>
      </c>
      <c r="F50" s="8">
        <v>3.41</v>
      </c>
      <c r="G50" s="12">
        <v>40</v>
      </c>
      <c r="H50" s="8">
        <v>2.68</v>
      </c>
      <c r="I50" s="12">
        <v>0</v>
      </c>
    </row>
    <row r="51" spans="2:9" ht="15" customHeight="1" x14ac:dyDescent="0.2">
      <c r="B51" t="s">
        <v>131</v>
      </c>
      <c r="C51" s="12">
        <v>107</v>
      </c>
      <c r="D51" s="8">
        <v>3.03</v>
      </c>
      <c r="E51" s="12">
        <v>91</v>
      </c>
      <c r="F51" s="8">
        <v>4.49</v>
      </c>
      <c r="G51" s="12">
        <v>16</v>
      </c>
      <c r="H51" s="8">
        <v>1.07</v>
      </c>
      <c r="I51" s="12">
        <v>0</v>
      </c>
    </row>
    <row r="52" spans="2:9" ht="15" customHeight="1" x14ac:dyDescent="0.2">
      <c r="B52" t="s">
        <v>136</v>
      </c>
      <c r="C52" s="12">
        <v>94</v>
      </c>
      <c r="D52" s="8">
        <v>2.66</v>
      </c>
      <c r="E52" s="12">
        <v>84</v>
      </c>
      <c r="F52" s="8">
        <v>4.1500000000000004</v>
      </c>
      <c r="G52" s="12">
        <v>10</v>
      </c>
      <c r="H52" s="8">
        <v>0.67</v>
      </c>
      <c r="I52" s="12">
        <v>0</v>
      </c>
    </row>
    <row r="53" spans="2:9" ht="15" customHeight="1" x14ac:dyDescent="0.2">
      <c r="B53" t="s">
        <v>138</v>
      </c>
      <c r="C53" s="12">
        <v>86</v>
      </c>
      <c r="D53" s="8">
        <v>2.44</v>
      </c>
      <c r="E53" s="12">
        <v>83</v>
      </c>
      <c r="F53" s="8">
        <v>4.0999999999999996</v>
      </c>
      <c r="G53" s="12">
        <v>3</v>
      </c>
      <c r="H53" s="8">
        <v>0.2</v>
      </c>
      <c r="I53" s="12">
        <v>0</v>
      </c>
    </row>
    <row r="54" spans="2:9" ht="15" customHeight="1" x14ac:dyDescent="0.2">
      <c r="B54" t="s">
        <v>135</v>
      </c>
      <c r="C54" s="12">
        <v>78</v>
      </c>
      <c r="D54" s="8">
        <v>2.21</v>
      </c>
      <c r="E54" s="12">
        <v>61</v>
      </c>
      <c r="F54" s="8">
        <v>3.01</v>
      </c>
      <c r="G54" s="12">
        <v>17</v>
      </c>
      <c r="H54" s="8">
        <v>1.1399999999999999</v>
      </c>
      <c r="I54" s="12">
        <v>0</v>
      </c>
    </row>
    <row r="55" spans="2:9" ht="15" customHeight="1" x14ac:dyDescent="0.2">
      <c r="B55" t="s">
        <v>127</v>
      </c>
      <c r="C55" s="12">
        <v>73</v>
      </c>
      <c r="D55" s="8">
        <v>2.0699999999999998</v>
      </c>
      <c r="E55" s="12">
        <v>37</v>
      </c>
      <c r="F55" s="8">
        <v>1.83</v>
      </c>
      <c r="G55" s="12">
        <v>36</v>
      </c>
      <c r="H55" s="8">
        <v>2.41</v>
      </c>
      <c r="I55" s="12">
        <v>0</v>
      </c>
    </row>
    <row r="56" spans="2:9" ht="15" customHeight="1" x14ac:dyDescent="0.2">
      <c r="B56" t="s">
        <v>124</v>
      </c>
      <c r="C56" s="12">
        <v>68</v>
      </c>
      <c r="D56" s="8">
        <v>1.93</v>
      </c>
      <c r="E56" s="12">
        <v>34</v>
      </c>
      <c r="F56" s="8">
        <v>1.68</v>
      </c>
      <c r="G56" s="12">
        <v>34</v>
      </c>
      <c r="H56" s="8">
        <v>2.27</v>
      </c>
      <c r="I56" s="12">
        <v>0</v>
      </c>
    </row>
    <row r="57" spans="2:9" ht="15" customHeight="1" x14ac:dyDescent="0.2">
      <c r="B57" t="s">
        <v>121</v>
      </c>
      <c r="C57" s="12">
        <v>64</v>
      </c>
      <c r="D57" s="8">
        <v>1.81</v>
      </c>
      <c r="E57" s="12">
        <v>20</v>
      </c>
      <c r="F57" s="8">
        <v>0.99</v>
      </c>
      <c r="G57" s="12">
        <v>44</v>
      </c>
      <c r="H57" s="8">
        <v>2.94</v>
      </c>
      <c r="I57" s="12">
        <v>0</v>
      </c>
    </row>
    <row r="58" spans="2:9" ht="15" customHeight="1" x14ac:dyDescent="0.2">
      <c r="B58" t="s">
        <v>139</v>
      </c>
      <c r="C58" s="12">
        <v>64</v>
      </c>
      <c r="D58" s="8">
        <v>1.81</v>
      </c>
      <c r="E58" s="12">
        <v>35</v>
      </c>
      <c r="F58" s="8">
        <v>1.73</v>
      </c>
      <c r="G58" s="12">
        <v>29</v>
      </c>
      <c r="H58" s="8">
        <v>1.94</v>
      </c>
      <c r="I58" s="12">
        <v>0</v>
      </c>
    </row>
    <row r="59" spans="2:9" ht="15" customHeight="1" x14ac:dyDescent="0.2">
      <c r="B59" t="s">
        <v>123</v>
      </c>
      <c r="C59" s="12">
        <v>61</v>
      </c>
      <c r="D59" s="8">
        <v>1.73</v>
      </c>
      <c r="E59" s="12">
        <v>41</v>
      </c>
      <c r="F59" s="8">
        <v>2.02</v>
      </c>
      <c r="G59" s="12">
        <v>20</v>
      </c>
      <c r="H59" s="8">
        <v>1.34</v>
      </c>
      <c r="I59" s="12">
        <v>0</v>
      </c>
    </row>
    <row r="60" spans="2:9" ht="15" customHeight="1" x14ac:dyDescent="0.2">
      <c r="B60" t="s">
        <v>125</v>
      </c>
      <c r="C60" s="12">
        <v>57</v>
      </c>
      <c r="D60" s="8">
        <v>1.61</v>
      </c>
      <c r="E60" s="12">
        <v>31</v>
      </c>
      <c r="F60" s="8">
        <v>1.53</v>
      </c>
      <c r="G60" s="12">
        <v>26</v>
      </c>
      <c r="H60" s="8">
        <v>1.74</v>
      </c>
      <c r="I60" s="12">
        <v>0</v>
      </c>
    </row>
    <row r="61" spans="2:9" ht="15" customHeight="1" x14ac:dyDescent="0.2">
      <c r="B61" t="s">
        <v>122</v>
      </c>
      <c r="C61" s="12">
        <v>56</v>
      </c>
      <c r="D61" s="8">
        <v>1.59</v>
      </c>
      <c r="E61" s="12">
        <v>9</v>
      </c>
      <c r="F61" s="8">
        <v>0.44</v>
      </c>
      <c r="G61" s="12">
        <v>47</v>
      </c>
      <c r="H61" s="8">
        <v>3.14</v>
      </c>
      <c r="I61" s="12">
        <v>0</v>
      </c>
    </row>
    <row r="62" spans="2:9" ht="15" customHeight="1" x14ac:dyDescent="0.2">
      <c r="B62" t="s">
        <v>141</v>
      </c>
      <c r="C62" s="12">
        <v>55</v>
      </c>
      <c r="D62" s="8">
        <v>1.56</v>
      </c>
      <c r="E62" s="12">
        <v>38</v>
      </c>
      <c r="F62" s="8">
        <v>1.88</v>
      </c>
      <c r="G62" s="12">
        <v>17</v>
      </c>
      <c r="H62" s="8">
        <v>1.1399999999999999</v>
      </c>
      <c r="I62" s="12">
        <v>0</v>
      </c>
    </row>
    <row r="63" spans="2:9" ht="15" customHeight="1" x14ac:dyDescent="0.2">
      <c r="B63" t="s">
        <v>140</v>
      </c>
      <c r="C63" s="12">
        <v>51</v>
      </c>
      <c r="D63" s="8">
        <v>1.44</v>
      </c>
      <c r="E63" s="12">
        <v>35</v>
      </c>
      <c r="F63" s="8">
        <v>1.73</v>
      </c>
      <c r="G63" s="12">
        <v>16</v>
      </c>
      <c r="H63" s="8">
        <v>1.07</v>
      </c>
      <c r="I63" s="12">
        <v>0</v>
      </c>
    </row>
    <row r="64" spans="2:9" ht="15" customHeight="1" x14ac:dyDescent="0.2">
      <c r="B64" t="s">
        <v>119</v>
      </c>
      <c r="C64" s="12">
        <v>50</v>
      </c>
      <c r="D64" s="8">
        <v>1.42</v>
      </c>
      <c r="E64" s="12">
        <v>16</v>
      </c>
      <c r="F64" s="8">
        <v>0.79</v>
      </c>
      <c r="G64" s="12">
        <v>34</v>
      </c>
      <c r="H64" s="8">
        <v>2.27</v>
      </c>
      <c r="I64" s="12">
        <v>0</v>
      </c>
    </row>
    <row r="65" spans="2:9" ht="15" customHeight="1" x14ac:dyDescent="0.2">
      <c r="B65" t="s">
        <v>120</v>
      </c>
      <c r="C65" s="12">
        <v>50</v>
      </c>
      <c r="D65" s="8">
        <v>1.42</v>
      </c>
      <c r="E65" s="12">
        <v>34</v>
      </c>
      <c r="F65" s="8">
        <v>1.68</v>
      </c>
      <c r="G65" s="12">
        <v>16</v>
      </c>
      <c r="H65" s="8">
        <v>1.07</v>
      </c>
      <c r="I65" s="12">
        <v>0</v>
      </c>
    </row>
    <row r="66" spans="2:9" ht="15" customHeight="1" x14ac:dyDescent="0.2">
      <c r="B66" t="s">
        <v>137</v>
      </c>
      <c r="C66" s="12">
        <v>46</v>
      </c>
      <c r="D66" s="8">
        <v>1.3</v>
      </c>
      <c r="E66" s="12">
        <v>34</v>
      </c>
      <c r="F66" s="8">
        <v>1.68</v>
      </c>
      <c r="G66" s="12">
        <v>12</v>
      </c>
      <c r="H66" s="8">
        <v>0.8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0CA4C-F935-45C7-A1C2-213324035D9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201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2">
      <c r="B6" t="s">
        <v>46</v>
      </c>
      <c r="C6" s="12">
        <v>492</v>
      </c>
      <c r="D6" s="8">
        <v>15.63</v>
      </c>
      <c r="E6" s="12">
        <v>146</v>
      </c>
      <c r="F6" s="8">
        <v>9.5500000000000007</v>
      </c>
      <c r="G6" s="12">
        <v>346</v>
      </c>
      <c r="H6" s="8">
        <v>21.56</v>
      </c>
      <c r="I6" s="12">
        <v>0</v>
      </c>
    </row>
    <row r="7" spans="2:9" ht="15" customHeight="1" x14ac:dyDescent="0.2">
      <c r="B7" t="s">
        <v>47</v>
      </c>
      <c r="C7" s="12">
        <v>193</v>
      </c>
      <c r="D7" s="8">
        <v>6.13</v>
      </c>
      <c r="E7" s="12">
        <v>74</v>
      </c>
      <c r="F7" s="8">
        <v>4.84</v>
      </c>
      <c r="G7" s="12">
        <v>119</v>
      </c>
      <c r="H7" s="8">
        <v>7.41</v>
      </c>
      <c r="I7" s="12">
        <v>0</v>
      </c>
    </row>
    <row r="8" spans="2:9" ht="15" customHeight="1" x14ac:dyDescent="0.2">
      <c r="B8" t="s">
        <v>48</v>
      </c>
      <c r="C8" s="12">
        <v>11</v>
      </c>
      <c r="D8" s="8">
        <v>0.35</v>
      </c>
      <c r="E8" s="12">
        <v>1</v>
      </c>
      <c r="F8" s="8">
        <v>7.0000000000000007E-2</v>
      </c>
      <c r="G8" s="12">
        <v>9</v>
      </c>
      <c r="H8" s="8">
        <v>0.56000000000000005</v>
      </c>
      <c r="I8" s="12">
        <v>1</v>
      </c>
    </row>
    <row r="9" spans="2:9" ht="15" customHeight="1" x14ac:dyDescent="0.2">
      <c r="B9" t="s">
        <v>49</v>
      </c>
      <c r="C9" s="12">
        <v>23</v>
      </c>
      <c r="D9" s="8">
        <v>0.73</v>
      </c>
      <c r="E9" s="12">
        <v>1</v>
      </c>
      <c r="F9" s="8">
        <v>7.0000000000000007E-2</v>
      </c>
      <c r="G9" s="12">
        <v>22</v>
      </c>
      <c r="H9" s="8">
        <v>1.37</v>
      </c>
      <c r="I9" s="12">
        <v>0</v>
      </c>
    </row>
    <row r="10" spans="2:9" ht="15" customHeight="1" x14ac:dyDescent="0.2">
      <c r="B10" t="s">
        <v>50</v>
      </c>
      <c r="C10" s="12">
        <v>27</v>
      </c>
      <c r="D10" s="8">
        <v>0.86</v>
      </c>
      <c r="E10" s="12">
        <v>2</v>
      </c>
      <c r="F10" s="8">
        <v>0.13</v>
      </c>
      <c r="G10" s="12">
        <v>25</v>
      </c>
      <c r="H10" s="8">
        <v>1.56</v>
      </c>
      <c r="I10" s="12">
        <v>0</v>
      </c>
    </row>
    <row r="11" spans="2:9" ht="15" customHeight="1" x14ac:dyDescent="0.2">
      <c r="B11" t="s">
        <v>51</v>
      </c>
      <c r="C11" s="12">
        <v>732</v>
      </c>
      <c r="D11" s="8">
        <v>23.26</v>
      </c>
      <c r="E11" s="12">
        <v>276</v>
      </c>
      <c r="F11" s="8">
        <v>18.05</v>
      </c>
      <c r="G11" s="12">
        <v>456</v>
      </c>
      <c r="H11" s="8">
        <v>28.41</v>
      </c>
      <c r="I11" s="12">
        <v>0</v>
      </c>
    </row>
    <row r="12" spans="2:9" ht="15" customHeight="1" x14ac:dyDescent="0.2">
      <c r="B12" t="s">
        <v>52</v>
      </c>
      <c r="C12" s="12">
        <v>22</v>
      </c>
      <c r="D12" s="8">
        <v>0.7</v>
      </c>
      <c r="E12" s="12">
        <v>2</v>
      </c>
      <c r="F12" s="8">
        <v>0.13</v>
      </c>
      <c r="G12" s="12">
        <v>20</v>
      </c>
      <c r="H12" s="8">
        <v>1.25</v>
      </c>
      <c r="I12" s="12">
        <v>0</v>
      </c>
    </row>
    <row r="13" spans="2:9" ht="15" customHeight="1" x14ac:dyDescent="0.2">
      <c r="B13" t="s">
        <v>53</v>
      </c>
      <c r="C13" s="12">
        <v>348</v>
      </c>
      <c r="D13" s="8">
        <v>11.06</v>
      </c>
      <c r="E13" s="12">
        <v>140</v>
      </c>
      <c r="F13" s="8">
        <v>9.16</v>
      </c>
      <c r="G13" s="12">
        <v>208</v>
      </c>
      <c r="H13" s="8">
        <v>12.96</v>
      </c>
      <c r="I13" s="12">
        <v>0</v>
      </c>
    </row>
    <row r="14" spans="2:9" ht="15" customHeight="1" x14ac:dyDescent="0.2">
      <c r="B14" t="s">
        <v>54</v>
      </c>
      <c r="C14" s="12">
        <v>172</v>
      </c>
      <c r="D14" s="8">
        <v>5.47</v>
      </c>
      <c r="E14" s="12">
        <v>80</v>
      </c>
      <c r="F14" s="8">
        <v>5.23</v>
      </c>
      <c r="G14" s="12">
        <v>90</v>
      </c>
      <c r="H14" s="8">
        <v>5.61</v>
      </c>
      <c r="I14" s="12">
        <v>0</v>
      </c>
    </row>
    <row r="15" spans="2:9" ht="15" customHeight="1" x14ac:dyDescent="0.2">
      <c r="B15" t="s">
        <v>55</v>
      </c>
      <c r="C15" s="12">
        <v>354</v>
      </c>
      <c r="D15" s="8">
        <v>11.25</v>
      </c>
      <c r="E15" s="12">
        <v>285</v>
      </c>
      <c r="F15" s="8">
        <v>18.64</v>
      </c>
      <c r="G15" s="12">
        <v>69</v>
      </c>
      <c r="H15" s="8">
        <v>4.3</v>
      </c>
      <c r="I15" s="12">
        <v>0</v>
      </c>
    </row>
    <row r="16" spans="2:9" ht="15" customHeight="1" x14ac:dyDescent="0.2">
      <c r="B16" t="s">
        <v>56</v>
      </c>
      <c r="C16" s="12">
        <v>388</v>
      </c>
      <c r="D16" s="8">
        <v>12.33</v>
      </c>
      <c r="E16" s="12">
        <v>292</v>
      </c>
      <c r="F16" s="8">
        <v>19.100000000000001</v>
      </c>
      <c r="G16" s="12">
        <v>94</v>
      </c>
      <c r="H16" s="8">
        <v>5.86</v>
      </c>
      <c r="I16" s="12">
        <v>0</v>
      </c>
    </row>
    <row r="17" spans="2:9" ht="15" customHeight="1" x14ac:dyDescent="0.2">
      <c r="B17" t="s">
        <v>57</v>
      </c>
      <c r="C17" s="12">
        <v>80</v>
      </c>
      <c r="D17" s="8">
        <v>2.54</v>
      </c>
      <c r="E17" s="12">
        <v>54</v>
      </c>
      <c r="F17" s="8">
        <v>3.53</v>
      </c>
      <c r="G17" s="12">
        <v>22</v>
      </c>
      <c r="H17" s="8">
        <v>1.37</v>
      </c>
      <c r="I17" s="12">
        <v>0</v>
      </c>
    </row>
    <row r="18" spans="2:9" ht="15" customHeight="1" x14ac:dyDescent="0.2">
      <c r="B18" t="s">
        <v>58</v>
      </c>
      <c r="C18" s="12">
        <v>149</v>
      </c>
      <c r="D18" s="8">
        <v>4.7300000000000004</v>
      </c>
      <c r="E18" s="12">
        <v>104</v>
      </c>
      <c r="F18" s="8">
        <v>6.8</v>
      </c>
      <c r="G18" s="12">
        <v>43</v>
      </c>
      <c r="H18" s="8">
        <v>2.68</v>
      </c>
      <c r="I18" s="12">
        <v>0</v>
      </c>
    </row>
    <row r="19" spans="2:9" ht="15" customHeight="1" x14ac:dyDescent="0.2">
      <c r="B19" t="s">
        <v>59</v>
      </c>
      <c r="C19" s="12">
        <v>155</v>
      </c>
      <c r="D19" s="8">
        <v>4.93</v>
      </c>
      <c r="E19" s="12">
        <v>72</v>
      </c>
      <c r="F19" s="8">
        <v>4.71</v>
      </c>
      <c r="G19" s="12">
        <v>81</v>
      </c>
      <c r="H19" s="8">
        <v>5.05</v>
      </c>
      <c r="I19" s="12">
        <v>0</v>
      </c>
    </row>
    <row r="20" spans="2:9" ht="15" customHeight="1" x14ac:dyDescent="0.2">
      <c r="B20" s="9" t="s">
        <v>195</v>
      </c>
      <c r="C20" s="12">
        <f>SUM(LTBL_08203[総数／事業所数])</f>
        <v>3147</v>
      </c>
      <c r="E20" s="12">
        <f>SUBTOTAL(109,LTBL_08203[個人／事業所数])</f>
        <v>1529</v>
      </c>
      <c r="G20" s="12">
        <f>SUBTOTAL(109,LTBL_08203[法人／事業所数])</f>
        <v>1605</v>
      </c>
      <c r="I20" s="12">
        <f>SUBTOTAL(109,LTBL_08203[法人以外の団体／事業所数])</f>
        <v>1</v>
      </c>
    </row>
    <row r="21" spans="2:9" ht="15" customHeight="1" x14ac:dyDescent="0.2">
      <c r="E21" s="11">
        <f>LTBL_08203[[#Totals],[個人／事業所数]]/LTBL_08203[[#Totals],[総数／事業所数]]</f>
        <v>0.48585954877661264</v>
      </c>
      <c r="G21" s="11">
        <f>LTBL_08203[[#Totals],[法人／事業所数]]/LTBL_08203[[#Totals],[総数／事業所数]]</f>
        <v>0.51000953288846518</v>
      </c>
      <c r="I21" s="11">
        <f>LTBL_08203[[#Totals],[法人以外の団体／事業所数]]/LTBL_08203[[#Totals],[総数／事業所数]]</f>
        <v>3.1776294884016526E-4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325</v>
      </c>
      <c r="D24" s="8">
        <v>10.33</v>
      </c>
      <c r="E24" s="12">
        <v>264</v>
      </c>
      <c r="F24" s="8">
        <v>17.27</v>
      </c>
      <c r="G24" s="12">
        <v>61</v>
      </c>
      <c r="H24" s="8">
        <v>3.8</v>
      </c>
      <c r="I24" s="12">
        <v>0</v>
      </c>
    </row>
    <row r="25" spans="2:9" ht="15" customHeight="1" x14ac:dyDescent="0.2">
      <c r="B25" t="s">
        <v>82</v>
      </c>
      <c r="C25" s="12">
        <v>316</v>
      </c>
      <c r="D25" s="8">
        <v>10.039999999999999</v>
      </c>
      <c r="E25" s="12">
        <v>273</v>
      </c>
      <c r="F25" s="8">
        <v>17.850000000000001</v>
      </c>
      <c r="G25" s="12">
        <v>43</v>
      </c>
      <c r="H25" s="8">
        <v>2.68</v>
      </c>
      <c r="I25" s="12">
        <v>0</v>
      </c>
    </row>
    <row r="26" spans="2:9" ht="15" customHeight="1" x14ac:dyDescent="0.2">
      <c r="B26" t="s">
        <v>79</v>
      </c>
      <c r="C26" s="12">
        <v>281</v>
      </c>
      <c r="D26" s="8">
        <v>8.93</v>
      </c>
      <c r="E26" s="12">
        <v>133</v>
      </c>
      <c r="F26" s="8">
        <v>8.6999999999999993</v>
      </c>
      <c r="G26" s="12">
        <v>148</v>
      </c>
      <c r="H26" s="8">
        <v>9.2200000000000006</v>
      </c>
      <c r="I26" s="12">
        <v>0</v>
      </c>
    </row>
    <row r="27" spans="2:9" ht="15" customHeight="1" x14ac:dyDescent="0.2">
      <c r="B27" t="s">
        <v>77</v>
      </c>
      <c r="C27" s="12">
        <v>200</v>
      </c>
      <c r="D27" s="8">
        <v>6.36</v>
      </c>
      <c r="E27" s="12">
        <v>87</v>
      </c>
      <c r="F27" s="8">
        <v>5.69</v>
      </c>
      <c r="G27" s="12">
        <v>113</v>
      </c>
      <c r="H27" s="8">
        <v>7.04</v>
      </c>
      <c r="I27" s="12">
        <v>0</v>
      </c>
    </row>
    <row r="28" spans="2:9" ht="15" customHeight="1" x14ac:dyDescent="0.2">
      <c r="B28" t="s">
        <v>68</v>
      </c>
      <c r="C28" s="12">
        <v>194</v>
      </c>
      <c r="D28" s="8">
        <v>6.16</v>
      </c>
      <c r="E28" s="12">
        <v>47</v>
      </c>
      <c r="F28" s="8">
        <v>3.07</v>
      </c>
      <c r="G28" s="12">
        <v>147</v>
      </c>
      <c r="H28" s="8">
        <v>9.16</v>
      </c>
      <c r="I28" s="12">
        <v>0</v>
      </c>
    </row>
    <row r="29" spans="2:9" ht="15" customHeight="1" x14ac:dyDescent="0.2">
      <c r="B29" t="s">
        <v>69</v>
      </c>
      <c r="C29" s="12">
        <v>160</v>
      </c>
      <c r="D29" s="8">
        <v>5.08</v>
      </c>
      <c r="E29" s="12">
        <v>71</v>
      </c>
      <c r="F29" s="8">
        <v>4.6399999999999997</v>
      </c>
      <c r="G29" s="12">
        <v>89</v>
      </c>
      <c r="H29" s="8">
        <v>5.55</v>
      </c>
      <c r="I29" s="12">
        <v>0</v>
      </c>
    </row>
    <row r="30" spans="2:9" ht="15" customHeight="1" x14ac:dyDescent="0.2">
      <c r="B30" t="s">
        <v>70</v>
      </c>
      <c r="C30" s="12">
        <v>138</v>
      </c>
      <c r="D30" s="8">
        <v>4.3899999999999997</v>
      </c>
      <c r="E30" s="12">
        <v>28</v>
      </c>
      <c r="F30" s="8">
        <v>1.83</v>
      </c>
      <c r="G30" s="12">
        <v>110</v>
      </c>
      <c r="H30" s="8">
        <v>6.85</v>
      </c>
      <c r="I30" s="12">
        <v>0</v>
      </c>
    </row>
    <row r="31" spans="2:9" ht="15" customHeight="1" x14ac:dyDescent="0.2">
      <c r="B31" t="s">
        <v>86</v>
      </c>
      <c r="C31" s="12">
        <v>123</v>
      </c>
      <c r="D31" s="8">
        <v>3.91</v>
      </c>
      <c r="E31" s="12">
        <v>103</v>
      </c>
      <c r="F31" s="8">
        <v>6.74</v>
      </c>
      <c r="G31" s="12">
        <v>20</v>
      </c>
      <c r="H31" s="8">
        <v>1.25</v>
      </c>
      <c r="I31" s="12">
        <v>0</v>
      </c>
    </row>
    <row r="32" spans="2:9" ht="15" customHeight="1" x14ac:dyDescent="0.2">
      <c r="B32" t="s">
        <v>76</v>
      </c>
      <c r="C32" s="12">
        <v>118</v>
      </c>
      <c r="D32" s="8">
        <v>3.75</v>
      </c>
      <c r="E32" s="12">
        <v>62</v>
      </c>
      <c r="F32" s="8">
        <v>4.05</v>
      </c>
      <c r="G32" s="12">
        <v>56</v>
      </c>
      <c r="H32" s="8">
        <v>3.49</v>
      </c>
      <c r="I32" s="12">
        <v>0</v>
      </c>
    </row>
    <row r="33" spans="2:9" ht="15" customHeight="1" x14ac:dyDescent="0.2">
      <c r="B33" t="s">
        <v>75</v>
      </c>
      <c r="C33" s="12">
        <v>109</v>
      </c>
      <c r="D33" s="8">
        <v>3.46</v>
      </c>
      <c r="E33" s="12">
        <v>70</v>
      </c>
      <c r="F33" s="8">
        <v>4.58</v>
      </c>
      <c r="G33" s="12">
        <v>39</v>
      </c>
      <c r="H33" s="8">
        <v>2.4300000000000002</v>
      </c>
      <c r="I33" s="12">
        <v>0</v>
      </c>
    </row>
    <row r="34" spans="2:9" ht="15" customHeight="1" x14ac:dyDescent="0.2">
      <c r="B34" t="s">
        <v>80</v>
      </c>
      <c r="C34" s="12">
        <v>90</v>
      </c>
      <c r="D34" s="8">
        <v>2.86</v>
      </c>
      <c r="E34" s="12">
        <v>51</v>
      </c>
      <c r="F34" s="8">
        <v>3.34</v>
      </c>
      <c r="G34" s="12">
        <v>39</v>
      </c>
      <c r="H34" s="8">
        <v>2.4300000000000002</v>
      </c>
      <c r="I34" s="12">
        <v>0</v>
      </c>
    </row>
    <row r="35" spans="2:9" ht="15" customHeight="1" x14ac:dyDescent="0.2">
      <c r="B35" t="s">
        <v>85</v>
      </c>
      <c r="C35" s="12">
        <v>80</v>
      </c>
      <c r="D35" s="8">
        <v>2.54</v>
      </c>
      <c r="E35" s="12">
        <v>54</v>
      </c>
      <c r="F35" s="8">
        <v>3.53</v>
      </c>
      <c r="G35" s="12">
        <v>22</v>
      </c>
      <c r="H35" s="8">
        <v>1.37</v>
      </c>
      <c r="I35" s="12">
        <v>0</v>
      </c>
    </row>
    <row r="36" spans="2:9" ht="15" customHeight="1" x14ac:dyDescent="0.2">
      <c r="B36" t="s">
        <v>81</v>
      </c>
      <c r="C36" s="12">
        <v>79</v>
      </c>
      <c r="D36" s="8">
        <v>2.5099999999999998</v>
      </c>
      <c r="E36" s="12">
        <v>29</v>
      </c>
      <c r="F36" s="8">
        <v>1.9</v>
      </c>
      <c r="G36" s="12">
        <v>48</v>
      </c>
      <c r="H36" s="8">
        <v>2.99</v>
      </c>
      <c r="I36" s="12">
        <v>0</v>
      </c>
    </row>
    <row r="37" spans="2:9" ht="15" customHeight="1" x14ac:dyDescent="0.2">
      <c r="B37" t="s">
        <v>87</v>
      </c>
      <c r="C37" s="12">
        <v>79</v>
      </c>
      <c r="D37" s="8">
        <v>2.5099999999999998</v>
      </c>
      <c r="E37" s="12">
        <v>58</v>
      </c>
      <c r="F37" s="8">
        <v>3.79</v>
      </c>
      <c r="G37" s="12">
        <v>21</v>
      </c>
      <c r="H37" s="8">
        <v>1.31</v>
      </c>
      <c r="I37" s="12">
        <v>0</v>
      </c>
    </row>
    <row r="38" spans="2:9" ht="15" customHeight="1" x14ac:dyDescent="0.2">
      <c r="B38" t="s">
        <v>73</v>
      </c>
      <c r="C38" s="12">
        <v>74</v>
      </c>
      <c r="D38" s="8">
        <v>2.35</v>
      </c>
      <c r="E38" s="12">
        <v>6</v>
      </c>
      <c r="F38" s="8">
        <v>0.39</v>
      </c>
      <c r="G38" s="12">
        <v>68</v>
      </c>
      <c r="H38" s="8">
        <v>4.24</v>
      </c>
      <c r="I38" s="12">
        <v>0</v>
      </c>
    </row>
    <row r="39" spans="2:9" ht="15" customHeight="1" x14ac:dyDescent="0.2">
      <c r="B39" t="s">
        <v>74</v>
      </c>
      <c r="C39" s="12">
        <v>69</v>
      </c>
      <c r="D39" s="8">
        <v>2.19</v>
      </c>
      <c r="E39" s="12">
        <v>29</v>
      </c>
      <c r="F39" s="8">
        <v>1.9</v>
      </c>
      <c r="G39" s="12">
        <v>40</v>
      </c>
      <c r="H39" s="8">
        <v>2.4900000000000002</v>
      </c>
      <c r="I39" s="12">
        <v>0</v>
      </c>
    </row>
    <row r="40" spans="2:9" ht="15" customHeight="1" x14ac:dyDescent="0.2">
      <c r="B40" t="s">
        <v>78</v>
      </c>
      <c r="C40" s="12">
        <v>54</v>
      </c>
      <c r="D40" s="8">
        <v>1.72</v>
      </c>
      <c r="E40" s="12">
        <v>5</v>
      </c>
      <c r="F40" s="8">
        <v>0.33</v>
      </c>
      <c r="G40" s="12">
        <v>49</v>
      </c>
      <c r="H40" s="8">
        <v>3.05</v>
      </c>
      <c r="I40" s="12">
        <v>0</v>
      </c>
    </row>
    <row r="41" spans="2:9" ht="15" customHeight="1" x14ac:dyDescent="0.2">
      <c r="B41" t="s">
        <v>72</v>
      </c>
      <c r="C41" s="12">
        <v>50</v>
      </c>
      <c r="D41" s="8">
        <v>1.59</v>
      </c>
      <c r="E41" s="12">
        <v>3</v>
      </c>
      <c r="F41" s="8">
        <v>0.2</v>
      </c>
      <c r="G41" s="12">
        <v>47</v>
      </c>
      <c r="H41" s="8">
        <v>2.93</v>
      </c>
      <c r="I41" s="12">
        <v>0</v>
      </c>
    </row>
    <row r="42" spans="2:9" ht="15" customHeight="1" x14ac:dyDescent="0.2">
      <c r="B42" t="s">
        <v>88</v>
      </c>
      <c r="C42" s="12">
        <v>47</v>
      </c>
      <c r="D42" s="8">
        <v>1.49</v>
      </c>
      <c r="E42" s="12">
        <v>10</v>
      </c>
      <c r="F42" s="8">
        <v>0.65</v>
      </c>
      <c r="G42" s="12">
        <v>37</v>
      </c>
      <c r="H42" s="8">
        <v>2.31</v>
      </c>
      <c r="I42" s="12">
        <v>0</v>
      </c>
    </row>
    <row r="43" spans="2:9" ht="15" customHeight="1" x14ac:dyDescent="0.2">
      <c r="B43" t="s">
        <v>84</v>
      </c>
      <c r="C43" s="12">
        <v>46</v>
      </c>
      <c r="D43" s="8">
        <v>1.46</v>
      </c>
      <c r="E43" s="12">
        <v>21</v>
      </c>
      <c r="F43" s="8">
        <v>1.37</v>
      </c>
      <c r="G43" s="12">
        <v>24</v>
      </c>
      <c r="H43" s="8">
        <v>1.5</v>
      </c>
      <c r="I43" s="12">
        <v>0</v>
      </c>
    </row>
    <row r="46" spans="2:9" ht="33" customHeight="1" x14ac:dyDescent="0.2">
      <c r="B46" t="s">
        <v>197</v>
      </c>
      <c r="C46" s="10" t="s">
        <v>61</v>
      </c>
      <c r="D46" s="10" t="s">
        <v>62</v>
      </c>
      <c r="E46" s="10" t="s">
        <v>63</v>
      </c>
      <c r="F46" s="10" t="s">
        <v>64</v>
      </c>
      <c r="G46" s="10" t="s">
        <v>65</v>
      </c>
      <c r="H46" s="10" t="s">
        <v>66</v>
      </c>
      <c r="I46" s="10" t="s">
        <v>67</v>
      </c>
    </row>
    <row r="47" spans="2:9" ht="15" customHeight="1" x14ac:dyDescent="0.2">
      <c r="B47" t="s">
        <v>129</v>
      </c>
      <c r="C47" s="12">
        <v>155</v>
      </c>
      <c r="D47" s="8">
        <v>4.93</v>
      </c>
      <c r="E47" s="12">
        <v>95</v>
      </c>
      <c r="F47" s="8">
        <v>6.21</v>
      </c>
      <c r="G47" s="12">
        <v>60</v>
      </c>
      <c r="H47" s="8">
        <v>3.74</v>
      </c>
      <c r="I47" s="12">
        <v>0</v>
      </c>
    </row>
    <row r="48" spans="2:9" ht="15" customHeight="1" x14ac:dyDescent="0.2">
      <c r="B48" t="s">
        <v>134</v>
      </c>
      <c r="C48" s="12">
        <v>138</v>
      </c>
      <c r="D48" s="8">
        <v>4.3899999999999997</v>
      </c>
      <c r="E48" s="12">
        <v>114</v>
      </c>
      <c r="F48" s="8">
        <v>7.46</v>
      </c>
      <c r="G48" s="12">
        <v>24</v>
      </c>
      <c r="H48" s="8">
        <v>1.5</v>
      </c>
      <c r="I48" s="12">
        <v>0</v>
      </c>
    </row>
    <row r="49" spans="2:9" ht="15" customHeight="1" x14ac:dyDescent="0.2">
      <c r="B49" t="s">
        <v>133</v>
      </c>
      <c r="C49" s="12">
        <v>117</v>
      </c>
      <c r="D49" s="8">
        <v>3.72</v>
      </c>
      <c r="E49" s="12">
        <v>108</v>
      </c>
      <c r="F49" s="8">
        <v>7.06</v>
      </c>
      <c r="G49" s="12">
        <v>9</v>
      </c>
      <c r="H49" s="8">
        <v>0.56000000000000005</v>
      </c>
      <c r="I49" s="12">
        <v>0</v>
      </c>
    </row>
    <row r="50" spans="2:9" ht="15" customHeight="1" x14ac:dyDescent="0.2">
      <c r="B50" t="s">
        <v>132</v>
      </c>
      <c r="C50" s="12">
        <v>108</v>
      </c>
      <c r="D50" s="8">
        <v>3.43</v>
      </c>
      <c r="E50" s="12">
        <v>101</v>
      </c>
      <c r="F50" s="8">
        <v>6.61</v>
      </c>
      <c r="G50" s="12">
        <v>7</v>
      </c>
      <c r="H50" s="8">
        <v>0.44</v>
      </c>
      <c r="I50" s="12">
        <v>0</v>
      </c>
    </row>
    <row r="51" spans="2:9" ht="15" customHeight="1" x14ac:dyDescent="0.2">
      <c r="B51" t="s">
        <v>124</v>
      </c>
      <c r="C51" s="12">
        <v>80</v>
      </c>
      <c r="D51" s="8">
        <v>2.54</v>
      </c>
      <c r="E51" s="12">
        <v>40</v>
      </c>
      <c r="F51" s="8">
        <v>2.62</v>
      </c>
      <c r="G51" s="12">
        <v>40</v>
      </c>
      <c r="H51" s="8">
        <v>2.4900000000000002</v>
      </c>
      <c r="I51" s="12">
        <v>0</v>
      </c>
    </row>
    <row r="52" spans="2:9" ht="15" customHeight="1" x14ac:dyDescent="0.2">
      <c r="B52" t="s">
        <v>131</v>
      </c>
      <c r="C52" s="12">
        <v>80</v>
      </c>
      <c r="D52" s="8">
        <v>2.54</v>
      </c>
      <c r="E52" s="12">
        <v>63</v>
      </c>
      <c r="F52" s="8">
        <v>4.12</v>
      </c>
      <c r="G52" s="12">
        <v>17</v>
      </c>
      <c r="H52" s="8">
        <v>1.06</v>
      </c>
      <c r="I52" s="12">
        <v>0</v>
      </c>
    </row>
    <row r="53" spans="2:9" ht="15" customHeight="1" x14ac:dyDescent="0.2">
      <c r="B53" t="s">
        <v>137</v>
      </c>
      <c r="C53" s="12">
        <v>79</v>
      </c>
      <c r="D53" s="8">
        <v>2.5099999999999998</v>
      </c>
      <c r="E53" s="12">
        <v>58</v>
      </c>
      <c r="F53" s="8">
        <v>3.79</v>
      </c>
      <c r="G53" s="12">
        <v>21</v>
      </c>
      <c r="H53" s="8">
        <v>1.31</v>
      </c>
      <c r="I53" s="12">
        <v>0</v>
      </c>
    </row>
    <row r="54" spans="2:9" ht="15" customHeight="1" x14ac:dyDescent="0.2">
      <c r="B54" t="s">
        <v>136</v>
      </c>
      <c r="C54" s="12">
        <v>70</v>
      </c>
      <c r="D54" s="8">
        <v>2.2200000000000002</v>
      </c>
      <c r="E54" s="12">
        <v>59</v>
      </c>
      <c r="F54" s="8">
        <v>3.86</v>
      </c>
      <c r="G54" s="12">
        <v>11</v>
      </c>
      <c r="H54" s="8">
        <v>0.69</v>
      </c>
      <c r="I54" s="12">
        <v>0</v>
      </c>
    </row>
    <row r="55" spans="2:9" ht="15" customHeight="1" x14ac:dyDescent="0.2">
      <c r="B55" t="s">
        <v>127</v>
      </c>
      <c r="C55" s="12">
        <v>69</v>
      </c>
      <c r="D55" s="8">
        <v>2.19</v>
      </c>
      <c r="E55" s="12">
        <v>43</v>
      </c>
      <c r="F55" s="8">
        <v>2.81</v>
      </c>
      <c r="G55" s="12">
        <v>26</v>
      </c>
      <c r="H55" s="8">
        <v>1.62</v>
      </c>
      <c r="I55" s="12">
        <v>0</v>
      </c>
    </row>
    <row r="56" spans="2:9" ht="15" customHeight="1" x14ac:dyDescent="0.2">
      <c r="B56" t="s">
        <v>121</v>
      </c>
      <c r="C56" s="12">
        <v>61</v>
      </c>
      <c r="D56" s="8">
        <v>1.94</v>
      </c>
      <c r="E56" s="12">
        <v>19</v>
      </c>
      <c r="F56" s="8">
        <v>1.24</v>
      </c>
      <c r="G56" s="12">
        <v>42</v>
      </c>
      <c r="H56" s="8">
        <v>2.62</v>
      </c>
      <c r="I56" s="12">
        <v>0</v>
      </c>
    </row>
    <row r="57" spans="2:9" ht="15" customHeight="1" x14ac:dyDescent="0.2">
      <c r="B57" t="s">
        <v>118</v>
      </c>
      <c r="C57" s="12">
        <v>59</v>
      </c>
      <c r="D57" s="8">
        <v>1.87</v>
      </c>
      <c r="E57" s="12">
        <v>11</v>
      </c>
      <c r="F57" s="8">
        <v>0.72</v>
      </c>
      <c r="G57" s="12">
        <v>48</v>
      </c>
      <c r="H57" s="8">
        <v>2.99</v>
      </c>
      <c r="I57" s="12">
        <v>0</v>
      </c>
    </row>
    <row r="58" spans="2:9" ht="15" customHeight="1" x14ac:dyDescent="0.2">
      <c r="B58" t="s">
        <v>119</v>
      </c>
      <c r="C58" s="12">
        <v>54</v>
      </c>
      <c r="D58" s="8">
        <v>1.72</v>
      </c>
      <c r="E58" s="12">
        <v>10</v>
      </c>
      <c r="F58" s="8">
        <v>0.65</v>
      </c>
      <c r="G58" s="12">
        <v>44</v>
      </c>
      <c r="H58" s="8">
        <v>2.74</v>
      </c>
      <c r="I58" s="12">
        <v>0</v>
      </c>
    </row>
    <row r="59" spans="2:9" ht="15" customHeight="1" x14ac:dyDescent="0.2">
      <c r="B59" t="s">
        <v>122</v>
      </c>
      <c r="C59" s="12">
        <v>52</v>
      </c>
      <c r="D59" s="8">
        <v>1.65</v>
      </c>
      <c r="E59" s="12">
        <v>8</v>
      </c>
      <c r="F59" s="8">
        <v>0.52</v>
      </c>
      <c r="G59" s="12">
        <v>44</v>
      </c>
      <c r="H59" s="8">
        <v>2.74</v>
      </c>
      <c r="I59" s="12">
        <v>0</v>
      </c>
    </row>
    <row r="60" spans="2:9" ht="15" customHeight="1" x14ac:dyDescent="0.2">
      <c r="B60" t="s">
        <v>135</v>
      </c>
      <c r="C60" s="12">
        <v>50</v>
      </c>
      <c r="D60" s="8">
        <v>1.59</v>
      </c>
      <c r="E60" s="12">
        <v>35</v>
      </c>
      <c r="F60" s="8">
        <v>2.29</v>
      </c>
      <c r="G60" s="12">
        <v>15</v>
      </c>
      <c r="H60" s="8">
        <v>0.93</v>
      </c>
      <c r="I60" s="12">
        <v>0</v>
      </c>
    </row>
    <row r="61" spans="2:9" ht="15" customHeight="1" x14ac:dyDescent="0.2">
      <c r="B61" t="s">
        <v>128</v>
      </c>
      <c r="C61" s="12">
        <v>47</v>
      </c>
      <c r="D61" s="8">
        <v>1.49</v>
      </c>
      <c r="E61" s="12">
        <v>6</v>
      </c>
      <c r="F61" s="8">
        <v>0.39</v>
      </c>
      <c r="G61" s="12">
        <v>41</v>
      </c>
      <c r="H61" s="8">
        <v>2.5499999999999998</v>
      </c>
      <c r="I61" s="12">
        <v>0</v>
      </c>
    </row>
    <row r="62" spans="2:9" ht="15" customHeight="1" x14ac:dyDescent="0.2">
      <c r="B62" t="s">
        <v>142</v>
      </c>
      <c r="C62" s="12">
        <v>46</v>
      </c>
      <c r="D62" s="8">
        <v>1.46</v>
      </c>
      <c r="E62" s="12">
        <v>29</v>
      </c>
      <c r="F62" s="8">
        <v>1.9</v>
      </c>
      <c r="G62" s="12">
        <v>17</v>
      </c>
      <c r="H62" s="8">
        <v>1.06</v>
      </c>
      <c r="I62" s="12">
        <v>0</v>
      </c>
    </row>
    <row r="63" spans="2:9" ht="15" customHeight="1" x14ac:dyDescent="0.2">
      <c r="B63" t="s">
        <v>138</v>
      </c>
      <c r="C63" s="12">
        <v>46</v>
      </c>
      <c r="D63" s="8">
        <v>1.46</v>
      </c>
      <c r="E63" s="12">
        <v>40</v>
      </c>
      <c r="F63" s="8">
        <v>2.62</v>
      </c>
      <c r="G63" s="12">
        <v>6</v>
      </c>
      <c r="H63" s="8">
        <v>0.37</v>
      </c>
      <c r="I63" s="12">
        <v>0</v>
      </c>
    </row>
    <row r="64" spans="2:9" ht="15" customHeight="1" x14ac:dyDescent="0.2">
      <c r="B64" t="s">
        <v>143</v>
      </c>
      <c r="C64" s="12">
        <v>45</v>
      </c>
      <c r="D64" s="8">
        <v>1.43</v>
      </c>
      <c r="E64" s="12">
        <v>41</v>
      </c>
      <c r="F64" s="8">
        <v>2.68</v>
      </c>
      <c r="G64" s="12">
        <v>4</v>
      </c>
      <c r="H64" s="8">
        <v>0.25</v>
      </c>
      <c r="I64" s="12">
        <v>0</v>
      </c>
    </row>
    <row r="65" spans="2:9" ht="15" customHeight="1" x14ac:dyDescent="0.2">
      <c r="B65" t="s">
        <v>123</v>
      </c>
      <c r="C65" s="12">
        <v>44</v>
      </c>
      <c r="D65" s="8">
        <v>1.4</v>
      </c>
      <c r="E65" s="12">
        <v>22</v>
      </c>
      <c r="F65" s="8">
        <v>1.44</v>
      </c>
      <c r="G65" s="12">
        <v>22</v>
      </c>
      <c r="H65" s="8">
        <v>1.37</v>
      </c>
      <c r="I65" s="12">
        <v>0</v>
      </c>
    </row>
    <row r="66" spans="2:9" ht="15" customHeight="1" x14ac:dyDescent="0.2">
      <c r="B66" t="s">
        <v>130</v>
      </c>
      <c r="C66" s="12">
        <v>42</v>
      </c>
      <c r="D66" s="8">
        <v>1.33</v>
      </c>
      <c r="E66" s="12">
        <v>13</v>
      </c>
      <c r="F66" s="8">
        <v>0.85</v>
      </c>
      <c r="G66" s="12">
        <v>27</v>
      </c>
      <c r="H66" s="8">
        <v>1.68</v>
      </c>
      <c r="I66" s="12">
        <v>0</v>
      </c>
    </row>
    <row r="68" spans="2:9" ht="15" customHeight="1" x14ac:dyDescent="0.2">
      <c r="B68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585FC-26B7-48B7-99E3-BCE33A34955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194</v>
      </c>
      <c r="C4" s="10" t="s">
        <v>61</v>
      </c>
      <c r="D4" s="10" t="s">
        <v>62</v>
      </c>
      <c r="E4" s="10" t="s">
        <v>63</v>
      </c>
      <c r="F4" s="10" t="s">
        <v>64</v>
      </c>
      <c r="G4" s="10" t="s">
        <v>65</v>
      </c>
      <c r="H4" s="10" t="s">
        <v>66</v>
      </c>
      <c r="I4" s="10" t="s">
        <v>67</v>
      </c>
    </row>
    <row r="5" spans="2:9" ht="15" customHeight="1" x14ac:dyDescent="0.2">
      <c r="B5" t="s">
        <v>45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46</v>
      </c>
      <c r="C6" s="12">
        <v>661</v>
      </c>
      <c r="D6" s="8">
        <v>18.53</v>
      </c>
      <c r="E6" s="12">
        <v>270</v>
      </c>
      <c r="F6" s="8">
        <v>13.82</v>
      </c>
      <c r="G6" s="12">
        <v>391</v>
      </c>
      <c r="H6" s="8">
        <v>24.64</v>
      </c>
      <c r="I6" s="12">
        <v>0</v>
      </c>
    </row>
    <row r="7" spans="2:9" ht="15" customHeight="1" x14ac:dyDescent="0.2">
      <c r="B7" t="s">
        <v>47</v>
      </c>
      <c r="C7" s="12">
        <v>393</v>
      </c>
      <c r="D7" s="8">
        <v>11.02</v>
      </c>
      <c r="E7" s="12">
        <v>139</v>
      </c>
      <c r="F7" s="8">
        <v>7.11</v>
      </c>
      <c r="G7" s="12">
        <v>254</v>
      </c>
      <c r="H7" s="8">
        <v>16.010000000000002</v>
      </c>
      <c r="I7" s="12">
        <v>0</v>
      </c>
    </row>
    <row r="8" spans="2:9" ht="15" customHeight="1" x14ac:dyDescent="0.2">
      <c r="B8" t="s">
        <v>48</v>
      </c>
      <c r="C8" s="12">
        <v>4</v>
      </c>
      <c r="D8" s="8">
        <v>0.11</v>
      </c>
      <c r="E8" s="12">
        <v>0</v>
      </c>
      <c r="F8" s="8">
        <v>0</v>
      </c>
      <c r="G8" s="12">
        <v>4</v>
      </c>
      <c r="H8" s="8">
        <v>0.25</v>
      </c>
      <c r="I8" s="12">
        <v>0</v>
      </c>
    </row>
    <row r="9" spans="2:9" ht="15" customHeight="1" x14ac:dyDescent="0.2">
      <c r="B9" t="s">
        <v>49</v>
      </c>
      <c r="C9" s="12">
        <v>15</v>
      </c>
      <c r="D9" s="8">
        <v>0.42</v>
      </c>
      <c r="E9" s="12">
        <v>2</v>
      </c>
      <c r="F9" s="8">
        <v>0.1</v>
      </c>
      <c r="G9" s="12">
        <v>13</v>
      </c>
      <c r="H9" s="8">
        <v>0.82</v>
      </c>
      <c r="I9" s="12">
        <v>0</v>
      </c>
    </row>
    <row r="10" spans="2:9" ht="15" customHeight="1" x14ac:dyDescent="0.2">
      <c r="B10" t="s">
        <v>50</v>
      </c>
      <c r="C10" s="12">
        <v>56</v>
      </c>
      <c r="D10" s="8">
        <v>1.57</v>
      </c>
      <c r="E10" s="12">
        <v>4</v>
      </c>
      <c r="F10" s="8">
        <v>0.2</v>
      </c>
      <c r="G10" s="12">
        <v>52</v>
      </c>
      <c r="H10" s="8">
        <v>3.28</v>
      </c>
      <c r="I10" s="12">
        <v>0</v>
      </c>
    </row>
    <row r="11" spans="2:9" ht="15" customHeight="1" x14ac:dyDescent="0.2">
      <c r="B11" t="s">
        <v>51</v>
      </c>
      <c r="C11" s="12">
        <v>768</v>
      </c>
      <c r="D11" s="8">
        <v>21.53</v>
      </c>
      <c r="E11" s="12">
        <v>371</v>
      </c>
      <c r="F11" s="8">
        <v>18.989999999999998</v>
      </c>
      <c r="G11" s="12">
        <v>394</v>
      </c>
      <c r="H11" s="8">
        <v>24.83</v>
      </c>
      <c r="I11" s="12">
        <v>3</v>
      </c>
    </row>
    <row r="12" spans="2:9" ht="15" customHeight="1" x14ac:dyDescent="0.2">
      <c r="B12" t="s">
        <v>52</v>
      </c>
      <c r="C12" s="12">
        <v>22</v>
      </c>
      <c r="D12" s="8">
        <v>0.62</v>
      </c>
      <c r="E12" s="12">
        <v>5</v>
      </c>
      <c r="F12" s="8">
        <v>0.26</v>
      </c>
      <c r="G12" s="12">
        <v>17</v>
      </c>
      <c r="H12" s="8">
        <v>1.07</v>
      </c>
      <c r="I12" s="12">
        <v>0</v>
      </c>
    </row>
    <row r="13" spans="2:9" ht="15" customHeight="1" x14ac:dyDescent="0.2">
      <c r="B13" t="s">
        <v>53</v>
      </c>
      <c r="C13" s="12">
        <v>307</v>
      </c>
      <c r="D13" s="8">
        <v>8.61</v>
      </c>
      <c r="E13" s="12">
        <v>167</v>
      </c>
      <c r="F13" s="8">
        <v>8.5500000000000007</v>
      </c>
      <c r="G13" s="12">
        <v>140</v>
      </c>
      <c r="H13" s="8">
        <v>8.82</v>
      </c>
      <c r="I13" s="12">
        <v>0</v>
      </c>
    </row>
    <row r="14" spans="2:9" ht="15" customHeight="1" x14ac:dyDescent="0.2">
      <c r="B14" t="s">
        <v>54</v>
      </c>
      <c r="C14" s="12">
        <v>130</v>
      </c>
      <c r="D14" s="8">
        <v>3.64</v>
      </c>
      <c r="E14" s="12">
        <v>75</v>
      </c>
      <c r="F14" s="8">
        <v>3.84</v>
      </c>
      <c r="G14" s="12">
        <v>54</v>
      </c>
      <c r="H14" s="8">
        <v>3.4</v>
      </c>
      <c r="I14" s="12">
        <v>0</v>
      </c>
    </row>
    <row r="15" spans="2:9" ht="15" customHeight="1" x14ac:dyDescent="0.2">
      <c r="B15" t="s">
        <v>55</v>
      </c>
      <c r="C15" s="12">
        <v>382</v>
      </c>
      <c r="D15" s="8">
        <v>10.71</v>
      </c>
      <c r="E15" s="12">
        <v>302</v>
      </c>
      <c r="F15" s="8">
        <v>15.46</v>
      </c>
      <c r="G15" s="12">
        <v>76</v>
      </c>
      <c r="H15" s="8">
        <v>4.79</v>
      </c>
      <c r="I15" s="12">
        <v>0</v>
      </c>
    </row>
    <row r="16" spans="2:9" ht="15" customHeight="1" x14ac:dyDescent="0.2">
      <c r="B16" t="s">
        <v>56</v>
      </c>
      <c r="C16" s="12">
        <v>470</v>
      </c>
      <c r="D16" s="8">
        <v>13.18</v>
      </c>
      <c r="E16" s="12">
        <v>392</v>
      </c>
      <c r="F16" s="8">
        <v>20.059999999999999</v>
      </c>
      <c r="G16" s="12">
        <v>77</v>
      </c>
      <c r="H16" s="8">
        <v>4.8499999999999996</v>
      </c>
      <c r="I16" s="12">
        <v>1</v>
      </c>
    </row>
    <row r="17" spans="2:9" ht="15" customHeight="1" x14ac:dyDescent="0.2">
      <c r="B17" t="s">
        <v>57</v>
      </c>
      <c r="C17" s="12">
        <v>108</v>
      </c>
      <c r="D17" s="8">
        <v>3.03</v>
      </c>
      <c r="E17" s="12">
        <v>72</v>
      </c>
      <c r="F17" s="8">
        <v>3.68</v>
      </c>
      <c r="G17" s="12">
        <v>22</v>
      </c>
      <c r="H17" s="8">
        <v>1.39</v>
      </c>
      <c r="I17" s="12">
        <v>0</v>
      </c>
    </row>
    <row r="18" spans="2:9" ht="15" customHeight="1" x14ac:dyDescent="0.2">
      <c r="B18" t="s">
        <v>58</v>
      </c>
      <c r="C18" s="12">
        <v>134</v>
      </c>
      <c r="D18" s="8">
        <v>3.76</v>
      </c>
      <c r="E18" s="12">
        <v>99</v>
      </c>
      <c r="F18" s="8">
        <v>5.07</v>
      </c>
      <c r="G18" s="12">
        <v>34</v>
      </c>
      <c r="H18" s="8">
        <v>2.14</v>
      </c>
      <c r="I18" s="12">
        <v>0</v>
      </c>
    </row>
    <row r="19" spans="2:9" ht="15" customHeight="1" x14ac:dyDescent="0.2">
      <c r="B19" t="s">
        <v>59</v>
      </c>
      <c r="C19" s="12">
        <v>117</v>
      </c>
      <c r="D19" s="8">
        <v>3.28</v>
      </c>
      <c r="E19" s="12">
        <v>56</v>
      </c>
      <c r="F19" s="8">
        <v>2.87</v>
      </c>
      <c r="G19" s="12">
        <v>59</v>
      </c>
      <c r="H19" s="8">
        <v>3.72</v>
      </c>
      <c r="I19" s="12">
        <v>0</v>
      </c>
    </row>
    <row r="20" spans="2:9" ht="15" customHeight="1" x14ac:dyDescent="0.2">
      <c r="B20" s="9" t="s">
        <v>195</v>
      </c>
      <c r="C20" s="12">
        <f>SUM(LTBL_08204[総数／事業所数])</f>
        <v>3567</v>
      </c>
      <c r="E20" s="12">
        <f>SUBTOTAL(109,LTBL_08204[個人／事業所数])</f>
        <v>1954</v>
      </c>
      <c r="G20" s="12">
        <f>SUBTOTAL(109,LTBL_08204[法人／事業所数])</f>
        <v>1587</v>
      </c>
      <c r="I20" s="12">
        <f>SUBTOTAL(109,LTBL_08204[法人以外の団体／事業所数])</f>
        <v>4</v>
      </c>
    </row>
    <row r="21" spans="2:9" ht="15" customHeight="1" x14ac:dyDescent="0.2">
      <c r="E21" s="11">
        <f>LTBL_08204[[#Totals],[個人／事業所数]]/LTBL_08204[[#Totals],[総数／事業所数]]</f>
        <v>0.54779927109615922</v>
      </c>
      <c r="G21" s="11">
        <f>LTBL_08204[[#Totals],[法人／事業所数]]/LTBL_08204[[#Totals],[総数／事業所数]]</f>
        <v>0.44491169049621532</v>
      </c>
      <c r="I21" s="11">
        <f>LTBL_08204[[#Totals],[法人以外の団体／事業所数]]/LTBL_08204[[#Totals],[総数／事業所数]]</f>
        <v>1.1213905242500701E-3</v>
      </c>
    </row>
    <row r="23" spans="2:9" ht="33" customHeight="1" x14ac:dyDescent="0.2">
      <c r="B23" t="s">
        <v>196</v>
      </c>
      <c r="C23" s="10" t="s">
        <v>61</v>
      </c>
      <c r="D23" s="10" t="s">
        <v>62</v>
      </c>
      <c r="E23" s="10" t="s">
        <v>63</v>
      </c>
      <c r="F23" s="10" t="s">
        <v>64</v>
      </c>
      <c r="G23" s="10" t="s">
        <v>65</v>
      </c>
      <c r="H23" s="10" t="s">
        <v>66</v>
      </c>
      <c r="I23" s="10" t="s">
        <v>67</v>
      </c>
    </row>
    <row r="24" spans="2:9" ht="15" customHeight="1" x14ac:dyDescent="0.2">
      <c r="B24" t="s">
        <v>83</v>
      </c>
      <c r="C24" s="12">
        <v>418</v>
      </c>
      <c r="D24" s="8">
        <v>11.72</v>
      </c>
      <c r="E24" s="12">
        <v>364</v>
      </c>
      <c r="F24" s="8">
        <v>18.63</v>
      </c>
      <c r="G24" s="12">
        <v>54</v>
      </c>
      <c r="H24" s="8">
        <v>3.4</v>
      </c>
      <c r="I24" s="12">
        <v>0</v>
      </c>
    </row>
    <row r="25" spans="2:9" ht="15" customHeight="1" x14ac:dyDescent="0.2">
      <c r="B25" t="s">
        <v>82</v>
      </c>
      <c r="C25" s="12">
        <v>354</v>
      </c>
      <c r="D25" s="8">
        <v>9.92</v>
      </c>
      <c r="E25" s="12">
        <v>298</v>
      </c>
      <c r="F25" s="8">
        <v>15.25</v>
      </c>
      <c r="G25" s="12">
        <v>56</v>
      </c>
      <c r="H25" s="8">
        <v>3.53</v>
      </c>
      <c r="I25" s="12">
        <v>0</v>
      </c>
    </row>
    <row r="26" spans="2:9" ht="15" customHeight="1" x14ac:dyDescent="0.2">
      <c r="B26" t="s">
        <v>79</v>
      </c>
      <c r="C26" s="12">
        <v>260</v>
      </c>
      <c r="D26" s="8">
        <v>7.29</v>
      </c>
      <c r="E26" s="12">
        <v>163</v>
      </c>
      <c r="F26" s="8">
        <v>8.34</v>
      </c>
      <c r="G26" s="12">
        <v>97</v>
      </c>
      <c r="H26" s="8">
        <v>6.11</v>
      </c>
      <c r="I26" s="12">
        <v>0</v>
      </c>
    </row>
    <row r="27" spans="2:9" ht="15" customHeight="1" x14ac:dyDescent="0.2">
      <c r="B27" t="s">
        <v>68</v>
      </c>
      <c r="C27" s="12">
        <v>256</v>
      </c>
      <c r="D27" s="8">
        <v>7.18</v>
      </c>
      <c r="E27" s="12">
        <v>96</v>
      </c>
      <c r="F27" s="8">
        <v>4.91</v>
      </c>
      <c r="G27" s="12">
        <v>160</v>
      </c>
      <c r="H27" s="8">
        <v>10.08</v>
      </c>
      <c r="I27" s="12">
        <v>0</v>
      </c>
    </row>
    <row r="28" spans="2:9" ht="15" customHeight="1" x14ac:dyDescent="0.2">
      <c r="B28" t="s">
        <v>77</v>
      </c>
      <c r="C28" s="12">
        <v>244</v>
      </c>
      <c r="D28" s="8">
        <v>6.84</v>
      </c>
      <c r="E28" s="12">
        <v>133</v>
      </c>
      <c r="F28" s="8">
        <v>6.81</v>
      </c>
      <c r="G28" s="12">
        <v>111</v>
      </c>
      <c r="H28" s="8">
        <v>6.99</v>
      </c>
      <c r="I28" s="12">
        <v>0</v>
      </c>
    </row>
    <row r="29" spans="2:9" ht="15" customHeight="1" x14ac:dyDescent="0.2">
      <c r="B29" t="s">
        <v>69</v>
      </c>
      <c r="C29" s="12">
        <v>243</v>
      </c>
      <c r="D29" s="8">
        <v>6.81</v>
      </c>
      <c r="E29" s="12">
        <v>122</v>
      </c>
      <c r="F29" s="8">
        <v>6.24</v>
      </c>
      <c r="G29" s="12">
        <v>121</v>
      </c>
      <c r="H29" s="8">
        <v>7.62</v>
      </c>
      <c r="I29" s="12">
        <v>0</v>
      </c>
    </row>
    <row r="30" spans="2:9" ht="15" customHeight="1" x14ac:dyDescent="0.2">
      <c r="B30" t="s">
        <v>70</v>
      </c>
      <c r="C30" s="12">
        <v>162</v>
      </c>
      <c r="D30" s="8">
        <v>4.54</v>
      </c>
      <c r="E30" s="12">
        <v>52</v>
      </c>
      <c r="F30" s="8">
        <v>2.66</v>
      </c>
      <c r="G30" s="12">
        <v>110</v>
      </c>
      <c r="H30" s="8">
        <v>6.93</v>
      </c>
      <c r="I30" s="12">
        <v>0</v>
      </c>
    </row>
    <row r="31" spans="2:9" ht="15" customHeight="1" x14ac:dyDescent="0.2">
      <c r="B31" t="s">
        <v>75</v>
      </c>
      <c r="C31" s="12">
        <v>149</v>
      </c>
      <c r="D31" s="8">
        <v>4.18</v>
      </c>
      <c r="E31" s="12">
        <v>106</v>
      </c>
      <c r="F31" s="8">
        <v>5.42</v>
      </c>
      <c r="G31" s="12">
        <v>43</v>
      </c>
      <c r="H31" s="8">
        <v>2.71</v>
      </c>
      <c r="I31" s="12">
        <v>0</v>
      </c>
    </row>
    <row r="32" spans="2:9" ht="15" customHeight="1" x14ac:dyDescent="0.2">
      <c r="B32" t="s">
        <v>76</v>
      </c>
      <c r="C32" s="12">
        <v>119</v>
      </c>
      <c r="D32" s="8">
        <v>3.34</v>
      </c>
      <c r="E32" s="12">
        <v>63</v>
      </c>
      <c r="F32" s="8">
        <v>3.22</v>
      </c>
      <c r="G32" s="12">
        <v>56</v>
      </c>
      <c r="H32" s="8">
        <v>3.53</v>
      </c>
      <c r="I32" s="12">
        <v>0</v>
      </c>
    </row>
    <row r="33" spans="2:9" ht="15" customHeight="1" x14ac:dyDescent="0.2">
      <c r="B33" t="s">
        <v>85</v>
      </c>
      <c r="C33" s="12">
        <v>108</v>
      </c>
      <c r="D33" s="8">
        <v>3.03</v>
      </c>
      <c r="E33" s="12">
        <v>72</v>
      </c>
      <c r="F33" s="8">
        <v>3.68</v>
      </c>
      <c r="G33" s="12">
        <v>22</v>
      </c>
      <c r="H33" s="8">
        <v>1.39</v>
      </c>
      <c r="I33" s="12">
        <v>0</v>
      </c>
    </row>
    <row r="34" spans="2:9" ht="15" customHeight="1" x14ac:dyDescent="0.2">
      <c r="B34" t="s">
        <v>86</v>
      </c>
      <c r="C34" s="12">
        <v>107</v>
      </c>
      <c r="D34" s="8">
        <v>3</v>
      </c>
      <c r="E34" s="12">
        <v>99</v>
      </c>
      <c r="F34" s="8">
        <v>5.07</v>
      </c>
      <c r="G34" s="12">
        <v>8</v>
      </c>
      <c r="H34" s="8">
        <v>0.5</v>
      </c>
      <c r="I34" s="12">
        <v>0</v>
      </c>
    </row>
    <row r="35" spans="2:9" ht="15" customHeight="1" x14ac:dyDescent="0.2">
      <c r="B35" t="s">
        <v>71</v>
      </c>
      <c r="C35" s="12">
        <v>76</v>
      </c>
      <c r="D35" s="8">
        <v>2.13</v>
      </c>
      <c r="E35" s="12">
        <v>22</v>
      </c>
      <c r="F35" s="8">
        <v>1.1299999999999999</v>
      </c>
      <c r="G35" s="12">
        <v>54</v>
      </c>
      <c r="H35" s="8">
        <v>3.4</v>
      </c>
      <c r="I35" s="12">
        <v>0</v>
      </c>
    </row>
    <row r="36" spans="2:9" ht="15" customHeight="1" x14ac:dyDescent="0.2">
      <c r="B36" t="s">
        <v>74</v>
      </c>
      <c r="C36" s="12">
        <v>69</v>
      </c>
      <c r="D36" s="8">
        <v>1.93</v>
      </c>
      <c r="E36" s="12">
        <v>34</v>
      </c>
      <c r="F36" s="8">
        <v>1.74</v>
      </c>
      <c r="G36" s="12">
        <v>35</v>
      </c>
      <c r="H36" s="8">
        <v>2.21</v>
      </c>
      <c r="I36" s="12">
        <v>0</v>
      </c>
    </row>
    <row r="37" spans="2:9" ht="15" customHeight="1" x14ac:dyDescent="0.2">
      <c r="B37" t="s">
        <v>80</v>
      </c>
      <c r="C37" s="12">
        <v>63</v>
      </c>
      <c r="D37" s="8">
        <v>1.77</v>
      </c>
      <c r="E37" s="12">
        <v>43</v>
      </c>
      <c r="F37" s="8">
        <v>2.2000000000000002</v>
      </c>
      <c r="G37" s="12">
        <v>20</v>
      </c>
      <c r="H37" s="8">
        <v>1.26</v>
      </c>
      <c r="I37" s="12">
        <v>0</v>
      </c>
    </row>
    <row r="38" spans="2:9" ht="15" customHeight="1" x14ac:dyDescent="0.2">
      <c r="B38" t="s">
        <v>81</v>
      </c>
      <c r="C38" s="12">
        <v>60</v>
      </c>
      <c r="D38" s="8">
        <v>1.68</v>
      </c>
      <c r="E38" s="12">
        <v>31</v>
      </c>
      <c r="F38" s="8">
        <v>1.59</v>
      </c>
      <c r="G38" s="12">
        <v>28</v>
      </c>
      <c r="H38" s="8">
        <v>1.76</v>
      </c>
      <c r="I38" s="12">
        <v>0</v>
      </c>
    </row>
    <row r="39" spans="2:9" ht="15" customHeight="1" x14ac:dyDescent="0.2">
      <c r="B39" t="s">
        <v>92</v>
      </c>
      <c r="C39" s="12">
        <v>56</v>
      </c>
      <c r="D39" s="8">
        <v>1.57</v>
      </c>
      <c r="E39" s="12">
        <v>21</v>
      </c>
      <c r="F39" s="8">
        <v>1.07</v>
      </c>
      <c r="G39" s="12">
        <v>35</v>
      </c>
      <c r="H39" s="8">
        <v>2.21</v>
      </c>
      <c r="I39" s="12">
        <v>0</v>
      </c>
    </row>
    <row r="40" spans="2:9" ht="15" customHeight="1" x14ac:dyDescent="0.2">
      <c r="B40" t="s">
        <v>87</v>
      </c>
      <c r="C40" s="12">
        <v>53</v>
      </c>
      <c r="D40" s="8">
        <v>1.49</v>
      </c>
      <c r="E40" s="12">
        <v>40</v>
      </c>
      <c r="F40" s="8">
        <v>2.0499999999999998</v>
      </c>
      <c r="G40" s="12">
        <v>13</v>
      </c>
      <c r="H40" s="8">
        <v>0.82</v>
      </c>
      <c r="I40" s="12">
        <v>0</v>
      </c>
    </row>
    <row r="41" spans="2:9" ht="15" customHeight="1" x14ac:dyDescent="0.2">
      <c r="B41" t="s">
        <v>72</v>
      </c>
      <c r="C41" s="12">
        <v>46</v>
      </c>
      <c r="D41" s="8">
        <v>1.29</v>
      </c>
      <c r="E41" s="12">
        <v>6</v>
      </c>
      <c r="F41" s="8">
        <v>0.31</v>
      </c>
      <c r="G41" s="12">
        <v>40</v>
      </c>
      <c r="H41" s="8">
        <v>2.52</v>
      </c>
      <c r="I41" s="12">
        <v>0</v>
      </c>
    </row>
    <row r="42" spans="2:9" ht="15" customHeight="1" x14ac:dyDescent="0.2">
      <c r="B42" t="s">
        <v>91</v>
      </c>
      <c r="C42" s="12">
        <v>37</v>
      </c>
      <c r="D42" s="8">
        <v>1.04</v>
      </c>
      <c r="E42" s="12">
        <v>12</v>
      </c>
      <c r="F42" s="8">
        <v>0.61</v>
      </c>
      <c r="G42" s="12">
        <v>25</v>
      </c>
      <c r="H42" s="8">
        <v>1.58</v>
      </c>
      <c r="I42" s="12">
        <v>0</v>
      </c>
    </row>
    <row r="43" spans="2:9" ht="15" customHeight="1" x14ac:dyDescent="0.2">
      <c r="B43" t="s">
        <v>93</v>
      </c>
      <c r="C43" s="12">
        <v>37</v>
      </c>
      <c r="D43" s="8">
        <v>1.04</v>
      </c>
      <c r="E43" s="12">
        <v>6</v>
      </c>
      <c r="F43" s="8">
        <v>0.31</v>
      </c>
      <c r="G43" s="12">
        <v>30</v>
      </c>
      <c r="H43" s="8">
        <v>1.89</v>
      </c>
      <c r="I43" s="12">
        <v>1</v>
      </c>
    </row>
    <row r="44" spans="2:9" ht="15" customHeight="1" x14ac:dyDescent="0.2">
      <c r="B44" t="s">
        <v>73</v>
      </c>
      <c r="C44" s="12">
        <v>37</v>
      </c>
      <c r="D44" s="8">
        <v>1.04</v>
      </c>
      <c r="E44" s="12">
        <v>8</v>
      </c>
      <c r="F44" s="8">
        <v>0.41</v>
      </c>
      <c r="G44" s="12">
        <v>29</v>
      </c>
      <c r="H44" s="8">
        <v>1.83</v>
      </c>
      <c r="I44" s="12">
        <v>0</v>
      </c>
    </row>
    <row r="45" spans="2:9" ht="15" customHeight="1" x14ac:dyDescent="0.2">
      <c r="B45" t="s">
        <v>84</v>
      </c>
      <c r="C45" s="12">
        <v>37</v>
      </c>
      <c r="D45" s="8">
        <v>1.04</v>
      </c>
      <c r="E45" s="12">
        <v>21</v>
      </c>
      <c r="F45" s="8">
        <v>1.07</v>
      </c>
      <c r="G45" s="12">
        <v>16</v>
      </c>
      <c r="H45" s="8">
        <v>1.01</v>
      </c>
      <c r="I45" s="12">
        <v>0</v>
      </c>
    </row>
    <row r="48" spans="2:9" ht="33" customHeight="1" x14ac:dyDescent="0.2">
      <c r="B48" t="s">
        <v>197</v>
      </c>
      <c r="C48" s="10" t="s">
        <v>61</v>
      </c>
      <c r="D48" s="10" t="s">
        <v>62</v>
      </c>
      <c r="E48" s="10" t="s">
        <v>63</v>
      </c>
      <c r="F48" s="10" t="s">
        <v>64</v>
      </c>
      <c r="G48" s="10" t="s">
        <v>65</v>
      </c>
      <c r="H48" s="10" t="s">
        <v>66</v>
      </c>
      <c r="I48" s="10" t="s">
        <v>67</v>
      </c>
    </row>
    <row r="49" spans="2:9" ht="15" customHeight="1" x14ac:dyDescent="0.2">
      <c r="B49" t="s">
        <v>134</v>
      </c>
      <c r="C49" s="12">
        <v>219</v>
      </c>
      <c r="D49" s="8">
        <v>6.14</v>
      </c>
      <c r="E49" s="12">
        <v>195</v>
      </c>
      <c r="F49" s="8">
        <v>9.98</v>
      </c>
      <c r="G49" s="12">
        <v>24</v>
      </c>
      <c r="H49" s="8">
        <v>1.51</v>
      </c>
      <c r="I49" s="12">
        <v>0</v>
      </c>
    </row>
    <row r="50" spans="2:9" ht="15" customHeight="1" x14ac:dyDescent="0.2">
      <c r="B50" t="s">
        <v>129</v>
      </c>
      <c r="C50" s="12">
        <v>162</v>
      </c>
      <c r="D50" s="8">
        <v>4.54</v>
      </c>
      <c r="E50" s="12">
        <v>125</v>
      </c>
      <c r="F50" s="8">
        <v>6.4</v>
      </c>
      <c r="G50" s="12">
        <v>37</v>
      </c>
      <c r="H50" s="8">
        <v>2.33</v>
      </c>
      <c r="I50" s="12">
        <v>0</v>
      </c>
    </row>
    <row r="51" spans="2:9" ht="15" customHeight="1" x14ac:dyDescent="0.2">
      <c r="B51" t="s">
        <v>133</v>
      </c>
      <c r="C51" s="12">
        <v>136</v>
      </c>
      <c r="D51" s="8">
        <v>3.81</v>
      </c>
      <c r="E51" s="12">
        <v>133</v>
      </c>
      <c r="F51" s="8">
        <v>6.81</v>
      </c>
      <c r="G51" s="12">
        <v>3</v>
      </c>
      <c r="H51" s="8">
        <v>0.19</v>
      </c>
      <c r="I51" s="12">
        <v>0</v>
      </c>
    </row>
    <row r="52" spans="2:9" ht="15" customHeight="1" x14ac:dyDescent="0.2">
      <c r="B52" t="s">
        <v>131</v>
      </c>
      <c r="C52" s="12">
        <v>108</v>
      </c>
      <c r="D52" s="8">
        <v>3.03</v>
      </c>
      <c r="E52" s="12">
        <v>80</v>
      </c>
      <c r="F52" s="8">
        <v>4.09</v>
      </c>
      <c r="G52" s="12">
        <v>28</v>
      </c>
      <c r="H52" s="8">
        <v>1.76</v>
      </c>
      <c r="I52" s="12">
        <v>0</v>
      </c>
    </row>
    <row r="53" spans="2:9" ht="15" customHeight="1" x14ac:dyDescent="0.2">
      <c r="B53" t="s">
        <v>120</v>
      </c>
      <c r="C53" s="12">
        <v>94</v>
      </c>
      <c r="D53" s="8">
        <v>2.64</v>
      </c>
      <c r="E53" s="12">
        <v>63</v>
      </c>
      <c r="F53" s="8">
        <v>3.22</v>
      </c>
      <c r="G53" s="12">
        <v>31</v>
      </c>
      <c r="H53" s="8">
        <v>1.95</v>
      </c>
      <c r="I53" s="12">
        <v>0</v>
      </c>
    </row>
    <row r="54" spans="2:9" ht="15" customHeight="1" x14ac:dyDescent="0.2">
      <c r="B54" t="s">
        <v>121</v>
      </c>
      <c r="C54" s="12">
        <v>89</v>
      </c>
      <c r="D54" s="8">
        <v>2.5</v>
      </c>
      <c r="E54" s="12">
        <v>33</v>
      </c>
      <c r="F54" s="8">
        <v>1.69</v>
      </c>
      <c r="G54" s="12">
        <v>56</v>
      </c>
      <c r="H54" s="8">
        <v>3.53</v>
      </c>
      <c r="I54" s="12">
        <v>0</v>
      </c>
    </row>
    <row r="55" spans="2:9" ht="15" customHeight="1" x14ac:dyDescent="0.2">
      <c r="B55" t="s">
        <v>132</v>
      </c>
      <c r="C55" s="12">
        <v>89</v>
      </c>
      <c r="D55" s="8">
        <v>2.5</v>
      </c>
      <c r="E55" s="12">
        <v>83</v>
      </c>
      <c r="F55" s="8">
        <v>4.25</v>
      </c>
      <c r="G55" s="12">
        <v>6</v>
      </c>
      <c r="H55" s="8">
        <v>0.38</v>
      </c>
      <c r="I55" s="12">
        <v>0</v>
      </c>
    </row>
    <row r="56" spans="2:9" ht="15" customHeight="1" x14ac:dyDescent="0.2">
      <c r="B56" t="s">
        <v>136</v>
      </c>
      <c r="C56" s="12">
        <v>77</v>
      </c>
      <c r="D56" s="8">
        <v>2.16</v>
      </c>
      <c r="E56" s="12">
        <v>73</v>
      </c>
      <c r="F56" s="8">
        <v>3.74</v>
      </c>
      <c r="G56" s="12">
        <v>4</v>
      </c>
      <c r="H56" s="8">
        <v>0.25</v>
      </c>
      <c r="I56" s="12">
        <v>0</v>
      </c>
    </row>
    <row r="57" spans="2:9" ht="15" customHeight="1" x14ac:dyDescent="0.2">
      <c r="B57" t="s">
        <v>124</v>
      </c>
      <c r="C57" s="12">
        <v>76</v>
      </c>
      <c r="D57" s="8">
        <v>2.13</v>
      </c>
      <c r="E57" s="12">
        <v>39</v>
      </c>
      <c r="F57" s="8">
        <v>2</v>
      </c>
      <c r="G57" s="12">
        <v>37</v>
      </c>
      <c r="H57" s="8">
        <v>2.33</v>
      </c>
      <c r="I57" s="12">
        <v>0</v>
      </c>
    </row>
    <row r="58" spans="2:9" ht="15" customHeight="1" x14ac:dyDescent="0.2">
      <c r="B58" t="s">
        <v>118</v>
      </c>
      <c r="C58" s="12">
        <v>66</v>
      </c>
      <c r="D58" s="8">
        <v>1.85</v>
      </c>
      <c r="E58" s="12">
        <v>8</v>
      </c>
      <c r="F58" s="8">
        <v>0.41</v>
      </c>
      <c r="G58" s="12">
        <v>58</v>
      </c>
      <c r="H58" s="8">
        <v>3.65</v>
      </c>
      <c r="I58" s="12">
        <v>0</v>
      </c>
    </row>
    <row r="59" spans="2:9" ht="15" customHeight="1" x14ac:dyDescent="0.2">
      <c r="B59" t="s">
        <v>127</v>
      </c>
      <c r="C59" s="12">
        <v>65</v>
      </c>
      <c r="D59" s="8">
        <v>1.82</v>
      </c>
      <c r="E59" s="12">
        <v>43</v>
      </c>
      <c r="F59" s="8">
        <v>2.2000000000000002</v>
      </c>
      <c r="G59" s="12">
        <v>22</v>
      </c>
      <c r="H59" s="8">
        <v>1.39</v>
      </c>
      <c r="I59" s="12">
        <v>0</v>
      </c>
    </row>
    <row r="60" spans="2:9" ht="15" customHeight="1" x14ac:dyDescent="0.2">
      <c r="B60" t="s">
        <v>128</v>
      </c>
      <c r="C60" s="12">
        <v>65</v>
      </c>
      <c r="D60" s="8">
        <v>1.82</v>
      </c>
      <c r="E60" s="12">
        <v>19</v>
      </c>
      <c r="F60" s="8">
        <v>0.97</v>
      </c>
      <c r="G60" s="12">
        <v>46</v>
      </c>
      <c r="H60" s="8">
        <v>2.9</v>
      </c>
      <c r="I60" s="12">
        <v>0</v>
      </c>
    </row>
    <row r="61" spans="2:9" ht="15" customHeight="1" x14ac:dyDescent="0.2">
      <c r="B61" t="s">
        <v>123</v>
      </c>
      <c r="C61" s="12">
        <v>61</v>
      </c>
      <c r="D61" s="8">
        <v>1.71</v>
      </c>
      <c r="E61" s="12">
        <v>39</v>
      </c>
      <c r="F61" s="8">
        <v>2</v>
      </c>
      <c r="G61" s="12">
        <v>22</v>
      </c>
      <c r="H61" s="8">
        <v>1.39</v>
      </c>
      <c r="I61" s="12">
        <v>0</v>
      </c>
    </row>
    <row r="62" spans="2:9" ht="15" customHeight="1" x14ac:dyDescent="0.2">
      <c r="B62" t="s">
        <v>135</v>
      </c>
      <c r="C62" s="12">
        <v>60</v>
      </c>
      <c r="D62" s="8">
        <v>1.68</v>
      </c>
      <c r="E62" s="12">
        <v>49</v>
      </c>
      <c r="F62" s="8">
        <v>2.5099999999999998</v>
      </c>
      <c r="G62" s="12">
        <v>11</v>
      </c>
      <c r="H62" s="8">
        <v>0.69</v>
      </c>
      <c r="I62" s="12">
        <v>0</v>
      </c>
    </row>
    <row r="63" spans="2:9" ht="15" customHeight="1" x14ac:dyDescent="0.2">
      <c r="B63" t="s">
        <v>119</v>
      </c>
      <c r="C63" s="12">
        <v>53</v>
      </c>
      <c r="D63" s="8">
        <v>1.49</v>
      </c>
      <c r="E63" s="12">
        <v>13</v>
      </c>
      <c r="F63" s="8">
        <v>0.67</v>
      </c>
      <c r="G63" s="12">
        <v>40</v>
      </c>
      <c r="H63" s="8">
        <v>2.52</v>
      </c>
      <c r="I63" s="12">
        <v>0</v>
      </c>
    </row>
    <row r="64" spans="2:9" ht="15" customHeight="1" x14ac:dyDescent="0.2">
      <c r="B64" t="s">
        <v>137</v>
      </c>
      <c r="C64" s="12">
        <v>53</v>
      </c>
      <c r="D64" s="8">
        <v>1.49</v>
      </c>
      <c r="E64" s="12">
        <v>40</v>
      </c>
      <c r="F64" s="8">
        <v>2.0499999999999998</v>
      </c>
      <c r="G64" s="12">
        <v>13</v>
      </c>
      <c r="H64" s="8">
        <v>0.82</v>
      </c>
      <c r="I64" s="12">
        <v>0</v>
      </c>
    </row>
    <row r="65" spans="2:9" ht="15" customHeight="1" x14ac:dyDescent="0.2">
      <c r="B65" t="s">
        <v>122</v>
      </c>
      <c r="C65" s="12">
        <v>47</v>
      </c>
      <c r="D65" s="8">
        <v>1.32</v>
      </c>
      <c r="E65" s="12">
        <v>14</v>
      </c>
      <c r="F65" s="8">
        <v>0.72</v>
      </c>
      <c r="G65" s="12">
        <v>33</v>
      </c>
      <c r="H65" s="8">
        <v>2.08</v>
      </c>
      <c r="I65" s="12">
        <v>0</v>
      </c>
    </row>
    <row r="66" spans="2:9" ht="15" customHeight="1" x14ac:dyDescent="0.2">
      <c r="B66" t="s">
        <v>125</v>
      </c>
      <c r="C66" s="12">
        <v>46</v>
      </c>
      <c r="D66" s="8">
        <v>1.29</v>
      </c>
      <c r="E66" s="12">
        <v>15</v>
      </c>
      <c r="F66" s="8">
        <v>0.77</v>
      </c>
      <c r="G66" s="12">
        <v>31</v>
      </c>
      <c r="H66" s="8">
        <v>1.95</v>
      </c>
      <c r="I66" s="12">
        <v>0</v>
      </c>
    </row>
    <row r="67" spans="2:9" ht="15" customHeight="1" x14ac:dyDescent="0.2">
      <c r="B67" t="s">
        <v>144</v>
      </c>
      <c r="C67" s="12">
        <v>45</v>
      </c>
      <c r="D67" s="8">
        <v>1.26</v>
      </c>
      <c r="E67" s="12">
        <v>17</v>
      </c>
      <c r="F67" s="8">
        <v>0.87</v>
      </c>
      <c r="G67" s="12">
        <v>28</v>
      </c>
      <c r="H67" s="8">
        <v>1.76</v>
      </c>
      <c r="I67" s="12">
        <v>0</v>
      </c>
    </row>
    <row r="68" spans="2:9" ht="15" customHeight="1" x14ac:dyDescent="0.2">
      <c r="B68" t="s">
        <v>126</v>
      </c>
      <c r="C68" s="12">
        <v>43</v>
      </c>
      <c r="D68" s="8">
        <v>1.21</v>
      </c>
      <c r="E68" s="12">
        <v>14</v>
      </c>
      <c r="F68" s="8">
        <v>0.72</v>
      </c>
      <c r="G68" s="12">
        <v>29</v>
      </c>
      <c r="H68" s="8">
        <v>1.83</v>
      </c>
      <c r="I68" s="12">
        <v>0</v>
      </c>
    </row>
    <row r="70" spans="2:9" ht="15" customHeight="1" x14ac:dyDescent="0.2">
      <c r="B70" t="s">
        <v>198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3</vt:i4>
      </vt:variant>
    </vt:vector>
  </HeadingPairs>
  <TitlesOfParts>
    <vt:vector size="52" baseType="lpstr">
      <vt:lpstr>目次</vt:lpstr>
      <vt:lpstr>産業大分類</vt:lpstr>
      <vt:lpstr>産業中分類</vt:lpstr>
      <vt:lpstr>産業小分類</vt:lpstr>
      <vt:lpstr>茨城県</vt:lpstr>
      <vt:lpstr>水戸市</vt:lpstr>
      <vt:lpstr>日立市</vt:lpstr>
      <vt:lpstr>土浦市</vt:lpstr>
      <vt:lpstr>古河市</vt:lpstr>
      <vt:lpstr>石岡市</vt:lpstr>
      <vt:lpstr>結城市</vt:lpstr>
      <vt:lpstr>龍ケ崎市</vt:lpstr>
      <vt:lpstr>下妻市</vt:lpstr>
      <vt:lpstr>常総市</vt:lpstr>
      <vt:lpstr>常陸太田市</vt:lpstr>
      <vt:lpstr>高萩市</vt:lpstr>
      <vt:lpstr>北茨城市</vt:lpstr>
      <vt:lpstr>笠間市</vt:lpstr>
      <vt:lpstr>取手市</vt:lpstr>
      <vt:lpstr>牛久市</vt:lpstr>
      <vt:lpstr>つくば市</vt:lpstr>
      <vt:lpstr>ひたちなか市</vt:lpstr>
      <vt:lpstr>鹿嶋市</vt:lpstr>
      <vt:lpstr>潮来市</vt:lpstr>
      <vt:lpstr>守谷市</vt:lpstr>
      <vt:lpstr>常陸大宮市</vt:lpstr>
      <vt:lpstr>那珂市</vt:lpstr>
      <vt:lpstr>筑西市</vt:lpstr>
      <vt:lpstr>坂東市</vt:lpstr>
      <vt:lpstr>稲敷市</vt:lpstr>
      <vt:lpstr>かすみがうら市</vt:lpstr>
      <vt:lpstr>桜川市</vt:lpstr>
      <vt:lpstr>神栖市</vt:lpstr>
      <vt:lpstr>行方市</vt:lpstr>
      <vt:lpstr>鉾田市</vt:lpstr>
      <vt:lpstr>つくばみらい市</vt:lpstr>
      <vt:lpstr>小美玉市</vt:lpstr>
      <vt:lpstr>東茨城郡茨城町</vt:lpstr>
      <vt:lpstr>東茨城郡大洗町</vt:lpstr>
      <vt:lpstr>東茨城郡城里町</vt:lpstr>
      <vt:lpstr>那珂郡東海村</vt:lpstr>
      <vt:lpstr>久慈郡大子町</vt:lpstr>
      <vt:lpstr>稲敷郡美浦村</vt:lpstr>
      <vt:lpstr>稲敷郡阿見町</vt:lpstr>
      <vt:lpstr>稲敷郡河内町</vt:lpstr>
      <vt:lpstr>結城郡八千代町</vt:lpstr>
      <vt:lpstr>猿島郡五霞町</vt:lpstr>
      <vt:lpstr>猿島郡境町</vt:lpstr>
      <vt:lpstr>北相馬郡利根町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2023-08-17T02:22:10Z</dcterms:created>
  <dcterms:modified xsi:type="dcterms:W3CDTF">2023-08-17T02:22:10Z</dcterms:modified>
</cp:coreProperties>
</file>