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5561F95E-396A-4F73-B12B-F8A590B271E4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68" r:id="rId1"/>
    <sheet name="産業大分類" sheetId="5" r:id="rId2"/>
    <sheet name="産業中分類" sheetId="6" r:id="rId3"/>
    <sheet name="産業小分類" sheetId="7" r:id="rId4"/>
    <sheet name="福島県" sheetId="8" r:id="rId5"/>
    <sheet name="福島市" sheetId="9" r:id="rId6"/>
    <sheet name="会津若松市" sheetId="10" r:id="rId7"/>
    <sheet name="郡山市" sheetId="11" r:id="rId8"/>
    <sheet name="いわき市" sheetId="12" r:id="rId9"/>
    <sheet name="白河市" sheetId="13" r:id="rId10"/>
    <sheet name="須賀川市" sheetId="14" r:id="rId11"/>
    <sheet name="喜多方市" sheetId="15" r:id="rId12"/>
    <sheet name="相馬市" sheetId="16" r:id="rId13"/>
    <sheet name="二本松市" sheetId="17" r:id="rId14"/>
    <sheet name="田村市" sheetId="18" r:id="rId15"/>
    <sheet name="南相馬市" sheetId="19" r:id="rId16"/>
    <sheet name="伊達市" sheetId="20" r:id="rId17"/>
    <sheet name="本宮市" sheetId="21" r:id="rId18"/>
    <sheet name="伊達郡桑折町" sheetId="22" r:id="rId19"/>
    <sheet name="伊達郡国見町" sheetId="23" r:id="rId20"/>
    <sheet name="伊達郡川俣町" sheetId="24" r:id="rId21"/>
    <sheet name="安達郡大玉村" sheetId="25" r:id="rId22"/>
    <sheet name="岩瀬郡鏡石町" sheetId="26" r:id="rId23"/>
    <sheet name="岩瀬郡天栄村" sheetId="27" r:id="rId24"/>
    <sheet name="南会津郡下郷町" sheetId="28" r:id="rId25"/>
    <sheet name="南会津郡檜枝岐村" sheetId="29" r:id="rId26"/>
    <sheet name="南会津郡只見町" sheetId="30" r:id="rId27"/>
    <sheet name="南会津郡南会津町" sheetId="31" r:id="rId28"/>
    <sheet name="耶麻郡北塩原村" sheetId="32" r:id="rId29"/>
    <sheet name="耶麻郡西会津町" sheetId="33" r:id="rId30"/>
    <sheet name="耶麻郡磐梯町" sheetId="34" r:id="rId31"/>
    <sheet name="耶麻郡猪苗代町" sheetId="35" r:id="rId32"/>
    <sheet name="河沼郡会津坂下町" sheetId="36" r:id="rId33"/>
    <sheet name="河沼郡湯川村" sheetId="37" r:id="rId34"/>
    <sheet name="河沼郡柳津町" sheetId="38" r:id="rId35"/>
    <sheet name="大沼郡三島町" sheetId="39" r:id="rId36"/>
    <sheet name="大沼郡金山町" sheetId="40" r:id="rId37"/>
    <sheet name="大沼郡昭和村" sheetId="41" r:id="rId38"/>
    <sheet name="大沼郡会津美里町" sheetId="42" r:id="rId39"/>
    <sheet name="西白河郡西郷村" sheetId="43" r:id="rId40"/>
    <sheet name="西白河郡泉崎村" sheetId="44" r:id="rId41"/>
    <sheet name="西白河郡中島村" sheetId="45" r:id="rId42"/>
    <sheet name="西白河郡矢吹町" sheetId="46" r:id="rId43"/>
    <sheet name="東白川郡棚倉町" sheetId="47" r:id="rId44"/>
    <sheet name="東白川郡矢祭町" sheetId="48" r:id="rId45"/>
    <sheet name="東白川郡塙町" sheetId="49" r:id="rId46"/>
    <sheet name="東白川郡鮫川村" sheetId="50" r:id="rId47"/>
    <sheet name="石川郡石川町" sheetId="51" r:id="rId48"/>
    <sheet name="石川郡玉川村" sheetId="52" r:id="rId49"/>
    <sheet name="石川郡平田村" sheetId="53" r:id="rId50"/>
    <sheet name="石川郡浅川町" sheetId="54" r:id="rId51"/>
    <sheet name="石川郡古殿町" sheetId="55" r:id="rId52"/>
    <sheet name="田村郡三春町" sheetId="56" r:id="rId53"/>
    <sheet name="田村郡小野町" sheetId="57" r:id="rId54"/>
    <sheet name="双葉郡広野町" sheetId="58" r:id="rId55"/>
    <sheet name="双葉郡楢葉町" sheetId="59" r:id="rId56"/>
    <sheet name="双葉郡富岡町" sheetId="60" r:id="rId57"/>
    <sheet name="双葉郡川内村" sheetId="61" r:id="rId58"/>
    <sheet name="双葉郡大熊町" sheetId="62" r:id="rId59"/>
    <sheet name="双葉郡双葉町" sheetId="63" r:id="rId60"/>
    <sheet name="双葉郡浪江町" sheetId="64" r:id="rId61"/>
    <sheet name="双葉郡葛尾村" sheetId="65" r:id="rId62"/>
    <sheet name="相馬郡新地町" sheetId="66" r:id="rId63"/>
    <sheet name="相馬郡飯舘村" sheetId="67" r:id="rId64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46" r:id="rId65"/>
    <pivotCache cacheId="2147" r:id="rId66"/>
    <pivotCache cacheId="2148" r:id="rId6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67" l="1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<sst xmlns="http://schemas.openxmlformats.org/spreadsheetml/2006/main" count="9386" uniqueCount="461">
  <si>
    <t>07000 福島県</t>
  </si>
  <si>
    <t>07201 福島市</t>
  </si>
  <si>
    <t>07202 会津若松市</t>
  </si>
  <si>
    <t>07203 郡山市</t>
  </si>
  <si>
    <t>07204 いわき市</t>
  </si>
  <si>
    <t>07205 白河市</t>
  </si>
  <si>
    <t>07207 須賀川市</t>
  </si>
  <si>
    <t>07208 喜多方市</t>
  </si>
  <si>
    <t>07209 相馬市</t>
  </si>
  <si>
    <t>07210 二本松市</t>
  </si>
  <si>
    <t>07211 田村市</t>
  </si>
  <si>
    <t>07212 南相馬市</t>
  </si>
  <si>
    <t>07213 伊達市</t>
  </si>
  <si>
    <t>07214 本宮市</t>
  </si>
  <si>
    <t>07301 伊達郡桑折町</t>
  </si>
  <si>
    <t>07303 伊達郡国見町</t>
  </si>
  <si>
    <t>07308 伊達郡川俣町</t>
  </si>
  <si>
    <t>07322 安達郡大玉村</t>
  </si>
  <si>
    <t>07342 岩瀬郡鏡石町</t>
  </si>
  <si>
    <t>07344 岩瀬郡天栄村</t>
  </si>
  <si>
    <t>07362 南会津郡下郷町</t>
  </si>
  <si>
    <t>07364 南会津郡檜枝岐村</t>
  </si>
  <si>
    <t>07367 南会津郡只見町</t>
  </si>
  <si>
    <t>07368 南会津郡南会津町</t>
  </si>
  <si>
    <t>07402 耶麻郡北塩原村</t>
  </si>
  <si>
    <t>07405 耶麻郡西会津町</t>
  </si>
  <si>
    <t>07407 耶麻郡磐梯町</t>
  </si>
  <si>
    <t>07408 耶麻郡猪苗代町</t>
  </si>
  <si>
    <t>07421 河沼郡会津坂下町</t>
  </si>
  <si>
    <t>07422 河沼郡湯川村</t>
  </si>
  <si>
    <t>07423 河沼郡柳津町</t>
  </si>
  <si>
    <t>07444 大沼郡三島町</t>
  </si>
  <si>
    <t>07445 大沼郡金山町</t>
  </si>
  <si>
    <t>07446 大沼郡昭和村</t>
  </si>
  <si>
    <t>07447 大沼郡会津美里町</t>
  </si>
  <si>
    <t>07461 西白河郡西郷村</t>
  </si>
  <si>
    <t>07464 西白河郡泉崎村</t>
  </si>
  <si>
    <t>07465 西白河郡中島村</t>
  </si>
  <si>
    <t>07466 西白河郡矢吹町</t>
  </si>
  <si>
    <t>07481 東白川郡棚倉町</t>
  </si>
  <si>
    <t>07482 東白川郡矢祭町</t>
  </si>
  <si>
    <t>07483 東白川郡塙町</t>
  </si>
  <si>
    <t>07484 東白川郡鮫川村</t>
  </si>
  <si>
    <t>07501 石川郡石川町</t>
  </si>
  <si>
    <t>07502 石川郡玉川村</t>
  </si>
  <si>
    <t>07503 石川郡平田村</t>
  </si>
  <si>
    <t>07504 石川郡浅川町</t>
  </si>
  <si>
    <t>07505 石川郡古殿町</t>
  </si>
  <si>
    <t>07521 田村郡三春町</t>
  </si>
  <si>
    <t>07522 田村郡小野町</t>
  </si>
  <si>
    <t>07541 双葉郡広野町</t>
  </si>
  <si>
    <t>07542 双葉郡楢葉町</t>
  </si>
  <si>
    <t>07543 双葉郡富岡町</t>
  </si>
  <si>
    <t>07544 双葉郡川内村</t>
  </si>
  <si>
    <t>07545 双葉郡大熊町</t>
  </si>
  <si>
    <t>07546 双葉郡双葉町</t>
  </si>
  <si>
    <t>07547 双葉郡浪江町</t>
  </si>
  <si>
    <t>07548 双葉郡葛尾村</t>
  </si>
  <si>
    <t>07561 相馬郡新地町</t>
  </si>
  <si>
    <t>07564 相馬郡飯舘村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</si>
  <si>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</si>
  <si>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</si>
  <si>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</si>
  <si>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</si>
  <si>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</si>
  <si>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</si>
  <si>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</si>
  <si>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</si>
  <si>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</si>
  <si>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</si>
  <si>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</si>
  <si>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</si>
  <si>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</si>
  <si>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</si>
  <si>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</si>
  <si>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</si>
  <si>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</si>
  <si>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</si>
  <si>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</si>
  <si>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</si>
  <si>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</si>
  <si>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</si>
  <si>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</si>
  <si>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</si>
  <si>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</si>
  <si>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</si>
  <si>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</si>
  <si>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</si>
  <si>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</si>
  <si>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</si>
  <si>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</si>
  <si>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</si>
  <si>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69 不動産賃貸業・管理業</t>
  </si>
  <si>
    <t>72 専門サービス業（他に分類されないもの）</t>
  </si>
  <si>
    <t>74 技術サービス業（他に分類されないもの）</t>
  </si>
  <si>
    <t>75 宿泊業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</si>
  <si>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</si>
  <si>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</si>
  <si>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</si>
  <si>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</si>
  <si>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</si>
  <si>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85 社会保険・社会福祉・介護事業</t>
  </si>
  <si>
    <t>89 自動車整備業</t>
  </si>
  <si>
    <t>61 無店舗小売業</t>
  </si>
  <si>
    <t>68 不動産取引業</t>
  </si>
  <si>
    <t>32 その他の製造業</t>
  </si>
  <si>
    <t>52 飲食料品卸売業</t>
  </si>
  <si>
    <t>55 その他の卸売業</t>
  </si>
  <si>
    <t>92 その他の事業サービス業</t>
  </si>
  <si>
    <t>67 保険業（保険媒介代理業，保険サービス業を含む）</t>
  </si>
  <si>
    <t>09 食料品製造業</t>
  </si>
  <si>
    <t>11 繊維工業</t>
  </si>
  <si>
    <t>21 窯業・土石製品製造業</t>
  </si>
  <si>
    <t>77 持ち帰り・配達飲食サービス業</t>
  </si>
  <si>
    <t>26 生産用機械器具製造業</t>
  </si>
  <si>
    <t>24 金属製品製造業</t>
  </si>
  <si>
    <t>13 家具・装備品製造業</t>
  </si>
  <si>
    <t>44 道路貨物運送業</t>
  </si>
  <si>
    <t>17 石油製品・石炭製品製造業</t>
  </si>
  <si>
    <t>28 電子部品・デバイス・電子回路製造業</t>
  </si>
  <si>
    <t>88 廃棄物処理業</t>
  </si>
  <si>
    <t>18 プラスチック製品製造業（別掲を除く）</t>
  </si>
  <si>
    <t>29 電気機械器具製造業</t>
  </si>
  <si>
    <t>91 職業紹介・労働者派遣業</t>
  </si>
  <si>
    <t>12 木材・木製品製造業（家具を除く）</t>
  </si>
  <si>
    <t>30 情報通信機械器具製造業</t>
  </si>
  <si>
    <t>31 輸送用機械器具製造業</t>
  </si>
  <si>
    <t>36 水道業</t>
  </si>
  <si>
    <t>39 情報サービス業</t>
  </si>
  <si>
    <t>80 娯楽業</t>
  </si>
  <si>
    <t>25 はん用機械器具製造業</t>
  </si>
  <si>
    <t>05 鉱業，採石業，砂利採取業</t>
  </si>
  <si>
    <t>10 飲料・たばこ・飼料製造業</t>
  </si>
  <si>
    <t>20 なめし革・同製品・毛皮製造業</t>
  </si>
  <si>
    <t>40 インターネット附随サービス業</t>
  </si>
  <si>
    <t>42 鉄道業</t>
  </si>
  <si>
    <t>43 道路旅客運送業</t>
  </si>
  <si>
    <t>47 倉庫業</t>
  </si>
  <si>
    <t>19 ゴム製品製造業</t>
  </si>
  <si>
    <t>70 物品賃貸業</t>
  </si>
  <si>
    <t>95 その他のサービス業</t>
  </si>
  <si>
    <t>48 運輸に附帯するサービス業</t>
  </si>
  <si>
    <t>27 業務用機械器具製造業</t>
  </si>
  <si>
    <t>16 化学工業</t>
  </si>
  <si>
    <t>15 印刷・同関連業</t>
  </si>
  <si>
    <t>33 電気業</t>
  </si>
  <si>
    <t>90 機械等修理業（別掲を除く）</t>
  </si>
  <si>
    <t>45 水運業</t>
  </si>
  <si>
    <t>56 各種商品小売業</t>
  </si>
  <si>
    <t>38 放送業</t>
  </si>
  <si>
    <t>50 各種商品卸売業</t>
  </si>
  <si>
    <t>23 非鉄金属製造業</t>
  </si>
  <si>
    <t>46 航空運輸業</t>
  </si>
  <si>
    <t>71 学術・開発研究機関</t>
  </si>
  <si>
    <t>14 パルプ・紙・紙加工品製造業</t>
  </si>
  <si>
    <t>41 映像・音声・文字情報制作業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</si>
  <si>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</si>
  <si>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</si>
  <si>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</si>
  <si>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</si>
  <si>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</si>
  <si>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</si>
  <si>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</si>
  <si>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</si>
  <si>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</si>
  <si>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</si>
  <si>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</si>
  <si>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</si>
  <si>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</si>
  <si>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</si>
  <si>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</si>
  <si>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</si>
  <si>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</si>
  <si>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</si>
  <si>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</si>
  <si>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</si>
  <si>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</si>
  <si>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</si>
  <si>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586 菓子・パン小売業</t>
  </si>
  <si>
    <t>693 駐車場業</t>
  </si>
  <si>
    <t>327 漆器製造業</t>
  </si>
  <si>
    <t>761 食堂，レストラン（専門料理店を除く）</t>
  </si>
  <si>
    <t>781 洗濯業</t>
  </si>
  <si>
    <t>682 不動産代理業・仲介業</t>
  </si>
  <si>
    <t>823 学習塾</t>
  </si>
  <si>
    <t>605 燃料小売業</t>
  </si>
  <si>
    <t>772 配達飲食サービス業</t>
  </si>
  <si>
    <t>079 その他の職別工事業</t>
  </si>
  <si>
    <t>531 建築材料卸売業</t>
  </si>
  <si>
    <t>674 保険媒介代理業</t>
  </si>
  <si>
    <t>573 婦人・子供服小売業</t>
  </si>
  <si>
    <t>585 酒小売業</t>
  </si>
  <si>
    <t>541 産業機械器具卸売業</t>
  </si>
  <si>
    <t>593 機械器具小売業（自動車，自転車を除く）</t>
  </si>
  <si>
    <t>071 大工工事業</t>
  </si>
  <si>
    <t>078 床・内装工事業</t>
  </si>
  <si>
    <t>072 とび・土工・コンクリート工事業</t>
  </si>
  <si>
    <t>853 児童福祉事業</t>
  </si>
  <si>
    <t>066 建築リフォーム工事業</t>
  </si>
  <si>
    <t>075 左官工事業</t>
  </si>
  <si>
    <t>854 老人福祉・介護事業</t>
  </si>
  <si>
    <t>076 板金・金物工事業</t>
  </si>
  <si>
    <t>077 塗装工事業</t>
  </si>
  <si>
    <t>174 舗装材料製造業</t>
  </si>
  <si>
    <t>611 通信販売・訪問販売小売業</t>
  </si>
  <si>
    <t>694 不動産管理業</t>
  </si>
  <si>
    <t>881 一般廃棄物処理業</t>
  </si>
  <si>
    <t>582 野菜・果実小売業</t>
  </si>
  <si>
    <t>604 農耕用品小売業</t>
  </si>
  <si>
    <t>291 発電用・送電用・配電用電気機械器具製造業</t>
  </si>
  <si>
    <t>601 家具・建具・畳小売業</t>
  </si>
  <si>
    <t>929 他に分類されない事業サービス業</t>
  </si>
  <si>
    <t>581 各種食料品小売業</t>
  </si>
  <si>
    <t>722 公証人役場，司法書士事務所，土地家屋調査士事務所</t>
  </si>
  <si>
    <t>723 行政書士事務所</t>
  </si>
  <si>
    <t>751 旅館，ホテル</t>
  </si>
  <si>
    <t>763 そば・うどん店</t>
  </si>
  <si>
    <t>855 障害者福祉事業</t>
  </si>
  <si>
    <t>882 産業廃棄物処理業</t>
  </si>
  <si>
    <t>244 建設用・建築用金属製品製造業（製缶板金業を含む）</t>
  </si>
  <si>
    <t>249 その他の金属製品製造業</t>
  </si>
  <si>
    <t>259 その他のはん用機械・同部分品製造業</t>
  </si>
  <si>
    <t>579 その他の織物・衣服・身の回り品小売業</t>
  </si>
  <si>
    <t>094 調味料製造業</t>
  </si>
  <si>
    <t>391 ソフトウェア業</t>
  </si>
  <si>
    <t>521 農畜産物・水産物卸売業</t>
  </si>
  <si>
    <t>602 じゅう器小売業</t>
  </si>
  <si>
    <t>767 喫茶店</t>
  </si>
  <si>
    <t>809 その他の娯楽業</t>
  </si>
  <si>
    <t>093 野菜缶詰・果実缶詰・農産保存食料品製造業</t>
  </si>
  <si>
    <t>443 貨物軽自動車運送業</t>
  </si>
  <si>
    <t>489 その他の運輸に附帯するサービス業</t>
  </si>
  <si>
    <t>752 簡易宿所</t>
  </si>
  <si>
    <t>759 その他の宿泊業</t>
  </si>
  <si>
    <t>804 スポーツ施設提供業</t>
  </si>
  <si>
    <t>805 公園，遊園地</t>
  </si>
  <si>
    <t>821 社会教育</t>
  </si>
  <si>
    <t>097 パン・菓子製造業</t>
  </si>
  <si>
    <t>275 光学機械器具・レンズ製造業</t>
  </si>
  <si>
    <t>836 医療に附帯するサービス業</t>
  </si>
  <si>
    <t>951 集会場</t>
  </si>
  <si>
    <t>522 食料・飲料卸売業</t>
  </si>
  <si>
    <t>121 製材業，木製品製造業</t>
  </si>
  <si>
    <t>606 書籍・文房具小売業</t>
  </si>
  <si>
    <t>099 その他の食料品製造業</t>
  </si>
  <si>
    <t>102 酒類製造業</t>
  </si>
  <si>
    <t>104 製氷業</t>
  </si>
  <si>
    <t>122 造作材・合板・建築用組立材料製造業</t>
  </si>
  <si>
    <t>131 家具製造業</t>
  </si>
  <si>
    <t>132 宗教用具製造業</t>
  </si>
  <si>
    <t>169 その他の化学工業</t>
  </si>
  <si>
    <t>269 その他の生産用機械・同部分品製造業</t>
  </si>
  <si>
    <t>311 自動車・同附属品製造業</t>
  </si>
  <si>
    <t>319 その他の輸送用機械器具製造業</t>
  </si>
  <si>
    <t>331 電気業</t>
  </si>
  <si>
    <t>360 管理，補助的経済活動を行う事業所</t>
  </si>
  <si>
    <t>432 一般乗用旅客自動車運送業</t>
  </si>
  <si>
    <t>572 男子服小売業</t>
  </si>
  <si>
    <t>619 その他の無店舗小売業</t>
  </si>
  <si>
    <t>727 著述・芸術家業</t>
  </si>
  <si>
    <t>901 機械修理業（電気機械器具を除く）</t>
  </si>
  <si>
    <t>912 労働者派遣業</t>
  </si>
  <si>
    <t>129 その他の木製品製造業（竹，とうを含む）</t>
  </si>
  <si>
    <t>328 畳等生活雑貨製品製造業</t>
  </si>
  <si>
    <t>559 他に分類されない卸売業</t>
  </si>
  <si>
    <t>583 食肉小売業</t>
  </si>
  <si>
    <t>584 鮮魚小売業</t>
  </si>
  <si>
    <t>741 獣医業</t>
  </si>
  <si>
    <t>789 その他の洗濯・理容・美容・浴場業</t>
  </si>
  <si>
    <t>799 他に分類されない生活関連サービス業</t>
  </si>
  <si>
    <t>859 その他の社会保険・社会福祉・介護事業</t>
  </si>
  <si>
    <t>746 写真業</t>
  </si>
  <si>
    <t>091 畜産食料品製造業</t>
  </si>
  <si>
    <t>133 建具製造業</t>
  </si>
  <si>
    <t>383 有線放送業</t>
  </si>
  <si>
    <t>534 鉄鋼製品卸売業</t>
  </si>
  <si>
    <t>729 その他の専門サービス業</t>
  </si>
  <si>
    <t>421 鉄道業</t>
  </si>
  <si>
    <t>574 靴・履物小売業</t>
  </si>
  <si>
    <t>112 織物業</t>
  </si>
  <si>
    <t>218 骨材・石工品等製造業</t>
  </si>
  <si>
    <t>569 その他の各種商品小売業（従業者が常時50人未満のもの）</t>
  </si>
  <si>
    <t>771 持ち帰り飲食サービス業</t>
  </si>
  <si>
    <t>214 陶磁器・同関連製品製造業</t>
  </si>
  <si>
    <t>441 一般貨物自動車運送業</t>
  </si>
  <si>
    <t>471 倉庫業（冷蔵倉庫業を除く）</t>
  </si>
  <si>
    <t>833 歯科診療所</t>
  </si>
  <si>
    <t>061 一般土木建築工事業</t>
  </si>
  <si>
    <t>073 鉄骨・鉄筋工事業</t>
  </si>
  <si>
    <t>116 外衣・シャツ製造業（和式を除く）</t>
  </si>
  <si>
    <t>119 その他の繊維製品製造業</t>
  </si>
  <si>
    <t>206 かばん製造業</t>
  </si>
  <si>
    <t>234 電線・ケーブル製造業</t>
  </si>
  <si>
    <t>245 金属素形材製品製造業</t>
  </si>
  <si>
    <t>262 建設機械・鉱山機械製造業</t>
  </si>
  <si>
    <t>266 金属加工機械製造業</t>
  </si>
  <si>
    <t>315 産業用運搬車両・同部分品・附属品製造業</t>
  </si>
  <si>
    <t>361 上水道業</t>
  </si>
  <si>
    <t>532 化学製品卸売業</t>
  </si>
  <si>
    <t>536 再生資源卸売業</t>
  </si>
  <si>
    <t>592 自転車小売業</t>
  </si>
  <si>
    <t>764 すし店</t>
  </si>
  <si>
    <t>909 その他の修理業</t>
  </si>
  <si>
    <t>183 工業用プラスチック製品製造業</t>
  </si>
  <si>
    <t>704 自動車賃貸業</t>
  </si>
  <si>
    <t>063 舗装工事業</t>
  </si>
  <si>
    <t>082 電気通信・信号装置工事業</t>
  </si>
  <si>
    <t>084 機械器具設置工事業</t>
  </si>
  <si>
    <t>902 電気機械器具修理業</t>
  </si>
  <si>
    <t>089 その他の設備工事業</t>
  </si>
  <si>
    <t>543 電気機械器具卸売業</t>
  </si>
  <si>
    <t>702 産業用機械器具賃貸業</t>
  </si>
  <si>
    <t>212 セメント・同製品製造業</t>
  </si>
  <si>
    <t>413 新聞業</t>
  </si>
  <si>
    <t>416 映像・音声・文字情報制作に附帯するサービス業</t>
  </si>
  <si>
    <t>431 一般乗合旅客自動車運送業</t>
  </si>
  <si>
    <t>461 航空運送業</t>
  </si>
  <si>
    <t>608 写真機・時計・眼鏡小売業</t>
  </si>
  <si>
    <t>745 計量証明業</t>
  </si>
  <si>
    <t>749 その他の技術サービス業</t>
  </si>
  <si>
    <t>911 職業紹介業</t>
  </si>
  <si>
    <t>922 建物サービス業</t>
  </si>
  <si>
    <t>923 警備業</t>
  </si>
  <si>
    <t>074 石工・れんが・タイル・ブロック工事業</t>
  </si>
  <si>
    <t>162 無機化学工業製品製造業</t>
  </si>
  <si>
    <t>851 社会保険事業団体</t>
  </si>
  <si>
    <t>889 その他の廃棄物処理業</t>
  </si>
  <si>
    <t>769 その他の飲食店</t>
  </si>
  <si>
    <t>295 電池製造業</t>
  </si>
  <si>
    <t>281 電子デバイス製造業</t>
  </si>
  <si>
    <t>612 自動販売機による小売業</t>
  </si>
  <si>
    <t>728 経営コンサルタント業，純粋持株会社</t>
  </si>
  <si>
    <t>363 下水道業</t>
  </si>
  <si>
    <t>289 その他の電子部品・デバイス・電子回路製造業</t>
  </si>
  <si>
    <t>産業小分類</t>
  </si>
  <si>
    <t>07000　福島県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</si>
  <si>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</si>
  <si>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</si>
  <si>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</si>
  <si>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</si>
  <si>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</si>
  <si>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07201　福島市</t>
  </si>
  <si>
    <t>07202　会津若松市</t>
  </si>
  <si>
    <t>07203　郡山市</t>
  </si>
  <si>
    <t>07204　いわき市</t>
  </si>
  <si>
    <t>07205　白河市</t>
  </si>
  <si>
    <t>07207　須賀川市</t>
  </si>
  <si>
    <t>07208　喜多方市</t>
  </si>
  <si>
    <t>07209　相馬市</t>
  </si>
  <si>
    <t>07210　二本松市</t>
  </si>
  <si>
    <t>07211　田村市</t>
  </si>
  <si>
    <t>07212　南相馬市</t>
  </si>
  <si>
    <t>07213　伊達市</t>
  </si>
  <si>
    <t>07214　本宮市</t>
  </si>
  <si>
    <t>07301　伊達郡桑折町</t>
  </si>
  <si>
    <t>07303　伊達郡国見町</t>
  </si>
  <si>
    <t>07308　伊達郡川俣町</t>
  </si>
  <si>
    <t>07322　安達郡大玉村</t>
  </si>
  <si>
    <t>07342　岩瀬郡鏡石町</t>
  </si>
  <si>
    <t>07344　岩瀬郡天栄村</t>
  </si>
  <si>
    <t>07362　南会津郡下郷町</t>
  </si>
  <si>
    <t>07364　南会津郡檜枝岐村</t>
  </si>
  <si>
    <t>07367　南会津郡只見町</t>
  </si>
  <si>
    <t>07368　南会津郡南会津町</t>
  </si>
  <si>
    <t>07402　耶麻郡北塩原村</t>
  </si>
  <si>
    <t>07405　耶麻郡西会津町</t>
  </si>
  <si>
    <t>07407　耶麻郡磐梯町</t>
  </si>
  <si>
    <t>07408　耶麻郡猪苗代町</t>
  </si>
  <si>
    <t>07421　河沼郡会津坂下町</t>
  </si>
  <si>
    <t>07422　河沼郡湯川村</t>
  </si>
  <si>
    <t>07423　河沼郡柳津町</t>
  </si>
  <si>
    <t>07444　大沼郡三島町</t>
  </si>
  <si>
    <t>07445　大沼郡金山町</t>
  </si>
  <si>
    <t>07446　大沼郡昭和村</t>
  </si>
  <si>
    <t>07447　大沼郡会津美里町</t>
  </si>
  <si>
    <t>07461　西白河郡西郷村</t>
  </si>
  <si>
    <t>07464　西白河郡泉崎村</t>
  </si>
  <si>
    <t>07465　西白河郡中島村</t>
  </si>
  <si>
    <t>07466　西白河郡矢吹町</t>
  </si>
  <si>
    <t>07481　東白川郡棚倉町</t>
  </si>
  <si>
    <t>07482　東白川郡矢祭町</t>
  </si>
  <si>
    <t>07483　東白川郡塙町</t>
  </si>
  <si>
    <t>07484　東白川郡鮫川村</t>
  </si>
  <si>
    <t>07501　石川郡石川町</t>
  </si>
  <si>
    <t>07502　石川郡玉川村</t>
  </si>
  <si>
    <t>07503　石川郡平田村</t>
  </si>
  <si>
    <t>07504　石川郡浅川町</t>
  </si>
  <si>
    <t>07505　石川郡古殿町</t>
  </si>
  <si>
    <t>07521　田村郡三春町</t>
  </si>
  <si>
    <t>07522　田村郡小野町</t>
  </si>
  <si>
    <t>07541　双葉郡広野町</t>
  </si>
  <si>
    <t>07542　双葉郡楢葉町</t>
  </si>
  <si>
    <t>07543　双葉郡富岡町</t>
  </si>
  <si>
    <t>07544　双葉郡川内村</t>
  </si>
  <si>
    <t>07545　双葉郡大熊町</t>
  </si>
  <si>
    <t>07546　双葉郡双葉町</t>
  </si>
  <si>
    <t>07547　双葉郡浪江町</t>
  </si>
  <si>
    <t>07548　双葉郡葛尾村</t>
  </si>
  <si>
    <t>07561　相馬郡新地町</t>
  </si>
  <si>
    <t>07564　相馬郡飯舘村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</si>
  <si>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</si>
  <si>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</si>
  <si>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</si>
  <si>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</si>
  <si>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</si>
  <si>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</si>
  <si>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</si>
  <si>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</si>
  <si>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</si>
  <si>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</si>
  <si>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</si>
  <si>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</si>
  <si>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</si>
  <si>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</si>
  <si>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伊達郡桑折町</t>
  </si>
  <si>
    <t>伊達郡国見町</t>
  </si>
  <si>
    <t>伊達郡川俣町</t>
  </si>
  <si>
    <t>安達郡大玉村</t>
  </si>
  <si>
    <t>岩瀬郡鏡石町</t>
  </si>
  <si>
    <t>岩瀬郡天栄村</t>
  </si>
  <si>
    <t>南会津郡下郷町</t>
  </si>
  <si>
    <t>南会津郡檜枝岐村</t>
  </si>
  <si>
    <t>南会津郡只見町</t>
  </si>
  <si>
    <t>南会津郡南会津町</t>
  </si>
  <si>
    <t>耶麻郡北塩原村</t>
  </si>
  <si>
    <t>耶麻郡西会津町</t>
  </si>
  <si>
    <t>耶麻郡磐梯町</t>
  </si>
  <si>
    <t>耶麻郡猪苗代町</t>
  </si>
  <si>
    <t>河沼郡会津坂下町</t>
  </si>
  <si>
    <t>河沼郡湯川村</t>
  </si>
  <si>
    <t>河沼郡柳津町</t>
  </si>
  <si>
    <t>大沼郡三島町</t>
  </si>
  <si>
    <t>大沼郡金山町</t>
  </si>
  <si>
    <t>大沼郡昭和村</t>
  </si>
  <si>
    <t>大沼郡会津美里町</t>
  </si>
  <si>
    <t>西白河郡西郷村</t>
  </si>
  <si>
    <t>西白河郡泉崎村</t>
  </si>
  <si>
    <t>西白河郡中島村</t>
  </si>
  <si>
    <t>西白河郡矢吹町</t>
  </si>
  <si>
    <t>東白川郡棚倉町</t>
  </si>
  <si>
    <t>東白川郡矢祭町</t>
  </si>
  <si>
    <t>東白川郡塙町</t>
  </si>
  <si>
    <t>東白川郡鮫川村</t>
  </si>
  <si>
    <t>石川郡石川町</t>
  </si>
  <si>
    <t>石川郡玉川村</t>
  </si>
  <si>
    <t>石川郡平田村</t>
  </si>
  <si>
    <t>石川郡浅川町</t>
  </si>
  <si>
    <t>石川郡古殿町</t>
  </si>
  <si>
    <t>田村郡三春町</t>
  </si>
  <si>
    <t>田村郡小野町</t>
  </si>
  <si>
    <t>双葉郡広野町</t>
  </si>
  <si>
    <t>双葉郡楢葉町</t>
  </si>
  <si>
    <t>双葉郡富岡町</t>
  </si>
  <si>
    <t>双葉郡川内村</t>
  </si>
  <si>
    <t>双葉郡大熊町</t>
  </si>
  <si>
    <t>双葉郡双葉町</t>
  </si>
  <si>
    <t>双葉郡浪江町</t>
  </si>
  <si>
    <t>双葉郡葛尾村</t>
  </si>
  <si>
    <t>相馬郡新地町</t>
  </si>
  <si>
    <t>相馬郡飯舘村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</si>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</sst>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9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pivotCacheDefinition" Target="pivotCache/pivotCacheDefinition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5109490742" createdVersion="5" refreshedVersion="8" minRefreshableVersion="3" recordCount="900" xr:uid="{E50D7210-5C99-4A9D-8091-A9AAA23F066A}">
  <cacheSource type="external" connectionId="1"/>
  <cacheFields count="11">
    <cacheField name="都道府県" numFmtId="0" sqlType="-9">
      <sharedItems count="1">
        <s v="07 福島県"/>
      </sharedItems>
    </cacheField>
    <cacheField name="自治体名" numFmtId="0" sqlType="-9">
      <sharedItems/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1275"/>
    </cacheField>
    <cacheField name="構成比" numFmtId="0" sqlType="3">
      <sharedItems containsSemiMixedTypes="0" containsString="0" containsNumber="1" minValue="0" maxValue="66.67"/>
    </cacheField>
    <cacheField name="総数（個人）" numFmtId="0" sqlType="4">
      <sharedItems containsSemiMixedTypes="0" containsString="0" containsNumber="1" containsInteger="1" minValue="0" maxValue="5246"/>
    </cacheField>
    <cacheField name="構成比（個人）" numFmtId="0" sqlType="3">
      <sharedItems containsString="0" containsBlank="1" containsNumber="1" minValue="0" maxValue="76.92"/>
    </cacheField>
    <cacheField name="総数（法人）" numFmtId="0" sqlType="4">
      <sharedItems containsSemiMixedTypes="0" containsString="0" containsNumber="1" containsInteger="1" minValue="0" maxValue="5989"/>
    </cacheField>
    <cacheField name="構成比（法人）" numFmtId="0" sqlType="3">
      <sharedItems containsSemiMixedTypes="0" containsString="0" containsNumber="1" minValue="0" maxValue="66.67"/>
    </cacheField>
    <cacheField name="総数（法人以外の団体）" numFmtId="0" sqlType="4">
      <sharedItems containsSemiMixedTypes="0" containsString="0" containsNumber="1" containsInteger="1" minValue="0" maxValue="38" count="12">
        <n v="0"/>
        <n v="1"/>
        <n v="2"/>
        <n v="10"/>
        <n v="38"/>
        <n v="5"/>
        <n v="4"/>
        <n v="9"/>
        <n v="35"/>
        <n v="3"/>
        <n v="7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5236111111" createdVersion="5" refreshedVersion="8" minRefreshableVersion="3" recordCount="1354" xr:uid="{673B2720-36B3-4960-8B5C-5C2207BBFE9A}">
  <cacheSource type="external" connectionId="2"/>
  <cacheFields count="14">
    <cacheField name="都道府県" numFmtId="0" sqlType="-9">
      <sharedItems count="1">
        <s v="07 福島県"/>
      </sharedItems>
    </cacheField>
    <cacheField name="自治体名" numFmtId="0" sqlType="-9">
      <sharedItems count="60">
        <s v="福島県"/>
        <s v="福島市"/>
        <s v="会津若松市"/>
        <s v="郡山市"/>
        <s v="いわき市"/>
        <s v="白河市"/>
        <s v="須賀川市"/>
        <s v="喜多方市"/>
        <s v="相馬市"/>
        <s v="二本松市"/>
        <s v="田村市"/>
        <s v="南相馬市"/>
        <s v="伊達市"/>
        <s v="本宮市"/>
        <s v="伊達郡桑折町"/>
        <s v="伊達郡国見町"/>
        <s v="伊達郡川俣町"/>
        <s v="安達郡大玉村"/>
        <s v="岩瀬郡鏡石町"/>
        <s v="岩瀬郡天栄村"/>
        <s v="南会津郡下郷町"/>
        <s v="南会津郡檜枝岐村"/>
        <s v="南会津郡只見町"/>
        <s v="南会津郡南会津町"/>
        <s v="耶麻郡北塩原村"/>
        <s v="耶麻郡西会津町"/>
        <s v="耶麻郡磐梯町"/>
        <s v="耶麻郡猪苗代町"/>
        <s v="河沼郡会津坂下町"/>
        <s v="河沼郡湯川村"/>
        <s v="河沼郡柳津町"/>
        <s v="大沼郡三島町"/>
        <s v="大沼郡金山町"/>
        <s v="大沼郡昭和村"/>
        <s v="大沼郡会津美里町"/>
        <s v="西白河郡西郷村"/>
        <s v="西白河郡泉崎村"/>
        <s v="西白河郡中島村"/>
        <s v="西白河郡矢吹町"/>
        <s v="東白川郡棚倉町"/>
        <s v="東白川郡矢祭町"/>
        <s v="東白川郡塙町"/>
        <s v="東白川郡鮫川村"/>
        <s v="石川郡石川町"/>
        <s v="石川郡玉川村"/>
        <s v="石川郡平田村"/>
        <s v="石川郡浅川町"/>
        <s v="石川郡古殿町"/>
        <s v="田村郡三春町"/>
        <s v="田村郡小野町"/>
        <s v="双葉郡広野町"/>
        <s v="双葉郡楢葉町"/>
        <s v="双葉郡富岡町"/>
        <s v="双葉郡川内村"/>
        <s v="双葉郡大熊町"/>
        <s v="双葉郡双葉町"/>
        <s v="双葉郡浪江町"/>
        <s v="双葉郡葛尾村"/>
        <s v="相馬郡新地町"/>
        <s v="相馬郡飯舘村"/>
      </sharedItems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産業分類コード" numFmtId="0" sqlType="-8">
      <sharedItems count="73">
        <s v="78"/>
        <s v="76"/>
        <s v="60"/>
        <s v="69"/>
        <s v="06"/>
        <s v="07"/>
        <s v="58"/>
        <s v="08"/>
        <s v="82"/>
        <s v="83"/>
        <s v="59"/>
        <s v="57"/>
        <s v="74"/>
        <s v="72"/>
        <s v="89"/>
        <s v="85"/>
        <s v="75"/>
        <s v="53"/>
        <s v="54"/>
        <s v="79"/>
        <s v="61"/>
        <s v="68"/>
        <s v="32"/>
        <s v="55"/>
        <s v="52"/>
        <s v="92"/>
        <s v="67"/>
        <s v="77"/>
        <s v="11"/>
        <s v="09"/>
        <s v="21"/>
        <s v="26"/>
        <s v="24"/>
        <s v="13"/>
        <s v="44"/>
        <s v="17"/>
        <s v="28"/>
        <s v="88"/>
        <s v="91"/>
        <s v="18"/>
        <s v="29"/>
        <s v="12"/>
        <s v="30"/>
        <s v="31"/>
        <s v="36"/>
        <s v="39"/>
        <s v="80"/>
        <s v="25"/>
        <s v="05"/>
        <s v="10"/>
        <s v="20"/>
        <s v="40"/>
        <s v="42"/>
        <s v="43"/>
        <s v="47"/>
        <s v="19"/>
        <s v="70"/>
        <s v="95"/>
        <s v="48"/>
        <s v="27"/>
        <s v="16"/>
        <s v="15"/>
        <s v="90"/>
        <s v="33"/>
        <s v="45"/>
        <s v="56"/>
        <s v="38"/>
        <s v="50"/>
        <s v="23"/>
        <s v="46"/>
        <s v="71"/>
        <s v="14"/>
        <s v="41"/>
      </sharedItems>
    </cacheField>
    <cacheField name="産業分類" numFmtId="0" sqlType="-9">
      <sharedItems count="73">
        <s v="洗濯・理容・美容・浴場業"/>
        <s v="飲食店"/>
        <s v="その他の小売業"/>
        <s v="不動産賃貸業・管理業"/>
        <s v="総合工事業"/>
        <s v="職別工事業（設備工事業を除く）"/>
        <s v="飲食料品小売業"/>
        <s v="設備工事業"/>
        <s v="その他の教育，学習支援業"/>
        <s v="医療業"/>
        <s v="機械器具小売業"/>
        <s v="織物・衣服・身の回り品小売業"/>
        <s v="技術サービス業（他に分類されないもの）"/>
        <s v="専門サービス業（他に分類されないもの）"/>
        <s v="自動車整備業"/>
        <s v="社会保険・社会福祉・介護事業"/>
        <s v="宿泊業"/>
        <s v="建築材料，鉱物・金属材料等卸売業"/>
        <s v="機械器具卸売業"/>
        <s v="その他の生活関連サービス業"/>
        <s v="無店舗小売業"/>
        <s v="不動産取引業"/>
        <s v="その他の製造業"/>
        <s v="その他の卸売業"/>
        <s v="飲食料品卸売業"/>
        <s v="その他の事業サービス業"/>
        <s v="保険業（保険媒介代理業，保険サービス業を含む）"/>
        <s v="持ち帰り・配達飲食サービス業"/>
        <s v="繊維工業"/>
        <s v="食料品製造業"/>
        <s v="窯業・土石製品製造業"/>
        <s v="生産用機械器具製造業"/>
        <s v="金属製品製造業"/>
        <s v="家具・装備品製造業"/>
        <s v="道路貨物運送業"/>
        <s v="石油製品・石炭製品製造業"/>
        <s v="電子部品・デバイス・電子回路製造業"/>
        <s v="廃棄物処理業"/>
        <s v="職業紹介・労働者派遣業"/>
        <s v="プラスチック製品製造業（別掲を除く）"/>
        <s v="電気機械器具製造業"/>
        <s v="木材・木製品製造業（家具を除く）"/>
        <s v="情報通信機械器具製造業"/>
        <s v="輸送用機械器具製造業"/>
        <s v="水道業"/>
        <s v="情報サービス業"/>
        <s v="娯楽業"/>
        <s v="はん用機械器具製造業"/>
        <s v="鉱業，採石業，砂利採取業"/>
        <s v="飲料・たばこ・飼料製造業"/>
        <s v="なめし革・同製品・毛皮製造業"/>
        <s v="インターネット附随サービス業"/>
        <s v="鉄道業"/>
        <s v="道路旅客運送業"/>
        <s v="倉庫業"/>
        <s v="ゴム製品製造業"/>
        <s v="物品賃貸業"/>
        <s v="その他のサービス業"/>
        <s v="運輸に附帯するサービス業"/>
        <s v="業務用機械器具製造業"/>
        <s v="化学工業"/>
        <s v="印刷・同関連業"/>
        <s v="機械等修理業（別掲を除く）"/>
        <s v="電気業"/>
        <s v="水運業"/>
        <s v="各種商品小売業"/>
        <s v="放送業"/>
        <s v="各種商品卸売業"/>
        <s v="非鉄金属製造業"/>
        <s v="航空運輸業"/>
        <s v="学術・開発研究機関"/>
        <s v="パルプ・紙・紙加工品製造業"/>
        <s v="映像・音声・文字情報制作業"/>
      </sharedItems>
    </cacheField>
    <cacheField name="産業中分類" numFmtId="0" sqlType="-9">
      <sharedItems count="73">
        <s v="78 洗濯・理容・美容・浴場業"/>
        <s v="76 飲食店"/>
        <s v="60 その他の小売業"/>
        <s v="69 不動産賃貸業・管理業"/>
        <s v="06 総合工事業"/>
        <s v="07 職別工事業（設備工事業を除く）"/>
        <s v="58 飲食料品小売業"/>
        <s v="08 設備工事業"/>
        <s v="82 その他の教育，学習支援業"/>
        <s v="83 医療業"/>
        <s v="59 機械器具小売業"/>
        <s v="57 織物・衣服・身の回り品小売業"/>
        <s v="74 技術サービス業（他に分類されないもの）"/>
        <s v="72 専門サービス業（他に分類されないもの）"/>
        <s v="89 自動車整備業"/>
        <s v="85 社会保険・社会福祉・介護事業"/>
        <s v="75 宿泊業"/>
        <s v="53 建築材料，鉱物・金属材料等卸売業"/>
        <s v="54 機械器具卸売業"/>
        <s v="79 その他の生活関連サービス業"/>
        <s v="61 無店舗小売業"/>
        <s v="68 不動産取引業"/>
        <s v="32 その他の製造業"/>
        <s v="55 その他の卸売業"/>
        <s v="52 飲食料品卸売業"/>
        <s v="92 その他の事業サービス業"/>
        <s v="67 保険業（保険媒介代理業，保険サービス業を含む）"/>
        <s v="77 持ち帰り・配達飲食サービス業"/>
        <s v="11 繊維工業"/>
        <s v="09 食料品製造業"/>
        <s v="21 窯業・土石製品製造業"/>
        <s v="26 生産用機械器具製造業"/>
        <s v="24 金属製品製造業"/>
        <s v="13 家具・装備品製造業"/>
        <s v="44 道路貨物運送業"/>
        <s v="17 石油製品・石炭製品製造業"/>
        <s v="28 電子部品・デバイス・電子回路製造業"/>
        <s v="88 廃棄物処理業"/>
        <s v="91 職業紹介・労働者派遣業"/>
        <s v="18 プラスチック製品製造業（別掲を除く）"/>
        <s v="29 電気機械器具製造業"/>
        <s v="12 木材・木製品製造業（家具を除く）"/>
        <s v="30 情報通信機械器具製造業"/>
        <s v="31 輸送用機械器具製造業"/>
        <s v="36 水道業"/>
        <s v="39 情報サービス業"/>
        <s v="80 娯楽業"/>
        <s v="25 はん用機械器具製造業"/>
        <s v="05 鉱業，採石業，砂利採取業"/>
        <s v="10 飲料・たばこ・飼料製造業"/>
        <s v="20 なめし革・同製品・毛皮製造業"/>
        <s v="40 インターネット附随サービス業"/>
        <s v="42 鉄道業"/>
        <s v="43 道路旅客運送業"/>
        <s v="47 倉庫業"/>
        <s v="19 ゴム製品製造業"/>
        <s v="70 物品賃貸業"/>
        <s v="95 その他のサービス業"/>
        <s v="48 運輸に附帯するサービス業"/>
        <s v="27 業務用機械器具製造業"/>
        <s v="16 化学工業"/>
        <s v="15 印刷・同関連業"/>
        <s v="90 機械等修理業（別掲を除く）"/>
        <s v="33 電気業"/>
        <s v="45 水運業"/>
        <s v="56 各種商品小売業"/>
        <s v="38 放送業"/>
        <s v="50 各種商品卸売業"/>
        <s v="23 非鉄金属製造業"/>
        <s v="46 航空運輸業"/>
        <s v="71 学術・開発研究機関"/>
        <s v="14 パルプ・紙・紙加工品製造業"/>
        <s v="41 映像・音声・文字情報制作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5414" count="186">
        <n v="5414"/>
        <n v="4394"/>
        <n v="3545"/>
        <n v="3310"/>
        <n v="3250"/>
        <n v="2603"/>
        <n v="2445"/>
        <n v="1810"/>
        <n v="1525"/>
        <n v="1456"/>
        <n v="1448"/>
        <n v="1145"/>
        <n v="1064"/>
        <n v="1029"/>
        <n v="771"/>
        <n v="727"/>
        <n v="723"/>
        <n v="638"/>
        <n v="566"/>
        <n v="565"/>
        <n v="761"/>
        <n v="719"/>
        <n v="623"/>
        <n v="492"/>
        <n v="389"/>
        <n v="278"/>
        <n v="236"/>
        <n v="214"/>
        <n v="209"/>
        <n v="208"/>
        <n v="194"/>
        <n v="189"/>
        <n v="185"/>
        <n v="171"/>
        <n v="100"/>
        <n v="98"/>
        <n v="87"/>
        <n v="85"/>
        <n v="84"/>
        <n v="440"/>
        <n v="426"/>
        <n v="272"/>
        <n v="262"/>
        <n v="143"/>
        <n v="129"/>
        <n v="127"/>
        <n v="111"/>
        <n v="110"/>
        <n v="104"/>
        <n v="97"/>
        <n v="90"/>
        <n v="73"/>
        <n v="68"/>
        <n v="50"/>
        <n v="49"/>
        <n v="44"/>
        <n v="879"/>
        <n v="821"/>
        <n v="639"/>
        <n v="493"/>
        <n v="477"/>
        <n v="358"/>
        <n v="302"/>
        <n v="296"/>
        <n v="289"/>
        <n v="258"/>
        <n v="234"/>
        <n v="210"/>
        <n v="202"/>
        <n v="201"/>
        <n v="192"/>
        <n v="148"/>
        <n v="116"/>
        <n v="113"/>
        <n v="107"/>
        <n v="976"/>
        <n v="787"/>
        <n v="541"/>
        <n v="495"/>
        <n v="381"/>
        <n v="371"/>
        <n v="354"/>
        <n v="314"/>
        <n v="295"/>
        <n v="285"/>
        <n v="266"/>
        <n v="221"/>
        <n v="175"/>
        <n v="132"/>
        <n v="131"/>
        <n v="92"/>
        <n v="88"/>
        <n v="183"/>
        <n v="145"/>
        <n v="89"/>
        <n v="80"/>
        <n v="71"/>
        <n v="55"/>
        <n v="47"/>
        <n v="43"/>
        <n v="36"/>
        <n v="33"/>
        <n v="28"/>
        <n v="25"/>
        <n v="23"/>
        <n v="19"/>
        <n v="115"/>
        <n v="81"/>
        <n v="75"/>
        <n v="69"/>
        <n v="57"/>
        <n v="48"/>
        <n v="40"/>
        <n v="39"/>
        <n v="31"/>
        <n v="22"/>
        <n v="179"/>
        <n v="123"/>
        <n v="99"/>
        <n v="82"/>
        <n v="67"/>
        <n v="54"/>
        <n v="52"/>
        <n v="45"/>
        <n v="29"/>
        <n v="24"/>
        <n v="20"/>
        <n v="18"/>
        <n v="121"/>
        <n v="105"/>
        <n v="61"/>
        <n v="58"/>
        <n v="38"/>
        <n v="37"/>
        <n v="35"/>
        <n v="21"/>
        <n v="14"/>
        <n v="13"/>
        <n v="12"/>
        <n v="150"/>
        <n v="139"/>
        <n v="117"/>
        <n v="32"/>
        <n v="17"/>
        <n v="16"/>
        <n v="96"/>
        <n v="94"/>
        <n v="79"/>
        <n v="51"/>
        <n v="30"/>
        <n v="15"/>
        <n v="174"/>
        <n v="118"/>
        <n v="112"/>
        <n v="59"/>
        <n v="53"/>
        <n v="27"/>
        <n v="173"/>
        <n v="168"/>
        <n v="136"/>
        <n v="126"/>
        <n v="120"/>
        <n v="60"/>
        <n v="34"/>
        <n v="77"/>
        <n v="72"/>
        <n v="62"/>
        <n v="10"/>
        <n v="11"/>
        <n v="9"/>
        <n v="8"/>
        <n v="6"/>
        <n v="5"/>
        <n v="4"/>
        <n v="3"/>
        <n v="7"/>
        <n v="2"/>
        <n v="46"/>
        <n v="1"/>
        <n v="41"/>
        <n v="74"/>
        <n v="66"/>
        <n v="64"/>
        <n v="56"/>
        <n v="26"/>
        <n v="42"/>
      </sharedItems>
    </cacheField>
    <cacheField name="構成比" numFmtId="0" sqlType="3">
      <sharedItems containsSemiMixedTypes="0" containsString="0" containsNumber="1" minValue="0.56000000000000005" maxValue="57.75" count="491">
        <n v="11.37"/>
        <n v="9.23"/>
        <n v="7.44"/>
        <n v="6.95"/>
        <n v="6.82"/>
        <n v="5.47"/>
        <n v="5.13"/>
        <n v="3.8"/>
        <n v="3.2"/>
        <n v="3.06"/>
        <n v="3.04"/>
        <n v="2.4"/>
        <n v="2.23"/>
        <n v="2.16"/>
        <n v="1.62"/>
        <n v="1.53"/>
        <n v="1.52"/>
        <n v="1.34"/>
        <n v="1.19"/>
        <n v="11.56"/>
        <n v="10.93"/>
        <n v="9.4700000000000006"/>
        <n v="7.48"/>
        <n v="5.91"/>
        <n v="4.22"/>
        <n v="3.59"/>
        <n v="3.25"/>
        <n v="3.18"/>
        <n v="3.16"/>
        <n v="2.95"/>
        <n v="2.87"/>
        <n v="2.81"/>
        <n v="2.6"/>
        <n v="1.49"/>
        <n v="1.32"/>
        <n v="1.29"/>
        <n v="1.28"/>
        <n v="12.2"/>
        <n v="11.81"/>
        <n v="7.54"/>
        <n v="7.27"/>
        <n v="5.8"/>
        <n v="3.97"/>
        <n v="3.58"/>
        <n v="3.52"/>
        <n v="3.08"/>
        <n v="3.05"/>
        <n v="2.88"/>
        <n v="2.77"/>
        <n v="2.69"/>
        <n v="2.5"/>
        <n v="2.02"/>
        <n v="1.89"/>
        <n v="1.39"/>
        <n v="1.36"/>
        <n v="1.22"/>
        <n v="10.61"/>
        <n v="9.91"/>
        <n v="7.72"/>
        <n v="5.95"/>
        <n v="5.76"/>
        <n v="4.32"/>
        <n v="3.65"/>
        <n v="3.57"/>
        <n v="3.49"/>
        <n v="3.12"/>
        <n v="2.83"/>
        <n v="2.54"/>
        <n v="2.44"/>
        <n v="2.4300000000000002"/>
        <n v="2.3199999999999998"/>
        <n v="1.79"/>
        <n v="1.4"/>
        <n v="12.6"/>
        <n v="10.16"/>
        <n v="6.98"/>
        <n v="6.39"/>
        <n v="4.92"/>
        <n v="4.79"/>
        <n v="4.57"/>
        <n v="4.05"/>
        <n v="3.81"/>
        <n v="3.68"/>
        <n v="3.43"/>
        <n v="2.85"/>
        <n v="2.39"/>
        <n v="2.2599999999999998"/>
        <n v="1.7"/>
        <n v="1.69"/>
        <n v="1.5"/>
        <n v="1.38"/>
        <n v="1.1399999999999999"/>
        <n v="11.96"/>
        <n v="11.58"/>
        <n v="9.18"/>
        <n v="6.2"/>
        <n v="5.63"/>
        <n v="5.0599999999999996"/>
        <n v="4.49"/>
        <n v="3.48"/>
        <n v="2.97"/>
        <n v="2.72"/>
        <n v="2.2799999999999998"/>
        <n v="2.09"/>
        <n v="1.77"/>
        <n v="1.58"/>
        <n v="1.46"/>
        <n v="1.2"/>
        <n v="10.6"/>
        <n v="7.05"/>
        <n v="6.34"/>
        <n v="6.28"/>
        <n v="5.36"/>
        <n v="4.43"/>
        <n v="4.0999999999999996"/>
        <n v="3.77"/>
        <n v="3.11"/>
        <n v="2.62"/>
        <n v="2.19"/>
        <n v="2.13"/>
        <n v="1.8"/>
        <n v="1.26"/>
        <n v="13.33"/>
        <n v="10.8"/>
        <n v="9.16"/>
        <n v="7.37"/>
        <n v="6.11"/>
        <n v="4.99"/>
        <n v="4.0199999999999996"/>
        <n v="3.87"/>
        <n v="3.72"/>
        <n v="3.35"/>
        <n v="2.46"/>
        <n v="2.08"/>
        <n v="1.71"/>
        <n v="12.47"/>
        <n v="11.86"/>
        <n v="10.82"/>
        <n v="6.29"/>
        <n v="5.98"/>
        <n v="3.92"/>
        <n v="3.61"/>
        <n v="2.99"/>
        <n v="2.4700000000000002"/>
        <n v="2.37"/>
        <n v="2.27"/>
        <n v="1.96"/>
        <n v="1.44"/>
        <n v="1.24"/>
        <n v="9.83"/>
        <n v="8.27"/>
        <n v="8.1999999999999993"/>
        <n v="7.85"/>
        <n v="7.07"/>
        <n v="6.86"/>
        <n v="3.32"/>
        <n v="2.5499999999999998"/>
        <n v="2.0499999999999998"/>
        <n v="1.41"/>
        <n v="1.27"/>
        <n v="1.1299999999999999"/>
        <n v="11.33"/>
        <n v="10.53"/>
        <n v="9.6300000000000008"/>
        <n v="9.43"/>
        <n v="7.92"/>
        <n v="5.12"/>
        <n v="3.01"/>
        <n v="2.91"/>
        <n v="2.21"/>
        <n v="2.11"/>
        <n v="2.0099999999999998"/>
        <n v="1.6"/>
        <n v="11.45"/>
        <n v="7.97"/>
        <n v="7.77"/>
        <n v="6.85"/>
        <n v="4.67"/>
        <n v="4.41"/>
        <n v="3.88"/>
        <n v="3.36"/>
        <n v="2.96"/>
        <n v="2.04"/>
        <n v="1.97"/>
        <n v="1.84"/>
        <n v="1.78"/>
        <n v="11.05"/>
        <n v="8.94"/>
        <n v="8.2799999999999994"/>
        <n v="7.89"/>
        <n v="7.36"/>
        <n v="6.18"/>
        <n v="3.94"/>
        <n v="2.2400000000000002"/>
        <n v="1.91"/>
        <n v="1.31"/>
        <n v="1.18"/>
        <n v="1.1200000000000001"/>
        <n v="0.99"/>
        <n v="10.95"/>
        <n v="10.41"/>
        <n v="9.73"/>
        <n v="8.3800000000000008"/>
        <n v="7.16"/>
        <n v="5.14"/>
        <n v="5"/>
        <n v="3.38"/>
        <n v="2.57"/>
        <n v="1.76"/>
        <n v="1.35"/>
        <n v="10.27"/>
        <n v="9.1300000000000008"/>
        <n v="7.22"/>
        <n v="6.46"/>
        <n v="6.08"/>
        <n v="5.7"/>
        <n v="4.18"/>
        <n v="3.42"/>
        <n v="1.9"/>
        <n v="12.5"/>
        <n v="10.87"/>
        <n v="9.7799999999999994"/>
        <n v="9.24"/>
        <n v="5.43"/>
        <n v="4.8899999999999997"/>
        <n v="3.26"/>
        <n v="2.17"/>
        <n v="1.63"/>
        <n v="1.0900000000000001"/>
        <n v="12.07"/>
        <n v="9.9700000000000006"/>
        <n v="7.87"/>
        <n v="7.09"/>
        <n v="5.51"/>
        <n v="4.72"/>
        <n v="4.46"/>
        <n v="2.36"/>
        <n v="2.1"/>
        <n v="1.57"/>
        <n v="10.42"/>
        <n v="7.64"/>
        <n v="6.94"/>
        <n v="6.25"/>
        <n v="4.8600000000000003"/>
        <n v="4.17"/>
        <n v="2.78"/>
        <n v="0.69"/>
        <n v="11.99"/>
        <n v="9.15"/>
        <n v="7.57"/>
        <n v="5.68"/>
        <n v="3.79"/>
        <n v="3.47"/>
        <n v="3.15"/>
        <n v="2.84"/>
        <n v="2.52"/>
        <n v="11.72"/>
        <n v="10.94"/>
        <n v="8.59"/>
        <n v="7.03"/>
        <n v="3.91"/>
        <n v="3.13"/>
        <n v="2.34"/>
        <n v="1.56"/>
        <n v="0.78"/>
        <n v="14.66"/>
        <n v="11.64"/>
        <n v="9.0500000000000007"/>
        <n v="7.33"/>
        <n v="3.45"/>
        <n v="2.59"/>
        <n v="1.72"/>
        <n v="0.86"/>
        <n v="57.75"/>
        <n v="8.4499999999999993"/>
        <n v="7.04"/>
        <n v="4.2300000000000004"/>
        <n v="2.82"/>
        <n v="16.23"/>
        <n v="11.52"/>
        <n v="9.9499999999999993"/>
        <n v="6.81"/>
        <n v="5.24"/>
        <n v="4.1900000000000004"/>
        <n v="3.14"/>
        <n v="1.05"/>
        <n v="11.26"/>
        <n v="10.050000000000001"/>
        <n v="9.2799999999999994"/>
        <n v="8.83"/>
        <n v="6.7"/>
        <n v="1.67"/>
        <n v="1.37"/>
        <n v="1.07"/>
        <n v="49.72"/>
        <n v="7.26"/>
        <n v="4.47"/>
        <n v="2.79"/>
        <n v="1.68"/>
        <n v="0.56000000000000005"/>
        <n v="12.08"/>
        <n v="11.11"/>
        <n v="10.63"/>
        <n v="8.6999999999999993"/>
        <n v="4.3499999999999996"/>
        <n v="3.86"/>
        <n v="2.9"/>
        <n v="2.42"/>
        <n v="1.93"/>
        <n v="1.45"/>
        <n v="0.97"/>
        <n v="15.94"/>
        <n v="10.14"/>
        <n v="7.25"/>
        <n v="10.46"/>
        <n v="10.039999999999999"/>
        <n v="9.6199999999999992"/>
        <n v="7.53"/>
        <n v="5.86"/>
        <n v="4.8099999999999996"/>
        <n v="3.56"/>
        <n v="2.5099999999999998"/>
        <n v="2.2999999999999998"/>
        <n v="12.67"/>
        <n v="11.68"/>
        <n v="10.69"/>
        <n v="6.93"/>
        <n v="3.37"/>
        <n v="2.38"/>
        <n v="10.34"/>
        <n v="6.9"/>
        <n v="5.17"/>
        <n v="15"/>
        <n v="11.67"/>
        <n v="10"/>
        <n v="9.17"/>
        <n v="7.5"/>
        <n v="5.83"/>
        <n v="3.33"/>
        <n v="0.83"/>
        <n v="17.309999999999999"/>
        <n v="11.54"/>
        <n v="7.69"/>
        <n v="5.77"/>
        <n v="3.85"/>
        <n v="1.92"/>
        <n v="12.82"/>
        <n v="11.97"/>
        <n v="9.4"/>
        <n v="8.5500000000000007"/>
        <n v="2.56"/>
        <n v="0.85"/>
        <n v="12.96"/>
        <n v="9.26"/>
        <n v="7.41"/>
        <n v="5.56"/>
        <n v="3.7"/>
        <n v="1.85"/>
        <n v="13.62"/>
        <n v="9.6"/>
        <n v="8.0399999999999991"/>
        <n v="7.81"/>
        <n v="7.14"/>
        <n v="4.91"/>
        <n v="8.23"/>
        <n v="7.73"/>
        <n v="6.23"/>
        <n v="5.74"/>
        <n v="3.99"/>
        <n v="3.74"/>
        <n v="3.24"/>
        <n v="2.74"/>
        <n v="2.4900000000000002"/>
        <n v="1.75"/>
        <n v="1.25"/>
        <n v="10.83"/>
        <n v="8.33"/>
        <n v="6.67"/>
        <n v="15.15"/>
        <n v="10.1"/>
        <n v="8.08"/>
        <n v="5.05"/>
        <n v="4.04"/>
        <n v="3.03"/>
        <n v="1.01"/>
        <n v="12.71"/>
        <n v="8.56"/>
        <n v="8.31"/>
        <n v="4.4000000000000004"/>
        <n v="3.67"/>
        <n v="2.93"/>
        <n v="1.47"/>
        <n v="13"/>
        <n v="12.56"/>
        <n v="8.07"/>
        <n v="6.05"/>
        <n v="0.9"/>
        <n v="15.23"/>
        <n v="10.66"/>
        <n v="9.64"/>
        <n v="9.14"/>
        <n v="6.6"/>
        <n v="5.58"/>
        <n v="3.55"/>
        <n v="2.0299999999999998"/>
        <n v="1.02"/>
        <n v="11.57"/>
        <n v="10.09"/>
        <n v="9.1999999999999993"/>
        <n v="8.01"/>
        <n v="7.12"/>
        <n v="5.34"/>
        <n v="2.67"/>
        <n v="1.48"/>
        <n v="20.65"/>
        <n v="7.61"/>
        <n v="12.28"/>
        <n v="9.9"/>
        <n v="6.73"/>
        <n v="4.55"/>
        <n v="3.96"/>
        <n v="2.1800000000000002"/>
        <n v="12.69"/>
        <n v="11.17"/>
        <n v="8.1199999999999992"/>
        <n v="5.08"/>
        <n v="12.05"/>
        <n v="10.84"/>
        <n v="7.23"/>
        <n v="6.02"/>
        <n v="1.81"/>
        <n v="0.6"/>
        <n v="13.02"/>
        <n v="9.3800000000000008"/>
        <n v="8.85"/>
        <n v="7.29"/>
        <n v="5.73"/>
        <n v="4.6900000000000004"/>
        <n v="15.25"/>
        <n v="10.17"/>
        <n v="7.34"/>
        <n v="5.65"/>
        <n v="3.39"/>
        <n v="10.36"/>
        <n v="9.59"/>
        <n v="8.0299999999999994"/>
        <n v="6.48"/>
        <n v="3.63"/>
        <n v="2.0699999999999998"/>
        <n v="1.55"/>
        <n v="1.3"/>
        <n v="14.09"/>
        <n v="10.4"/>
        <n v="9.06"/>
        <n v="8.7200000000000006"/>
        <n v="8.0500000000000007"/>
        <n v="5.03"/>
        <n v="3.69"/>
        <n v="3.02"/>
        <n v="2.68"/>
        <n v="2.35"/>
        <n v="14.05"/>
        <n v="9.09"/>
        <n v="8.26"/>
        <n v="4.96"/>
        <n v="3.31"/>
        <n v="2.48"/>
        <n v="1.65"/>
        <n v="15.38"/>
        <n v="10.58"/>
        <n v="12.12"/>
        <n v="7.58"/>
        <n v="6.06"/>
        <n v="17.78"/>
        <n v="8.89"/>
        <n v="4.4400000000000004"/>
        <n v="2.2200000000000002"/>
        <n v="22.22"/>
        <n v="33.33"/>
        <n v="15.56"/>
        <n v="16.670000000000002"/>
        <n v="12.37"/>
        <n v="11.29"/>
        <n v="6.99"/>
        <n v="5.38"/>
        <n v="4.84"/>
        <n v="3.76"/>
        <n v="3.23"/>
        <n v="2.15"/>
        <n v="1.61"/>
        <n v="30"/>
      </sharedItems>
    </cacheField>
    <cacheField name="総数（個人）" numFmtId="0" sqlType="4">
      <sharedItems containsSemiMixedTypes="0" containsString="0" containsNumber="1" containsInteger="1" minValue="0" maxValue="4700" count="137">
        <n v="4700"/>
        <n v="3660"/>
        <n v="1714"/>
        <n v="1798"/>
        <n v="940"/>
        <n v="1192"/>
        <n v="1694"/>
        <n v="400"/>
        <n v="971"/>
        <n v="1251"/>
        <n v="766"/>
        <n v="577"/>
        <n v="361"/>
        <n v="620"/>
        <n v="508"/>
        <n v="19"/>
        <n v="473"/>
        <n v="104"/>
        <n v="39"/>
        <n v="220"/>
        <n v="504"/>
        <n v="555"/>
        <n v="489"/>
        <n v="212"/>
        <n v="75"/>
        <n v="160"/>
        <n v="79"/>
        <n v="92"/>
        <n v="28"/>
        <n v="186"/>
        <n v="121"/>
        <n v="113"/>
        <n v="54"/>
        <n v="6"/>
        <n v="51"/>
        <n v="31"/>
        <n v="26"/>
        <n v="3"/>
        <n v="4"/>
        <n v="365"/>
        <n v="382"/>
        <n v="139"/>
        <n v="129"/>
        <n v="59"/>
        <n v="61"/>
        <n v="29"/>
        <n v="74"/>
        <n v="65"/>
        <n v="68"/>
        <n v="44"/>
        <n v="14"/>
        <n v="21"/>
        <n v="9"/>
        <n v="717"/>
        <n v="354"/>
        <n v="506"/>
        <n v="62"/>
        <n v="124"/>
        <n v="198"/>
        <n v="240"/>
        <n v="182"/>
        <n v="158"/>
        <n v="133"/>
        <n v="53"/>
        <n v="24"/>
        <n v="89"/>
        <n v="5"/>
        <n v="841"/>
        <n v="636"/>
        <n v="209"/>
        <n v="69"/>
        <n v="244"/>
        <n v="106"/>
        <n v="34"/>
        <n v="230"/>
        <n v="97"/>
        <n v="90"/>
        <n v="78"/>
        <n v="12"/>
        <n v="36"/>
        <n v="7"/>
        <n v="166"/>
        <n v="157"/>
        <n v="81"/>
        <n v="25"/>
        <n v="58"/>
        <n v="49"/>
        <n v="52"/>
        <n v="18"/>
        <n v="17"/>
        <n v="1"/>
        <n v="2"/>
        <n v="175"/>
        <n v="43"/>
        <n v="72"/>
        <n v="67"/>
        <n v="15"/>
        <n v="0"/>
        <n v="10"/>
        <n v="22"/>
        <n v="170"/>
        <n v="135"/>
        <n v="70"/>
        <n v="80"/>
        <n v="42"/>
        <n v="46"/>
        <n v="47"/>
        <n v="27"/>
        <n v="16"/>
        <n v="13"/>
        <n v="107"/>
        <n v="110"/>
        <n v="48"/>
        <n v="20"/>
        <n v="134"/>
        <n v="119"/>
        <n v="66"/>
        <n v="94"/>
        <n v="23"/>
        <n v="50"/>
        <n v="64"/>
        <n v="8"/>
        <n v="151"/>
        <n v="105"/>
        <n v="83"/>
        <n v="57"/>
        <n v="35"/>
        <n v="155"/>
        <n v="77"/>
        <n v="33"/>
        <n v="38"/>
        <n v="11"/>
        <n v="40"/>
        <n v="30"/>
        <n v="73"/>
        <n v="32"/>
        <n v="60"/>
      </sharedItems>
    </cacheField>
    <cacheField name="構成比（個人）" numFmtId="0" sqlType="3">
      <sharedItems containsString="0" containsBlank="1" containsNumber="1" minValue="0" maxValue="66.67" count="520">
        <n v="19.32"/>
        <n v="15.05"/>
        <n v="7.05"/>
        <n v="7.39"/>
        <n v="3.86"/>
        <n v="4.9000000000000004"/>
        <n v="6.96"/>
        <n v="1.64"/>
        <n v="3.99"/>
        <n v="5.14"/>
        <n v="3.15"/>
        <n v="2.37"/>
        <n v="1.48"/>
        <n v="2.5499999999999998"/>
        <n v="2.09"/>
        <n v="0.08"/>
        <n v="1.94"/>
        <n v="0.43"/>
        <n v="0.16"/>
        <n v="0.9"/>
        <n v="16.350000000000001"/>
        <n v="18"/>
        <n v="15.86"/>
        <n v="6.88"/>
        <n v="2.4300000000000002"/>
        <n v="5.19"/>
        <n v="2.56"/>
        <n v="2.98"/>
        <n v="0.91"/>
        <n v="6.03"/>
        <n v="3.92"/>
        <n v="3.67"/>
        <n v="1.75"/>
        <n v="0.19"/>
        <n v="1.65"/>
        <n v="1.01"/>
        <n v="0.84"/>
        <n v="0.1"/>
        <n v="0.13"/>
        <n v="19.47"/>
        <n v="20.37"/>
        <n v="7.41"/>
        <n v="3.25"/>
        <n v="1.55"/>
        <n v="4.21"/>
        <n v="3.95"/>
        <n v="3.47"/>
        <n v="3.63"/>
        <n v="2.35"/>
        <n v="0.75"/>
        <n v="1.1200000000000001"/>
        <n v="0.21"/>
        <n v="0.48"/>
        <n v="21.52"/>
        <n v="10.62"/>
        <n v="15.19"/>
        <n v="1.86"/>
        <n v="3.72"/>
        <n v="5.94"/>
        <n v="1.17"/>
        <n v="7.2"/>
        <n v="5.46"/>
        <n v="4.74"/>
        <n v="1.59"/>
        <n v="0.09"/>
        <n v="2.04"/>
        <n v="0.72"/>
        <n v="2.67"/>
        <n v="0.27"/>
        <n v="0.15"/>
        <n v="24.96"/>
        <n v="18.87"/>
        <n v="6.2"/>
        <n v="2.0499999999999998"/>
        <n v="7.24"/>
        <n v="0.92"/>
        <n v="5.4"/>
        <n v="6.82"/>
        <n v="3.35"/>
        <n v="2.88"/>
        <n v="1.81"/>
        <n v="2.31"/>
        <n v="0.12"/>
        <n v="0.36"/>
        <n v="1.07"/>
        <n v="18.649999999999999"/>
        <n v="17.64"/>
        <n v="9.1"/>
        <n v="4.38"/>
        <n v="2.81"/>
        <n v="6.52"/>
        <n v="5.51"/>
        <n v="5.84"/>
        <n v="2.92"/>
        <n v="1.57"/>
        <n v="2.02"/>
        <n v="3.26"/>
        <n v="1.91"/>
        <n v="0.11"/>
        <n v="0.56000000000000005"/>
        <n v="0.22"/>
        <n v="0.79"/>
        <n v="17.97"/>
        <n v="16.43"/>
        <n v="6.26"/>
        <n v="6.06"/>
        <n v="4.41"/>
        <n v="2.57"/>
        <n v="1.54"/>
        <n v="3.18"/>
        <n v="0"/>
        <n v="1.03"/>
        <n v="1.85"/>
        <n v="2.2599999999999998"/>
        <n v="0.62"/>
        <n v="0.31"/>
        <n v="19.68"/>
        <n v="15.63"/>
        <n v="8.1"/>
        <n v="9.26"/>
        <n v="4.8600000000000003"/>
        <n v="5.32"/>
        <n v="5.44"/>
        <n v="3.13"/>
        <n v="3.59"/>
        <n v="2.08"/>
        <n v="1.5"/>
        <n v="1.62"/>
        <n v="1.97"/>
        <n v="0.35"/>
        <n v="0.46"/>
        <n v="19.399999999999999"/>
        <n v="8.4700000000000006"/>
        <n v="3.53"/>
        <n v="7.58"/>
        <n v="4.2300000000000004"/>
        <n v="3"/>
        <n v="3.7"/>
        <n v="2.65"/>
        <n v="2.82"/>
        <n v="1.76"/>
        <n v="0.18"/>
        <n v="0.88"/>
        <n v="15.64"/>
        <n v="13.89"/>
        <n v="7.7"/>
        <n v="10.97"/>
        <n v="5.13"/>
        <n v="8.75"/>
        <n v="1.87"/>
        <n v="3.97"/>
        <n v="2.68"/>
        <n v="2.2200000000000002"/>
        <n v="1.05"/>
        <n v="0.7"/>
        <n v="0.82"/>
        <n v="0.57999999999999996"/>
        <n v="8.49"/>
        <n v="8.15"/>
        <n v="9"/>
        <n v="10.87"/>
        <n v="7.3"/>
        <n v="3.74"/>
        <n v="3.4"/>
        <n v="3.9"/>
        <n v="2.72"/>
        <n v="2.21"/>
        <n v="0.68"/>
        <n v="0.85"/>
        <n v="1.53"/>
        <n v="1.36"/>
        <n v="18.920000000000002"/>
        <n v="13.16"/>
        <n v="10.4"/>
        <n v="7.14"/>
        <n v="6.02"/>
        <n v="1.1299999999999999"/>
        <n v="5.76"/>
        <n v="4.3899999999999997"/>
        <n v="2.0099999999999998"/>
        <n v="0.5"/>
        <n v="2.38"/>
        <n v="2.63"/>
        <n v="1"/>
        <n v="0.63"/>
        <n v="15.98"/>
        <n v="13.81"/>
        <n v="7.94"/>
        <n v="5.88"/>
        <n v="8.56"/>
        <n v="10.72"/>
        <n v="7.42"/>
        <n v="3.71"/>
        <n v="1.34"/>
        <n v="2.27"/>
        <n v="1.96"/>
        <n v="0.93"/>
        <n v="1.24"/>
        <n v="0.52"/>
        <n v="13.67"/>
        <n v="16.07"/>
        <n v="6.95"/>
        <n v="9.11"/>
        <n v="10.07"/>
        <n v="5.28"/>
        <n v="6"/>
        <n v="4.32"/>
        <n v="2.4"/>
        <n v="1.92"/>
        <n v="1.2"/>
        <n v="0.96"/>
        <n v="2.64"/>
        <n v="0.24"/>
        <n v="11.39"/>
        <n v="16.46"/>
        <n v="8.86"/>
        <n v="5.7"/>
        <n v="4.43"/>
        <n v="5.0599999999999996"/>
        <n v="2.5299999999999998"/>
        <n v="1.9"/>
        <n v="1.27"/>
        <n v="10.99"/>
        <n v="20.88"/>
        <n v="13.19"/>
        <n v="2.2000000000000002"/>
        <n v="4.4000000000000004"/>
        <n v="5.49"/>
        <n v="6.59"/>
        <n v="1.1000000000000001"/>
        <n v="3.3"/>
        <n v="16.88"/>
        <n v="13.08"/>
        <n v="8.02"/>
        <n v="3.38"/>
        <n v="8.44"/>
        <n v="4.22"/>
        <n v="3.8"/>
        <n v="2.95"/>
        <n v="2.11"/>
        <n v="0.42"/>
        <n v="21.33"/>
        <n v="9.33"/>
        <n v="12"/>
        <n v="5.33"/>
        <n v="10.67"/>
        <n v="4"/>
        <n v="6.67"/>
        <n v="1.33"/>
        <n v="19.350000000000001"/>
        <n v="16.13"/>
        <n v="8.39"/>
        <n v="7.1"/>
        <n v="3.87"/>
        <n v="3.23"/>
        <n v="4.5199999999999996"/>
        <n v="2.58"/>
        <n v="0.65"/>
        <n v="1.29"/>
        <n v="8.33"/>
        <n v="15.28"/>
        <n v="9.7200000000000006"/>
        <n v="11.11"/>
        <n v="5.56"/>
        <n v="2.78"/>
        <n v="1.39"/>
        <n v="15.75"/>
        <n v="13.01"/>
        <n v="17.12"/>
        <n v="4.79"/>
        <n v="8.2200000000000006"/>
        <n v="4.1100000000000003"/>
        <n v="2.74"/>
        <n v="1.37"/>
        <n v="65.38"/>
        <n v="11.54"/>
        <n v="7.69"/>
        <n v="3.85"/>
        <n v="21.48"/>
        <n v="16.3"/>
        <n v="11.85"/>
        <n v="8.89"/>
        <n v="2.96"/>
        <n v="4.4400000000000004"/>
        <n v="0.74"/>
        <n v="16.78"/>
        <n v="15.17"/>
        <n v="10.8"/>
        <n v="13.56"/>
        <n v="4.37"/>
        <n v="5.52"/>
        <n v="2.99"/>
        <n v="3.22"/>
        <n v="1.84"/>
        <n v="1.61"/>
        <n v="0.23"/>
        <n v="61.54"/>
        <n v="9.4"/>
        <n v="3.42"/>
        <n v="5.98"/>
        <n v="1.71"/>
        <n v="15.11"/>
        <n v="16.55"/>
        <n v="11.51"/>
        <n v="7.19"/>
        <n v="8.6300000000000008"/>
        <n v="12.23"/>
        <n v="1.44"/>
        <n v="3.6"/>
        <n v="2.16"/>
        <n v="21.62"/>
        <n v="13.51"/>
        <n v="10.81"/>
        <n v="2.7"/>
        <n v="5.41"/>
        <n v="13.69"/>
        <n v="14.45"/>
        <n v="15.97"/>
        <n v="4.9400000000000004"/>
        <n v="7.22"/>
        <n v="3.04"/>
        <n v="6.46"/>
        <n v="1.52"/>
        <n v="0.76"/>
        <n v="0.38"/>
        <n v="1.1399999999999999"/>
        <n v="18.48"/>
        <n v="15.45"/>
        <n v="10.61"/>
        <n v="9.6999999999999993"/>
        <n v="4.55"/>
        <n v="7.27"/>
        <n v="3.03"/>
        <n v="3.64"/>
        <n v="2.12"/>
        <n v="2.73"/>
        <n v="1.21"/>
        <n v="0.61"/>
        <n v="0.3"/>
        <n v="14.81"/>
        <n v="17.28"/>
        <n v="9.8800000000000008"/>
        <n v="12.35"/>
        <n v="6.17"/>
        <n v="2.4700000000000002"/>
        <n v="1.23"/>
        <n v="32.14"/>
        <n v="14.29"/>
        <n v="17.86"/>
        <n v="3.57"/>
        <n v="16.05"/>
        <n v="8.64"/>
        <n v="19.440000000000001"/>
        <n v="20.07"/>
        <n v="9.0299999999999994"/>
        <n v="6.69"/>
        <n v="10.37"/>
        <n v="7.36"/>
        <n v="9.36"/>
        <n v="3.34"/>
        <n v="5.35"/>
        <n v="3.68"/>
        <n v="2.34"/>
        <n v="1.67"/>
        <n v="13.78"/>
        <n v="5.61"/>
        <n v="9.18"/>
        <n v="4.59"/>
        <n v="4.08"/>
        <n v="6.63"/>
        <n v="3.06"/>
        <n v="0.51"/>
        <n v="1.02"/>
        <n v="22.81"/>
        <n v="7.02"/>
        <n v="15.79"/>
        <n v="8.77"/>
        <n v="5.26"/>
        <n v="3.51"/>
        <n v="9.84"/>
        <n v="11.48"/>
        <n v="16.39"/>
        <n v="13.11"/>
        <n v="3.28"/>
        <n v="6.56"/>
        <n v="4.92"/>
        <n v="19.5"/>
        <n v="9.5399999999999991"/>
        <n v="4.5599999999999996"/>
        <n v="13.28"/>
        <n v="4.1500000000000004"/>
        <n v="2.4900000000000002"/>
        <n v="1.66"/>
        <n v="3.73"/>
        <n v="3.32"/>
        <n v="2.0699999999999998"/>
        <n v="0.41"/>
        <n v="18.239999999999998"/>
        <n v="17.57"/>
        <n v="6.76"/>
        <n v="7.09"/>
        <n v="9.4600000000000009"/>
        <n v="2.0299999999999998"/>
        <n v="2.36"/>
        <n v="1.35"/>
        <n v="0.34"/>
        <n v="17.93"/>
        <n v="9.66"/>
        <n v="13.1"/>
        <n v="11.72"/>
        <n v="6.9"/>
        <n v="3.45"/>
        <n v="4.1399999999999997"/>
        <n v="2.76"/>
        <n v="0.69"/>
        <n v="1.38"/>
        <n v="12.05"/>
        <n v="13.25"/>
        <n v="10.039999999999999"/>
        <n v="7.63"/>
        <n v="8.84"/>
        <n v="5.22"/>
        <n v="4.0199999999999996"/>
        <n v="3.61"/>
        <n v="2.41"/>
        <n v="0.4"/>
        <n v="0.8"/>
        <n v="18.84"/>
        <n v="14.49"/>
        <n v="13.04"/>
        <n v="11.59"/>
        <n v="10.14"/>
        <n v="7.25"/>
        <n v="4.3499999999999996"/>
        <n v="2.9"/>
        <n v="1.45"/>
        <n v="19.02"/>
        <n v="8.1999999999999993"/>
        <n v="5.25"/>
        <n v="10.49"/>
        <n v="10.16"/>
        <n v="7.54"/>
        <n v="2.2999999999999998"/>
        <n v="0.98"/>
        <n v="0.66"/>
        <n v="12.9"/>
        <n v="12.1"/>
        <n v="8.8699999999999992"/>
        <n v="6.45"/>
        <n v="5.65"/>
        <n v="2.42"/>
        <n v="4.84"/>
        <n v="4.03"/>
        <n v="0.81"/>
        <n v="20.83"/>
        <n v="19.79"/>
        <n v="5.21"/>
        <n v="11.46"/>
        <n v="6.25"/>
        <n v="1.04"/>
        <n v="17.14"/>
        <n v="8.57"/>
        <n v="9.2899999999999991"/>
        <n v="10"/>
        <n v="7.86"/>
        <n v="6.43"/>
        <n v="4.29"/>
        <n v="1.43"/>
        <n v="2.14"/>
        <n v="2.86"/>
        <n v="0.71"/>
        <n v="10.53"/>
        <n v="11.28"/>
        <n v="12.78"/>
        <n v="7.52"/>
        <n v="6.77"/>
        <n v="3.76"/>
        <n v="4.51"/>
        <n v="3.01"/>
        <n v="18.63"/>
        <n v="14.71"/>
        <n v="7.35"/>
        <n v="8.82"/>
        <n v="5.39"/>
        <n v="7.84"/>
        <n v="3.43"/>
        <n v="2.4500000000000002"/>
        <n v="2.94"/>
        <n v="0.49"/>
        <n v="1.47"/>
        <n v="21.31"/>
        <n v="10.93"/>
        <n v="3.83"/>
        <n v="2.19"/>
        <n v="1.0900000000000001"/>
        <n v="0.55000000000000004"/>
        <n v="18.18"/>
        <n v="20.45"/>
        <n v="11.36"/>
        <n v="13.64"/>
        <n v="22.73"/>
        <n v="15.91"/>
        <n v="28.57"/>
        <n v="29.17"/>
        <n v="12.5"/>
        <n v="16.670000000000002"/>
        <n v="4.17"/>
        <n v="66.67"/>
        <n v="33.33"/>
        <m/>
        <n v="35.71"/>
        <n v="21.43"/>
        <n v="24.47"/>
        <n v="4.26"/>
        <n v="12.77"/>
        <n v="9.57"/>
        <n v="2.13"/>
        <n v="3.19"/>
        <n v="1.06"/>
        <n v="53.85"/>
      </sharedItems>
    </cacheField>
    <cacheField name="総数（法人）" numFmtId="0" sqlType="4">
      <sharedItems containsSemiMixedTypes="0" containsString="0" containsNumber="1" containsInteger="1" minValue="0" maxValue="2309" count="130">
        <n v="711"/>
        <n v="732"/>
        <n v="1819"/>
        <n v="1501"/>
        <n v="2309"/>
        <n v="1411"/>
        <n v="728"/>
        <n v="1410"/>
        <n v="381"/>
        <n v="203"/>
        <n v="681"/>
        <n v="567"/>
        <n v="694"/>
        <n v="409"/>
        <n v="263"/>
        <n v="618"/>
        <n v="247"/>
        <n v="534"/>
        <n v="527"/>
        <n v="338"/>
        <n v="255"/>
        <n v="161"/>
        <n v="134"/>
        <n v="278"/>
        <n v="314"/>
        <n v="117"/>
        <n v="157"/>
        <n v="122"/>
        <n v="181"/>
        <n v="22"/>
        <n v="70"/>
        <n v="76"/>
        <n v="131"/>
        <n v="96"/>
        <n v="91"/>
        <n v="47"/>
        <n v="54"/>
        <n v="59"/>
        <n v="82"/>
        <n v="80"/>
        <n v="75"/>
        <n v="44"/>
        <n v="133"/>
        <n v="150"/>
        <n v="100"/>
        <n v="46"/>
        <n v="52"/>
        <n v="30"/>
        <n v="39"/>
        <n v="32"/>
        <n v="53"/>
        <n v="11"/>
        <n v="45"/>
        <n v="35"/>
        <n v="41"/>
        <n v="162"/>
        <n v="464"/>
        <n v="431"/>
        <n v="353"/>
        <n v="277"/>
        <n v="319"/>
        <n v="62"/>
        <n v="79"/>
        <n v="127"/>
        <n v="125"/>
        <n v="180"/>
        <n v="207"/>
        <n v="177"/>
        <n v="103"/>
        <n v="139"/>
        <n v="107"/>
        <n v="104"/>
        <n v="135"/>
        <n v="151"/>
        <n v="331"/>
        <n v="426"/>
        <n v="265"/>
        <n v="323"/>
        <n v="280"/>
        <n v="55"/>
        <n v="153"/>
        <n v="124"/>
        <n v="85"/>
        <n v="126"/>
        <n v="71"/>
        <n v="81"/>
        <n v="23"/>
        <n v="26"/>
        <n v="63"/>
        <n v="64"/>
        <n v="19"/>
        <n v="16"/>
        <n v="3"/>
        <n v="24"/>
        <n v="33"/>
        <n v="25"/>
        <n v="7"/>
        <n v="27"/>
        <n v="18"/>
        <n v="10"/>
        <n v="12"/>
        <n v="2"/>
        <n v="34"/>
        <n v="68"/>
        <n v="57"/>
        <n v="72"/>
        <n v="9"/>
        <n v="8"/>
        <n v="42"/>
        <n v="20"/>
        <n v="14"/>
        <n v="17"/>
        <n v="40"/>
        <n v="21"/>
        <n v="13"/>
        <n v="15"/>
        <n v="1"/>
        <n v="4"/>
        <n v="5"/>
        <n v="56"/>
        <n v="6"/>
        <n v="51"/>
        <n v="31"/>
        <n v="48"/>
        <n v="50"/>
        <n v="69"/>
        <n v="37"/>
        <n v="43"/>
        <n v="0"/>
        <n v="29"/>
      </sharedItems>
    </cacheField>
    <cacheField name="構成比（法人）" numFmtId="0" sqlType="3">
      <sharedItems containsSemiMixedTypes="0" containsString="0" containsNumber="1" minValue="0" maxValue="54.55" count="400">
        <n v="3.12"/>
        <n v="3.21"/>
        <n v="7.98"/>
        <n v="6.59"/>
        <n v="10.130000000000001"/>
        <n v="6.19"/>
        <n v="3.2"/>
        <n v="1.67"/>
        <n v="0.89"/>
        <n v="2.99"/>
        <n v="2.4900000000000002"/>
        <n v="3.05"/>
        <n v="1.8"/>
        <n v="1.1499999999999999"/>
        <n v="2.71"/>
        <n v="1.08"/>
        <n v="2.34"/>
        <n v="2.31"/>
        <n v="1.48"/>
        <n v="7.35"/>
        <n v="4.6399999999999997"/>
        <n v="3.86"/>
        <n v="8.01"/>
        <n v="9.0500000000000007"/>
        <n v="3.37"/>
        <n v="4.5199999999999996"/>
        <n v="3.52"/>
        <n v="5.22"/>
        <n v="0.63"/>
        <n v="2.02"/>
        <n v="2.19"/>
        <n v="3.78"/>
        <n v="2.77"/>
        <n v="2.62"/>
        <n v="1.35"/>
        <n v="1.56"/>
        <n v="1.7"/>
        <n v="2.36"/>
        <n v="4.41"/>
        <n v="2.59"/>
        <n v="7.82"/>
        <n v="7.7"/>
        <n v="8.82"/>
        <n v="4.82"/>
        <n v="5.88"/>
        <n v="2.7"/>
        <n v="3.06"/>
        <n v="1.76"/>
        <n v="2.29"/>
        <n v="1.88"/>
        <n v="0.65"/>
        <n v="3.47"/>
        <n v="2.76"/>
        <n v="2.65"/>
        <n v="2.06"/>
        <n v="2.41"/>
        <n v="3.31"/>
        <n v="9.48"/>
        <n v="2.72"/>
        <n v="8.81"/>
        <n v="7.21"/>
        <n v="5.66"/>
        <n v="6.52"/>
        <n v="1.27"/>
        <n v="1.61"/>
        <n v="2.6"/>
        <n v="2.5499999999999998"/>
        <n v="3.68"/>
        <n v="4.2300000000000004"/>
        <n v="2.74"/>
        <n v="3.62"/>
        <n v="2.11"/>
        <n v="2.84"/>
        <n v="2.13"/>
        <n v="3.49"/>
        <n v="7.65"/>
        <n v="9.84"/>
        <n v="6.12"/>
        <n v="7.46"/>
        <n v="6.47"/>
        <n v="1.85"/>
        <n v="3.54"/>
        <n v="2.87"/>
        <n v="1.96"/>
        <n v="1.25"/>
        <n v="2.91"/>
        <n v="2.4"/>
        <n v="1.64"/>
        <n v="1.87"/>
        <n v="3.48"/>
        <n v="3.93"/>
        <n v="9.5299999999999994"/>
        <n v="8.93"/>
        <n v="9.68"/>
        <n v="2.42"/>
        <n v="0.45"/>
        <n v="3.63"/>
        <n v="4.99"/>
        <n v="1.06"/>
        <n v="4.08"/>
        <n v="1.66"/>
        <n v="1.51"/>
        <n v="1.82"/>
        <n v="0.3"/>
        <n v="3.91"/>
        <n v="4.03"/>
        <n v="8.07"/>
        <n v="6.76"/>
        <n v="8.5399999999999991"/>
        <n v="3.08"/>
        <n v="1.07"/>
        <n v="0.95"/>
        <n v="4.9800000000000004"/>
        <n v="5.58"/>
        <n v="1.3"/>
        <n v="2.37"/>
        <n v="1.9"/>
        <n v="2.25"/>
        <n v="1.95"/>
        <n v="2.16"/>
        <n v="11.47"/>
        <n v="4.1100000000000003"/>
        <n v="8.66"/>
        <n v="4.55"/>
        <n v="1.52"/>
        <n v="2.81"/>
        <n v="5.84"/>
        <n v="3.46"/>
        <n v="3.25"/>
        <n v="0.22"/>
        <n v="0.87"/>
        <n v="3.03"/>
        <n v="1.29"/>
        <n v="14.47"/>
        <n v="10.59"/>
        <n v="3.88"/>
        <n v="4.91"/>
        <n v="3.36"/>
        <n v="5.17"/>
        <n v="1.03"/>
        <n v="0.52"/>
        <n v="1.55"/>
        <n v="3.1"/>
        <n v="0.78"/>
        <n v="1.81"/>
        <n v="2.97"/>
        <n v="3.72"/>
        <n v="4.09"/>
        <n v="9.67"/>
        <n v="10.41"/>
        <n v="5.76"/>
        <n v="0.37"/>
        <n v="1.49"/>
        <n v="1.86"/>
        <n v="0.74"/>
        <n v="2.04"/>
        <n v="1.77"/>
        <n v="13.89"/>
        <n v="12.12"/>
        <n v="10.35"/>
        <n v="3.79"/>
        <n v="4.04"/>
        <n v="2.5299999999999998"/>
        <n v="4.29"/>
        <n v="1.26"/>
        <n v="0.76"/>
        <n v="3.28"/>
        <n v="2.27"/>
        <n v="3.34"/>
        <n v="2.33"/>
        <n v="5.09"/>
        <n v="7.99"/>
        <n v="11.48"/>
        <n v="6.69"/>
        <n v="7.27"/>
        <n v="1.02"/>
        <n v="2.4700000000000002"/>
        <n v="3.92"/>
        <n v="1.6"/>
        <n v="1.1599999999999999"/>
        <n v="3.35"/>
        <n v="6.32"/>
        <n v="12.83"/>
        <n v="6.88"/>
        <n v="3.9"/>
        <n v="4.46"/>
        <n v="6.51"/>
        <n v="0.19"/>
        <n v="1.1200000000000001"/>
        <n v="0.56000000000000005"/>
        <n v="7.57"/>
        <n v="3.15"/>
        <n v="13.56"/>
        <n v="5.05"/>
        <n v="2.21"/>
        <n v="4.0999999999999996"/>
        <n v="1.89"/>
        <n v="4.42"/>
        <n v="2.52"/>
        <n v="1.58"/>
        <n v="9"/>
        <n v="1"/>
        <n v="10"/>
        <n v="3"/>
        <n v="8"/>
        <n v="2"/>
        <n v="0"/>
        <n v="4"/>
        <n v="14.61"/>
        <n v="8.99"/>
        <n v="6.74"/>
        <n v="16.850000000000001"/>
        <n v="4.49"/>
        <n v="4.32"/>
        <n v="5.04"/>
        <n v="7.91"/>
        <n v="13.67"/>
        <n v="0.72"/>
        <n v="3.6"/>
        <n v="2.88"/>
        <n v="6.06"/>
        <n v="9.09"/>
        <n v="7.58"/>
        <n v="5.19"/>
        <n v="7.14"/>
        <n v="8.44"/>
        <n v="17.309999999999999"/>
        <n v="5.77"/>
        <n v="3.85"/>
        <n v="7.69"/>
        <n v="1.92"/>
        <n v="10.53"/>
        <n v="5.26"/>
        <n v="2.63"/>
        <n v="18.420000000000002"/>
        <n v="6.58"/>
        <n v="1.32"/>
        <n v="3.95"/>
        <n v="54.55"/>
        <n v="18.18"/>
        <n v="15.69"/>
        <n v="11.76"/>
        <n v="9.8000000000000007"/>
        <n v="7.84"/>
        <n v="3.26"/>
        <n v="8.84"/>
        <n v="0.93"/>
        <n v="13.49"/>
        <n v="11.63"/>
        <n v="4.1900000000000004"/>
        <n v="1.4"/>
        <n v="2.79"/>
        <n v="0.47"/>
        <n v="30.36"/>
        <n v="1.79"/>
        <n v="5.36"/>
        <n v="3.57"/>
        <n v="6.45"/>
        <n v="14.52"/>
        <n v="11.29"/>
        <n v="4.84"/>
        <n v="3.23"/>
        <n v="3.33"/>
        <n v="6.67"/>
        <n v="6.73"/>
        <n v="4.8099999999999996"/>
        <n v="11.06"/>
        <n v="4.33"/>
        <n v="9.6199999999999992"/>
        <n v="6.25"/>
        <n v="5.29"/>
        <n v="1.44"/>
        <n v="0.96"/>
        <n v="11.45"/>
        <n v="4.22"/>
        <n v="12.05"/>
        <n v="6.02"/>
        <n v="1.2"/>
        <n v="3.01"/>
        <n v="0.6"/>
        <n v="3.61"/>
        <n v="20.69"/>
        <n v="3.45"/>
        <n v="10.34"/>
        <n v="6.9"/>
        <n v="13.16"/>
        <n v="7.89"/>
        <n v="4.3499999999999996"/>
        <n v="8.6999999999999993"/>
        <n v="13.04"/>
        <n v="14.71"/>
        <n v="2.94"/>
        <n v="25"/>
        <n v="12.5"/>
        <n v="0.7"/>
        <n v="11.19"/>
        <n v="2.8"/>
        <n v="6.99"/>
        <n v="8.39"/>
        <n v="2.1"/>
        <n v="3.5"/>
        <n v="1.01"/>
        <n v="2.5099999999999998"/>
        <n v="10.050000000000001"/>
        <n v="6.03"/>
        <n v="8.0399999999999991"/>
        <n v="7.54"/>
        <n v="2.0099999999999998"/>
        <n v="4.0199999999999996"/>
        <n v="3.02"/>
        <n v="0.5"/>
        <n v="11.86"/>
        <n v="1.69"/>
        <n v="5.08"/>
        <n v="3.39"/>
        <n v="22.22"/>
        <n v="11.11"/>
        <n v="5.56"/>
        <n v="2.78"/>
        <n v="14.63"/>
        <n v="1.22"/>
        <n v="2.44"/>
        <n v="4.2699999999999996"/>
        <n v="1.83"/>
        <n v="4.88"/>
        <n v="5.49"/>
        <n v="3.66"/>
        <n v="11.03"/>
        <n v="1.38"/>
        <n v="12.41"/>
        <n v="4.1399999999999997"/>
        <n v="5.52"/>
        <n v="0.69"/>
        <n v="2.0699999999999998"/>
        <n v="15.22"/>
        <n v="2.17"/>
        <n v="9.76"/>
        <n v="6.1"/>
        <n v="27.27"/>
        <n v="2.12"/>
        <n v="13.23"/>
        <n v="12.7"/>
        <n v="5.82"/>
        <n v="3.17"/>
        <n v="1.59"/>
        <n v="3.7"/>
        <n v="14.29"/>
        <n v="4.76"/>
        <n v="9.52"/>
        <n v="6.35"/>
        <n v="20"/>
        <n v="12.31"/>
        <n v="1.54"/>
        <n v="6.15"/>
        <n v="12.24"/>
        <n v="8.16"/>
        <n v="29.55"/>
        <n v="6.82"/>
        <n v="16.670000000000002"/>
        <n v="9.77"/>
        <n v="10.92"/>
        <n v="0.56999999999999995"/>
        <n v="5.75"/>
        <n v="4.5999999999999996"/>
        <n v="1.72"/>
        <n v="2.2999999999999998"/>
        <n v="2.75"/>
        <n v="12.84"/>
        <n v="13.76"/>
        <n v="5.5"/>
        <n v="3.67"/>
        <n v="4.59"/>
        <n v="0.92"/>
        <n v="22.67"/>
        <n v="1.33"/>
        <n v="9.33"/>
        <n v="10.67"/>
        <n v="5.33"/>
        <n v="2.67"/>
        <n v="18.64"/>
        <n v="8.4700000000000006"/>
        <n v="6.78"/>
        <n v="15.79"/>
        <n v="12.28"/>
        <n v="14.04"/>
        <n v="8.77"/>
        <n v="7.02"/>
        <n v="3.51"/>
        <n v="1.75"/>
        <n v="5"/>
        <n v="15"/>
        <n v="40"/>
        <n v="33.33"/>
        <n v="16.13"/>
        <n v="12.9"/>
        <n v="1.18"/>
        <n v="8.24"/>
        <n v="3.53"/>
        <n v="4.71"/>
        <n v="2.35"/>
      </sharedItems>
    </cacheField>
    <cacheField name="総数（法人以外の団体）" numFmtId="0" sqlType="4">
      <sharedItems containsSemiMixedTypes="0" containsString="0" containsNumber="1" containsInteger="1" minValue="0" maxValue="22" count="9">
        <n v="0"/>
        <n v="2"/>
        <n v="11"/>
        <n v="5"/>
        <n v="1"/>
        <n v="22"/>
        <n v="9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5391435183" createdVersion="5" refreshedVersion="8" minRefreshableVersion="3" recordCount="1494" xr:uid="{96F3B805-7095-4E20-A255-7A49D3454912}">
  <cacheSource type="external" connectionId="3"/>
  <cacheFields count="14">
    <cacheField name="都道府県" numFmtId="0" sqlType="-9">
      <sharedItems count="1">
        <s v="07 福島県"/>
      </sharedItems>
    </cacheField>
    <cacheField name="自治体名" numFmtId="0" sqlType="-9">
      <sharedItems count="60">
        <s v="福島県"/>
        <s v="福島市"/>
        <s v="会津若松市"/>
        <s v="郡山市"/>
        <s v="いわき市"/>
        <s v="白河市"/>
        <s v="須賀川市"/>
        <s v="喜多方市"/>
        <s v="相馬市"/>
        <s v="二本松市"/>
        <s v="田村市"/>
        <s v="南相馬市"/>
        <s v="伊達市"/>
        <s v="本宮市"/>
        <s v="伊達郡桑折町"/>
        <s v="伊達郡国見町"/>
        <s v="伊達郡川俣町"/>
        <s v="安達郡大玉村"/>
        <s v="岩瀬郡鏡石町"/>
        <s v="岩瀬郡天栄村"/>
        <s v="南会津郡下郷町"/>
        <s v="南会津郡檜枝岐村"/>
        <s v="南会津郡只見町"/>
        <s v="南会津郡南会津町"/>
        <s v="耶麻郡北塩原村"/>
        <s v="耶麻郡西会津町"/>
        <s v="耶麻郡磐梯町"/>
        <s v="耶麻郡猪苗代町"/>
        <s v="河沼郡会津坂下町"/>
        <s v="河沼郡湯川村"/>
        <s v="河沼郡柳津町"/>
        <s v="大沼郡三島町"/>
        <s v="大沼郡金山町"/>
        <s v="大沼郡昭和村"/>
        <s v="大沼郡会津美里町"/>
        <s v="西白河郡西郷村"/>
        <s v="西白河郡泉崎村"/>
        <s v="西白河郡中島村"/>
        <s v="西白河郡矢吹町"/>
        <s v="東白川郡棚倉町"/>
        <s v="東白川郡矢祭町"/>
        <s v="東白川郡塙町"/>
        <s v="東白川郡鮫川村"/>
        <s v="石川郡石川町"/>
        <s v="石川郡玉川村"/>
        <s v="石川郡平田村"/>
        <s v="石川郡浅川町"/>
        <s v="石川郡古殿町"/>
        <s v="田村郡三春町"/>
        <s v="田村郡小野町"/>
        <s v="双葉郡広野町"/>
        <s v="双葉郡楢葉町"/>
        <s v="双葉郡富岡町"/>
        <s v="双葉郡川内村"/>
        <s v="双葉郡大熊町"/>
        <s v="双葉郡双葉町"/>
        <s v="双葉郡浪江町"/>
        <s v="双葉郡葛尾村"/>
        <s v="相馬郡新地町"/>
        <s v="相馬郡飯舘村"/>
      </sharedItems>
    </cacheField>
    <cacheField name="自治体" numFmtId="0" sqlType="-9">
      <sharedItems count="60">
        <s v="07000 福島県"/>
        <s v="07201 福島市"/>
        <s v="07202 会津若松市"/>
        <s v="07203 郡山市"/>
        <s v="07204 いわき市"/>
        <s v="07205 白河市"/>
        <s v="07207 須賀川市"/>
        <s v="07208 喜多方市"/>
        <s v="07209 相馬市"/>
        <s v="07210 二本松市"/>
        <s v="07211 田村市"/>
        <s v="07212 南相馬市"/>
        <s v="07213 伊達市"/>
        <s v="07214 本宮市"/>
        <s v="07301 伊達郡桑折町"/>
        <s v="07303 伊達郡国見町"/>
        <s v="07308 伊達郡川俣町"/>
        <s v="07322 安達郡大玉村"/>
        <s v="07342 岩瀬郡鏡石町"/>
        <s v="07344 岩瀬郡天栄村"/>
        <s v="07362 南会津郡下郷町"/>
        <s v="07364 南会津郡檜枝岐村"/>
        <s v="07367 南会津郡只見町"/>
        <s v="07368 南会津郡南会津町"/>
        <s v="07402 耶麻郡北塩原村"/>
        <s v="07405 耶麻郡西会津町"/>
        <s v="07407 耶麻郡磐梯町"/>
        <s v="07408 耶麻郡猪苗代町"/>
        <s v="07421 河沼郡会津坂下町"/>
        <s v="07422 河沼郡湯川村"/>
        <s v="07423 河沼郡柳津町"/>
        <s v="07444 大沼郡三島町"/>
        <s v="07445 大沼郡金山町"/>
        <s v="07446 大沼郡昭和村"/>
        <s v="07447 大沼郡会津美里町"/>
        <s v="07461 西白河郡西郷村"/>
        <s v="07464 西白河郡泉崎村"/>
        <s v="07465 西白河郡中島村"/>
        <s v="07466 西白河郡矢吹町"/>
        <s v="07481 東白川郡棚倉町"/>
        <s v="07482 東白川郡矢祭町"/>
        <s v="07483 東白川郡塙町"/>
        <s v="07484 東白川郡鮫川村"/>
        <s v="07501 石川郡石川町"/>
        <s v="07502 石川郡玉川村"/>
        <s v="07503 石川郡平田村"/>
        <s v="07504 石川郡浅川町"/>
        <s v="07505 石川郡古殿町"/>
        <s v="07521 田村郡三春町"/>
        <s v="07522 田村郡小野町"/>
        <s v="07541 双葉郡広野町"/>
        <s v="07542 双葉郡楢葉町"/>
        <s v="07543 双葉郡富岡町"/>
        <s v="07544 双葉郡川内村"/>
        <s v="07545 双葉郡大熊町"/>
        <s v="07546 双葉郡双葉町"/>
        <s v="07547 双葉郡浪江町"/>
        <s v="07548 双葉郡葛尾村"/>
        <s v="07561 相馬郡新地町"/>
        <s v="07564 相馬郡飯舘村"/>
      </sharedItems>
    </cacheField>
    <cacheField name="産業分類コード" numFmtId="0" sqlType="-8">
      <sharedItems count="176">
        <s v="783"/>
        <s v="692"/>
        <s v="782"/>
        <s v="762"/>
        <s v="835"/>
        <s v="065"/>
        <s v="062"/>
        <s v="766"/>
        <s v="609"/>
        <s v="765"/>
        <s v="824"/>
        <s v="591"/>
        <s v="589"/>
        <s v="081"/>
        <s v="891"/>
        <s v="064"/>
        <s v="083"/>
        <s v="742"/>
        <s v="603"/>
        <s v="691"/>
        <s v="586"/>
        <s v="693"/>
        <s v="761"/>
        <s v="327"/>
        <s v="781"/>
        <s v="682"/>
        <s v="823"/>
        <s v="772"/>
        <s v="605"/>
        <s v="079"/>
        <s v="531"/>
        <s v="674"/>
        <s v="585"/>
        <s v="573"/>
        <s v="541"/>
        <s v="593"/>
        <s v="071"/>
        <s v="078"/>
        <s v="072"/>
        <s v="853"/>
        <s v="066"/>
        <s v="854"/>
        <s v="075"/>
        <s v="077"/>
        <s v="076"/>
        <s v="174"/>
        <s v="611"/>
        <s v="694"/>
        <s v="881"/>
        <s v="604"/>
        <s v="582"/>
        <s v="291"/>
        <s v="929"/>
        <s v="601"/>
        <s v="751"/>
        <s v="722"/>
        <s v="581"/>
        <s v="723"/>
        <s v="763"/>
        <s v="855"/>
        <s v="882"/>
        <s v="244"/>
        <s v="249"/>
        <s v="259"/>
        <s v="579"/>
        <s v="094"/>
        <s v="391"/>
        <s v="521"/>
        <s v="767"/>
        <s v="602"/>
        <s v="809"/>
        <s v="752"/>
        <s v="759"/>
        <s v="093"/>
        <s v="443"/>
        <s v="489"/>
        <s v="804"/>
        <s v="805"/>
        <s v="821"/>
        <s v="097"/>
        <s v="275"/>
        <s v="836"/>
        <s v="951"/>
        <s v="522"/>
        <s v="121"/>
        <s v="606"/>
        <s v="901"/>
        <s v="099"/>
        <s v="102"/>
        <s v="104"/>
        <s v="122"/>
        <s v="131"/>
        <s v="132"/>
        <s v="169"/>
        <s v="269"/>
        <s v="311"/>
        <s v="319"/>
        <s v="331"/>
        <s v="360"/>
        <s v="432"/>
        <s v="572"/>
        <s v="619"/>
        <s v="727"/>
        <s v="912"/>
        <s v="129"/>
        <s v="328"/>
        <s v="559"/>
        <s v="583"/>
        <s v="584"/>
        <s v="741"/>
        <s v="789"/>
        <s v="799"/>
        <s v="859"/>
        <s v="746"/>
        <s v="091"/>
        <s v="133"/>
        <s v="383"/>
        <s v="534"/>
        <s v="729"/>
        <s v="421"/>
        <s v="574"/>
        <s v="112"/>
        <s v="218"/>
        <s v="569"/>
        <s v="771"/>
        <s v="214"/>
        <s v="441"/>
        <s v="471"/>
        <s v="833"/>
        <s v="073"/>
        <s v="119"/>
        <s v="061"/>
        <s v="116"/>
        <s v="206"/>
        <s v="234"/>
        <s v="245"/>
        <s v="262"/>
        <s v="266"/>
        <s v="315"/>
        <s v="361"/>
        <s v="532"/>
        <s v="536"/>
        <s v="592"/>
        <s v="764"/>
        <s v="909"/>
        <s v="183"/>
        <s v="704"/>
        <s v="063"/>
        <s v="082"/>
        <s v="084"/>
        <s v="902"/>
        <s v="543"/>
        <s v="702"/>
        <s v="089"/>
        <s v="749"/>
        <s v="212"/>
        <s v="413"/>
        <s v="416"/>
        <s v="431"/>
        <s v="461"/>
        <s v="608"/>
        <s v="745"/>
        <s v="911"/>
        <s v="922"/>
        <s v="923"/>
        <s v="074"/>
        <s v="162"/>
        <s v="851"/>
        <s v="889"/>
        <s v="769"/>
        <s v="295"/>
        <s v="281"/>
        <s v="612"/>
        <s v="728"/>
        <s v="363"/>
        <s v="289"/>
      </sharedItems>
    </cacheField>
    <cacheField name="産業分類" numFmtId="0" sqlType="-9">
      <sharedItems count="176">
        <s v="美容業"/>
        <s v="貸家業，貸間業"/>
        <s v="理容業"/>
        <s v="専門料理店"/>
        <s v="療術業"/>
        <s v="木造建築工事業"/>
        <s v="土木工事業（舗装工事業を除く）"/>
        <s v="バー，キャバレー，ナイトクラブ"/>
        <s v="他に分類されない小売業"/>
        <s v="酒場，ビヤホール"/>
        <s v="教養・技能教授業"/>
        <s v="自動車小売業"/>
        <s v="その他の飲食料品小売業"/>
        <s v="電気工事業"/>
        <s v="自動車整備業"/>
        <s v="建築工事業（木造建築工事業を除く）"/>
        <s v="管工事業（さく井工事業を除く）"/>
        <s v="土木建築サービス業"/>
        <s v="医薬品・化粧品小売業"/>
        <s v="不動産賃貸業（貸家業，貸間業を除く）"/>
        <s v="菓子・パン小売業"/>
        <s v="駐車場業"/>
        <s v="食堂，レストラン（専門料理店を除く）"/>
        <s v="漆器製造業"/>
        <s v="洗濯業"/>
        <s v="不動産代理業・仲介業"/>
        <s v="学習塾"/>
        <s v="配達飲食サービス業"/>
        <s v="燃料小売業"/>
        <s v="その他の職別工事業"/>
        <s v="建築材料卸売業"/>
        <s v="保険媒介代理業"/>
        <s v="酒小売業"/>
        <s v="婦人・子供服小売業"/>
        <s v="産業機械器具卸売業"/>
        <s v="機械器具小売業（自動車，自転車を除く）"/>
        <s v="大工工事業"/>
        <s v="床・内装工事業"/>
        <s v="とび・土工・コンクリート工事業"/>
        <s v="児童福祉事業"/>
        <s v="建築リフォーム工事業"/>
        <s v="老人福祉・介護事業"/>
        <s v="左官工事業"/>
        <s v="塗装工事業"/>
        <s v="板金・金物工事業"/>
        <s v="舗装材料製造業"/>
        <s v="通信販売・訪問販売小売業"/>
        <s v="不動産管理業"/>
        <s v="一般廃棄物処理業"/>
        <s v="農耕用品小売業"/>
        <s v="野菜・果実小売業"/>
        <s v="発電用・送電用・配電用電気機械器具製造業"/>
        <s v="他に分類されない事業サービス業"/>
        <s v="家具・建具・畳小売業"/>
        <s v="旅館，ホテル"/>
        <s v="公証人役場，司法書士事務所，土地家屋調査士事務所"/>
        <s v="各種食料品小売業"/>
        <s v="行政書士事務所"/>
        <s v="そば・うどん店"/>
        <s v="障害者福祉事業"/>
        <s v="産業廃棄物処理業"/>
        <s v="建設用・建築用金属製品製造業（製缶板金業を含む）"/>
        <s v="その他の金属製品製造業"/>
        <s v="その他のはん用機械・同部分品製造業"/>
        <s v="その他の織物・衣服・身の回り品小売業"/>
        <s v="調味料製造業"/>
        <s v="ソフトウェア業"/>
        <s v="農畜産物・水産物卸売業"/>
        <s v="喫茶店"/>
        <s v="じゅう器小売業"/>
        <s v="その他の娯楽業"/>
        <s v="簡易宿所"/>
        <s v="その他の宿泊業"/>
        <s v="野菜缶詰・果実缶詰・農産保存食料品製造業"/>
        <s v="貨物軽自動車運送業"/>
        <s v="その他の運輸に附帯するサービス業"/>
        <s v="スポーツ施設提供業"/>
        <s v="公園，遊園地"/>
        <s v="社会教育"/>
        <s v="パン・菓子製造業"/>
        <s v="光学機械器具・レンズ製造業"/>
        <s v="医療に附帯するサービス業"/>
        <s v="集会場"/>
        <s v="食料・飲料卸売業"/>
        <s v="製材業，木製品製造業"/>
        <s v="書籍・文房具小売業"/>
        <s v="機械修理業（電気機械器具を除く）"/>
        <s v="その他の食料品製造業"/>
        <s v="酒類製造業"/>
        <s v="製氷業"/>
        <s v="造作材・合板・建築用組立材料製造業"/>
        <s v="家具製造業"/>
        <s v="宗教用具製造業"/>
        <s v="その他の化学工業"/>
        <s v="その他の生産用機械・同部分品製造業"/>
        <s v="自動車・同附属品製造業"/>
        <s v="その他の輸送用機械器具製造業"/>
        <s v="電気業"/>
        <s v="管理，補助的経済活動を行う事業所"/>
        <s v="一般乗用旅客自動車運送業"/>
        <s v="男子服小売業"/>
        <s v="その他の無店舗小売業"/>
        <s v="著述・芸術家業"/>
        <s v="労働者派遣業"/>
        <s v="その他の木製品製造業（竹，とうを含む）"/>
        <s v="畳等生活雑貨製品製造業"/>
        <s v="他に分類されない卸売業"/>
        <s v="食肉小売業"/>
        <s v="鮮魚小売業"/>
        <s v="獣医業"/>
        <s v="その他の洗濯・理容・美容・浴場業"/>
        <s v="他に分類されない生活関連サービス業"/>
        <s v="その他の社会保険・社会福祉・介護事業"/>
        <s v="写真業"/>
        <s v="畜産食料品製造業"/>
        <s v="建具製造業"/>
        <s v="有線放送業"/>
        <s v="鉄鋼製品卸売業"/>
        <s v="その他の専門サービス業"/>
        <s v="鉄道業"/>
        <s v="靴・履物小売業"/>
        <s v="織物業"/>
        <s v="骨材・石工品等製造業"/>
        <s v="その他の各種商品小売業（従業者が常時50人未満のもの）"/>
        <s v="持ち帰り飲食サービス業"/>
        <s v="陶磁器・同関連製品製造業"/>
        <s v="一般貨物自動車運送業"/>
        <s v="倉庫業（冷蔵倉庫業を除く）"/>
        <s v="歯科診療所"/>
        <s v="鉄骨・鉄筋工事業"/>
        <s v="その他の繊維製品製造業"/>
        <s v="一般土木建築工事業"/>
        <s v="外衣・シャツ製造業（和式を除く）"/>
        <s v="かばん製造業"/>
        <s v="電線・ケーブル製造業"/>
        <s v="金属素形材製品製造業"/>
        <s v="建設機械・鉱山機械製造業"/>
        <s v="金属加工機械製造業"/>
        <s v="産業用運搬車両・同部分品・附属品製造業"/>
        <s v="上水道業"/>
        <s v="化学製品卸売業"/>
        <s v="再生資源卸売業"/>
        <s v="自転車小売業"/>
        <s v="すし店"/>
        <s v="その他の修理業"/>
        <s v="工業用プラスチック製品製造業"/>
        <s v="自動車賃貸業"/>
        <s v="舗装工事業"/>
        <s v="電気通信・信号装置工事業"/>
        <s v="機械器具設置工事業"/>
        <s v="電気機械器具修理業"/>
        <s v="電気機械器具卸売業"/>
        <s v="産業用機械器具賃貸業"/>
        <s v="その他の設備工事業"/>
        <s v="その他の技術サービス業"/>
        <s v="セメント・同製品製造業"/>
        <s v="新聞業"/>
        <s v="映像・音声・文字情報制作に附帯するサービス業"/>
        <s v="一般乗合旅客自動車運送業"/>
        <s v="航空運送業"/>
        <s v="写真機・時計・眼鏡小売業"/>
        <s v="計量証明業"/>
        <s v="職業紹介業"/>
        <s v="建物サービス業"/>
        <s v="警備業"/>
        <s v="石工・れんが・タイル・ブロック工事業"/>
        <s v="無機化学工業製品製造業"/>
        <s v="社会保険事業団体"/>
        <s v="その他の廃棄物処理業"/>
        <s v="その他の飲食店"/>
        <s v="電池製造業"/>
        <s v="電子デバイス製造業"/>
        <s v="自動販売機による小売業"/>
        <s v="経営コンサルタント業，純粋持株会社"/>
        <s v="下水道業"/>
        <s v="その他の電子部品・デバイス・電子回路製造業"/>
      </sharedItems>
    </cacheField>
    <cacheField name="産業小分類" numFmtId="0" sqlType="-9">
      <sharedItems count="176">
        <s v="783 美容業"/>
        <s v="692 貸家業，貸間業"/>
        <s v="782 理容業"/>
        <s v="762 専門料理店"/>
        <s v="835 療術業"/>
        <s v="065 木造建築工事業"/>
        <s v="062 土木工事業（舗装工事業を除く）"/>
        <s v="766 バー，キャバレー，ナイトクラブ"/>
        <s v="609 他に分類されない小売業"/>
        <s v="765 酒場，ビヤホール"/>
        <s v="824 教養・技能教授業"/>
        <s v="591 自動車小売業"/>
        <s v="589 その他の飲食料品小売業"/>
        <s v="081 電気工事業"/>
        <s v="891 自動車整備業"/>
        <s v="064 建築工事業（木造建築工事業を除く）"/>
        <s v="083 管工事業（さく井工事業を除く）"/>
        <s v="742 土木建築サービス業"/>
        <s v="603 医薬品・化粧品小売業"/>
        <s v="691 不動産賃貸業（貸家業，貸間業を除く）"/>
        <s v="586 菓子・パン小売業"/>
        <s v="693 駐車場業"/>
        <s v="761 食堂，レストラン（専門料理店を除く）"/>
        <s v="327 漆器製造業"/>
        <s v="781 洗濯業"/>
        <s v="682 不動産代理業・仲介業"/>
        <s v="823 学習塾"/>
        <s v="772 配達飲食サービス業"/>
        <s v="605 燃料小売業"/>
        <s v="079 その他の職別工事業"/>
        <s v="531 建築材料卸売業"/>
        <s v="674 保険媒介代理業"/>
        <s v="585 酒小売業"/>
        <s v="573 婦人・子供服小売業"/>
        <s v="541 産業機械器具卸売業"/>
        <s v="593 機械器具小売業（自動車，自転車を除く）"/>
        <s v="071 大工工事業"/>
        <s v="078 床・内装工事業"/>
        <s v="072 とび・土工・コンクリート工事業"/>
        <s v="853 児童福祉事業"/>
        <s v="066 建築リフォーム工事業"/>
        <s v="854 老人福祉・介護事業"/>
        <s v="075 左官工事業"/>
        <s v="077 塗装工事業"/>
        <s v="076 板金・金物工事業"/>
        <s v="174 舗装材料製造業"/>
        <s v="611 通信販売・訪問販売小売業"/>
        <s v="694 不動産管理業"/>
        <s v="881 一般廃棄物処理業"/>
        <s v="604 農耕用品小売業"/>
        <s v="582 野菜・果実小売業"/>
        <s v="291 発電用・送電用・配電用電気機械器具製造業"/>
        <s v="929 他に分類されない事業サービス業"/>
        <s v="601 家具・建具・畳小売業"/>
        <s v="751 旅館，ホテル"/>
        <s v="722 公証人役場，司法書士事務所，土地家屋調査士事務所"/>
        <s v="581 各種食料品小売業"/>
        <s v="723 行政書士事務所"/>
        <s v="763 そば・うどん店"/>
        <s v="855 障害者福祉事業"/>
        <s v="882 産業廃棄物処理業"/>
        <s v="244 建設用・建築用金属製品製造業（製缶板金業を含む）"/>
        <s v="249 その他の金属製品製造業"/>
        <s v="259 その他のはん用機械・同部分品製造業"/>
        <s v="579 その他の織物・衣服・身の回り品小売業"/>
        <s v="094 調味料製造業"/>
        <s v="391 ソフトウェア業"/>
        <s v="521 農畜産物・水産物卸売業"/>
        <s v="767 喫茶店"/>
        <s v="602 じゅう器小売業"/>
        <s v="809 その他の娯楽業"/>
        <s v="752 簡易宿所"/>
        <s v="759 その他の宿泊業"/>
        <s v="093 野菜缶詰・果実缶詰・農産保存食料品製造業"/>
        <s v="443 貨物軽自動車運送業"/>
        <s v="489 その他の運輸に附帯するサービス業"/>
        <s v="804 スポーツ施設提供業"/>
        <s v="805 公園，遊園地"/>
        <s v="821 社会教育"/>
        <s v="097 パン・菓子製造業"/>
        <s v="275 光学機械器具・レンズ製造業"/>
        <s v="836 医療に附帯するサービス業"/>
        <s v="951 集会場"/>
        <s v="522 食料・飲料卸売業"/>
        <s v="121 製材業，木製品製造業"/>
        <s v="606 書籍・文房具小売業"/>
        <s v="901 機械修理業（電気機械器具を除く）"/>
        <s v="099 その他の食料品製造業"/>
        <s v="102 酒類製造業"/>
        <s v="104 製氷業"/>
        <s v="122 造作材・合板・建築用組立材料製造業"/>
        <s v="131 家具製造業"/>
        <s v="132 宗教用具製造業"/>
        <s v="169 その他の化学工業"/>
        <s v="269 その他の生産用機械・同部分品製造業"/>
        <s v="311 自動車・同附属品製造業"/>
        <s v="319 その他の輸送用機械器具製造業"/>
        <s v="331 電気業"/>
        <s v="360 管理，補助的経済活動を行う事業所"/>
        <s v="432 一般乗用旅客自動車運送業"/>
        <s v="572 男子服小売業"/>
        <s v="619 その他の無店舗小売業"/>
        <s v="727 著述・芸術家業"/>
        <s v="912 労働者派遣業"/>
        <s v="129 その他の木製品製造業（竹，とうを含む）"/>
        <s v="328 畳等生活雑貨製品製造業"/>
        <s v="559 他に分類されない卸売業"/>
        <s v="583 食肉小売業"/>
        <s v="584 鮮魚小売業"/>
        <s v="741 獣医業"/>
        <s v="789 その他の洗濯・理容・美容・浴場業"/>
        <s v="799 他に分類されない生活関連サービス業"/>
        <s v="859 その他の社会保険・社会福祉・介護事業"/>
        <s v="746 写真業"/>
        <s v="091 畜産食料品製造業"/>
        <s v="133 建具製造業"/>
        <s v="383 有線放送業"/>
        <s v="534 鉄鋼製品卸売業"/>
        <s v="729 その他の専門サービス業"/>
        <s v="421 鉄道業"/>
        <s v="574 靴・履物小売業"/>
        <s v="112 織物業"/>
        <s v="218 骨材・石工品等製造業"/>
        <s v="569 その他の各種商品小売業（従業者が常時50人未満のもの）"/>
        <s v="771 持ち帰り飲食サービス業"/>
        <s v="214 陶磁器・同関連製品製造業"/>
        <s v="441 一般貨物自動車運送業"/>
        <s v="471 倉庫業（冷蔵倉庫業を除く）"/>
        <s v="833 歯科診療所"/>
        <s v="073 鉄骨・鉄筋工事業"/>
        <s v="119 その他の繊維製品製造業"/>
        <s v="061 一般土木建築工事業"/>
        <s v="116 外衣・シャツ製造業（和式を除く）"/>
        <s v="206 かばん製造業"/>
        <s v="234 電線・ケーブル製造業"/>
        <s v="245 金属素形材製品製造業"/>
        <s v="262 建設機械・鉱山機械製造業"/>
        <s v="266 金属加工機械製造業"/>
        <s v="315 産業用運搬車両・同部分品・附属品製造業"/>
        <s v="361 上水道業"/>
        <s v="532 化学製品卸売業"/>
        <s v="536 再生資源卸売業"/>
        <s v="592 自転車小売業"/>
        <s v="764 すし店"/>
        <s v="909 その他の修理業"/>
        <s v="183 工業用プラスチック製品製造業"/>
        <s v="704 自動車賃貸業"/>
        <s v="063 舗装工事業"/>
        <s v="082 電気通信・信号装置工事業"/>
        <s v="084 機械器具設置工事業"/>
        <s v="902 電気機械器具修理業"/>
        <s v="543 電気機械器具卸売業"/>
        <s v="702 産業用機械器具賃貸業"/>
        <s v="089 その他の設備工事業"/>
        <s v="749 その他の技術サービス業"/>
        <s v="212 セメント・同製品製造業"/>
        <s v="413 新聞業"/>
        <s v="416 映像・音声・文字情報制作に附帯するサービス業"/>
        <s v="431 一般乗合旅客自動車運送業"/>
        <s v="461 航空運送業"/>
        <s v="608 写真機・時計・眼鏡小売業"/>
        <s v="745 計量証明業"/>
        <s v="911 職業紹介業"/>
        <s v="922 建物サービス業"/>
        <s v="923 警備業"/>
        <s v="074 石工・れんが・タイル・ブロック工事業"/>
        <s v="162 無機化学工業製品製造業"/>
        <s v="851 社会保険事業団体"/>
        <s v="889 その他の廃棄物処理業"/>
        <s v="769 その他の飲食店"/>
        <s v="295 電池製造業"/>
        <s v="281 電子デバイス製造業"/>
        <s v="612 自動販売機による小売業"/>
        <s v="728 経営コンサルタント業，純粋持株会社"/>
        <s v="363 下水道業"/>
        <s v="289 その他の電子部品・デバイス・電子回路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9"/>
        <n v="10"/>
        <n v="11"/>
        <n v="12"/>
        <n v="13"/>
        <n v="14"/>
        <n v="15"/>
        <n v="16"/>
        <n v="17"/>
        <n v="18"/>
        <n v="19"/>
        <n v="20"/>
        <n v="8"/>
      </sharedItems>
    </cacheField>
    <cacheField name="総数" numFmtId="0" sqlType="4">
      <sharedItems containsSemiMixedTypes="0" containsString="0" containsNumber="1" containsInteger="1" minValue="1" maxValue="2678" count="146">
        <n v="2678"/>
        <n v="2181"/>
        <n v="1922"/>
        <n v="1143"/>
        <n v="1007"/>
        <n v="996"/>
        <n v="990"/>
        <n v="975"/>
        <n v="914"/>
        <n v="807"/>
        <n v="798"/>
        <n v="793"/>
        <n v="784"/>
        <n v="770"/>
        <n v="699"/>
        <n v="683"/>
        <n v="678"/>
        <n v="677"/>
        <n v="633"/>
        <n v="511"/>
        <n v="373"/>
        <n v="213"/>
        <n v="164"/>
        <n v="157"/>
        <n v="144"/>
        <n v="142"/>
        <n v="136"/>
        <n v="132"/>
        <n v="130"/>
        <n v="122"/>
        <n v="113"/>
        <n v="110"/>
        <n v="103"/>
        <n v="98"/>
        <n v="86"/>
        <n v="84"/>
        <n v="81"/>
        <n v="223"/>
        <n v="167"/>
        <n v="137"/>
        <n v="117"/>
        <n v="100"/>
        <n v="89"/>
        <n v="74"/>
        <n v="63"/>
        <n v="62"/>
        <n v="59"/>
        <n v="58"/>
        <n v="56"/>
        <n v="55"/>
        <n v="53"/>
        <n v="51"/>
        <n v="49"/>
        <n v="48"/>
        <n v="513"/>
        <n v="443"/>
        <n v="280"/>
        <n v="200"/>
        <n v="184"/>
        <n v="180"/>
        <n v="162"/>
        <n v="160"/>
        <n v="153"/>
        <n v="152"/>
        <n v="146"/>
        <n v="139"/>
        <n v="133"/>
        <n v="127"/>
        <n v="115"/>
        <n v="108"/>
        <n v="107"/>
        <n v="106"/>
        <n v="499"/>
        <n v="318"/>
        <n v="207"/>
        <n v="205"/>
        <n v="199"/>
        <n v="176"/>
        <n v="175"/>
        <n v="174"/>
        <n v="165"/>
        <n v="158"/>
        <n v="154"/>
        <n v="128"/>
        <n v="125"/>
        <n v="102"/>
        <n v="101"/>
        <n v="73"/>
        <n v="57"/>
        <n v="46"/>
        <n v="43"/>
        <n v="40"/>
        <n v="35"/>
        <n v="31"/>
        <n v="29"/>
        <n v="28"/>
        <n v="27"/>
        <n v="25"/>
        <n v="24"/>
        <n v="22"/>
        <n v="21"/>
        <n v="70"/>
        <n v="64"/>
        <n v="52"/>
        <n v="50"/>
        <n v="38"/>
        <n v="37"/>
        <n v="36"/>
        <n v="32"/>
        <n v="26"/>
        <n v="23"/>
        <n v="82"/>
        <n v="77"/>
        <n v="42"/>
        <n v="41"/>
        <n v="39"/>
        <n v="20"/>
        <n v="66"/>
        <n v="45"/>
        <n v="19"/>
        <n v="18"/>
        <n v="15"/>
        <n v="14"/>
        <n v="12"/>
        <n v="111"/>
        <n v="33"/>
        <n v="30"/>
        <n v="44"/>
        <n v="17"/>
        <n v="16"/>
        <n v="13"/>
        <n v="90"/>
        <n v="83"/>
        <n v="11"/>
        <n v="10"/>
        <n v="9"/>
        <n v="7"/>
        <n v="6"/>
        <n v="5"/>
        <n v="4"/>
        <n v="3"/>
        <n v="8"/>
        <n v="2"/>
        <n v="1"/>
        <n v="68"/>
        <n v="34"/>
      </sharedItems>
    </cacheField>
    <cacheField name="構成比" numFmtId="0" sqlType="3">
      <sharedItems containsSemiMixedTypes="0" containsString="0" containsNumber="1" minValue="1.01" maxValue="45.81" count="316">
        <n v="5.62"/>
        <n v="4.58"/>
        <n v="4.04"/>
        <n v="2.4"/>
        <n v="2.11"/>
        <n v="2.09"/>
        <n v="2.08"/>
        <n v="2.0499999999999998"/>
        <n v="1.92"/>
        <n v="1.69"/>
        <n v="1.68"/>
        <n v="1.66"/>
        <n v="1.65"/>
        <n v="1.62"/>
        <n v="1.47"/>
        <n v="1.43"/>
        <n v="1.42"/>
        <n v="1.33"/>
        <n v="7.76"/>
        <n v="5.67"/>
        <n v="3.24"/>
        <n v="2.4900000000000002"/>
        <n v="2.39"/>
        <n v="2.19"/>
        <n v="2.16"/>
        <n v="2.0699999999999998"/>
        <n v="2.0099999999999998"/>
        <n v="1.98"/>
        <n v="1.85"/>
        <n v="1.72"/>
        <n v="1.67"/>
        <n v="1.57"/>
        <n v="1.49"/>
        <n v="1.31"/>
        <n v="1.28"/>
        <n v="1.23"/>
        <n v="6.18"/>
        <n v="4.63"/>
        <n v="3.8"/>
        <n v="2.77"/>
        <n v="2.4700000000000002"/>
        <n v="2.25"/>
        <n v="1.75"/>
        <n v="1.64"/>
        <n v="1.61"/>
        <n v="1.55"/>
        <n v="1.53"/>
        <n v="1.41"/>
        <n v="1.36"/>
        <n v="6.19"/>
        <n v="5.35"/>
        <n v="3.38"/>
        <n v="2.42"/>
        <n v="2.2200000000000002"/>
        <n v="2.17"/>
        <n v="1.96"/>
        <n v="1.93"/>
        <n v="1.84"/>
        <n v="1.76"/>
        <n v="1.39"/>
        <n v="1.3"/>
        <n v="1.29"/>
        <n v="6.44"/>
        <n v="4.0999999999999996"/>
        <n v="2.67"/>
        <n v="2.65"/>
        <n v="2.57"/>
        <n v="2.27"/>
        <n v="2.2599999999999998"/>
        <n v="2.13"/>
        <n v="2.04"/>
        <n v="1.99"/>
        <n v="1.86"/>
        <n v="1.7"/>
        <n v="1.51"/>
        <n v="1.48"/>
        <n v="1.32"/>
        <n v="5.63"/>
        <n v="4.62"/>
        <n v="3.61"/>
        <n v="2.91"/>
        <n v="2.72"/>
        <n v="2.5299999999999998"/>
        <n v="1.77"/>
        <n v="1.71"/>
        <n v="1.58"/>
        <n v="1.52"/>
        <n v="5.9"/>
        <n v="3.83"/>
        <n v="3.5"/>
        <n v="2.84"/>
        <n v="2.73"/>
        <n v="2.68"/>
        <n v="2.5099999999999998"/>
        <n v="2.02"/>
        <n v="1.97"/>
        <n v="1.91"/>
        <n v="1.37"/>
        <n v="1.26"/>
        <n v="6.11"/>
        <n v="5.73"/>
        <n v="3.13"/>
        <n v="3.05"/>
        <n v="2.9"/>
        <n v="2.31"/>
        <n v="1.79"/>
        <n v="1.56"/>
        <n v="6.8"/>
        <n v="4.6399999999999997"/>
        <n v="3.81"/>
        <n v="3.3"/>
        <n v="3.2"/>
        <n v="2.99"/>
        <n v="2.89"/>
        <n v="1.44"/>
        <n v="1.24"/>
        <n v="7.85"/>
        <n v="5.45"/>
        <n v="3.89"/>
        <n v="2.33"/>
        <n v="2.12"/>
        <n v="1.63"/>
        <n v="5.82"/>
        <n v="4.41"/>
        <n v="4.1100000000000003"/>
        <n v="3.01"/>
        <n v="2.61"/>
        <n v="2.41"/>
        <n v="1.81"/>
        <n v="1.6"/>
        <n v="1.4"/>
        <n v="5.92"/>
        <n v="5.4"/>
        <n v="4.21"/>
        <n v="2.5"/>
        <n v="1.78"/>
        <n v="1.45"/>
        <n v="1.38"/>
        <n v="7.69"/>
        <n v="5.46"/>
        <n v="3.02"/>
        <n v="2.2999999999999998"/>
        <n v="8.51"/>
        <n v="5"/>
        <n v="3.92"/>
        <n v="3.78"/>
        <n v="1.89"/>
        <n v="1.35"/>
        <n v="1.22"/>
        <n v="7.22"/>
        <n v="4.5599999999999996"/>
        <n v="4.18"/>
        <n v="2.66"/>
        <n v="2.2799999999999998"/>
        <n v="1.9"/>
        <n v="1.1399999999999999"/>
        <n v="6.52"/>
        <n v="3.26"/>
        <n v="6.82"/>
        <n v="6.3"/>
        <n v="3.67"/>
        <n v="2.62"/>
        <n v="2.36"/>
        <n v="2.1"/>
        <n v="5.56"/>
        <n v="4.8600000000000003"/>
        <n v="4.17"/>
        <n v="3.47"/>
        <n v="2.78"/>
        <n v="5.36"/>
        <n v="4.7300000000000004"/>
        <n v="3.15"/>
        <n v="2.52"/>
        <n v="2.21"/>
        <n v="9.3800000000000008"/>
        <n v="3.91"/>
        <n v="2.34"/>
        <n v="7.33"/>
        <n v="4.74"/>
        <n v="4.3099999999999996"/>
        <n v="3.45"/>
        <n v="39.44"/>
        <n v="9.86"/>
        <n v="8.4499999999999993"/>
        <n v="2.82"/>
        <n v="5.76"/>
        <n v="5.24"/>
        <n v="4.1900000000000004"/>
        <n v="3.14"/>
        <n v="10.35"/>
        <n v="6.09"/>
        <n v="4.87"/>
        <n v="2.59"/>
        <n v="2.44"/>
        <n v="1.83"/>
        <n v="45.81"/>
        <n v="3.35"/>
        <n v="2.79"/>
        <n v="2.23"/>
        <n v="1.1200000000000001"/>
        <n v="7.25"/>
        <n v="4.3499999999999996"/>
        <n v="15.94"/>
        <n v="8.3699999999999992"/>
        <n v="4.5999999999999996"/>
        <n v="3.56"/>
        <n v="2.93"/>
        <n v="1.88"/>
        <n v="1.46"/>
        <n v="5.15"/>
        <n v="4.3600000000000003"/>
        <n v="3.96"/>
        <n v="3.76"/>
        <n v="3.17"/>
        <n v="2.97"/>
        <n v="2.1800000000000002"/>
        <n v="6.9"/>
        <n v="5.17"/>
        <n v="9.17"/>
        <n v="7.5"/>
        <n v="6.67"/>
        <n v="9.6199999999999992"/>
        <n v="5.77"/>
        <n v="3.85"/>
        <n v="6.84"/>
        <n v="5.98"/>
        <n v="5.13"/>
        <n v="3.42"/>
        <n v="2.56"/>
        <n v="7.41"/>
        <n v="3.7"/>
        <n v="6.25"/>
        <n v="6.03"/>
        <n v="4.46"/>
        <n v="2.46"/>
        <n v="1.34"/>
        <n v="5.74"/>
        <n v="4.24"/>
        <n v="3.99"/>
        <n v="3.49"/>
        <n v="2.74"/>
        <n v="2.2400000000000002"/>
        <n v="2"/>
        <n v="1.5"/>
        <n v="1.25"/>
        <n v="5.83"/>
        <n v="3.33"/>
        <n v="8.08"/>
        <n v="6.06"/>
        <n v="5.05"/>
        <n v="3.03"/>
        <n v="1.01"/>
        <n v="5.87"/>
        <n v="4.8899999999999997"/>
        <n v="2.69"/>
        <n v="2.2000000000000002"/>
        <n v="7.62"/>
        <n v="4.71"/>
        <n v="4.4800000000000004"/>
        <n v="4.26"/>
        <n v="3.59"/>
        <n v="9.14"/>
        <n v="5.08"/>
        <n v="3.55"/>
        <n v="2.54"/>
        <n v="2.0299999999999998"/>
        <n v="4.45"/>
        <n v="2.37"/>
        <n v="13.04"/>
        <n v="5.43"/>
        <n v="6.14"/>
        <n v="4.55"/>
        <n v="2.38"/>
        <n v="5.58"/>
        <n v="7.23"/>
        <n v="5.42"/>
        <n v="4.22"/>
        <n v="1.2"/>
        <n v="6.77"/>
        <n v="5.21"/>
        <n v="4.6900000000000004"/>
        <n v="3.65"/>
        <n v="2.6"/>
        <n v="6.21"/>
        <n v="4.5199999999999996"/>
        <n v="3.39"/>
        <n v="1.1299999999999999"/>
        <n v="5.18"/>
        <n v="4.66"/>
        <n v="3.63"/>
        <n v="3.11"/>
        <n v="6.04"/>
        <n v="5.7"/>
        <n v="3.36"/>
        <n v="2.35"/>
        <n v="7.44"/>
        <n v="4.96"/>
        <n v="4.13"/>
        <n v="3.31"/>
        <n v="2.48"/>
        <n v="2.88"/>
        <n v="12.12"/>
        <n v="8.89"/>
        <n v="4.4400000000000004"/>
        <n v="22.22"/>
        <n v="11.11"/>
        <n v="33.33"/>
        <n v="16.670000000000002"/>
        <n v="8.33"/>
        <n v="6.99"/>
        <n v="6.45"/>
        <n v="5.91"/>
        <n v="3.23"/>
        <n v="2.15"/>
        <n v="1.08"/>
        <n v="10"/>
      </sharedItems>
    </cacheField>
    <cacheField name="総数（個人）" numFmtId="0" sqlType="4">
      <sharedItems containsSemiMixedTypes="0" containsString="0" containsNumber="1" containsInteger="1" minValue="0" maxValue="2419" count="119">
        <n v="2419"/>
        <n v="1444"/>
        <n v="1862"/>
        <n v="876"/>
        <n v="896"/>
        <n v="521"/>
        <n v="147"/>
        <n v="933"/>
        <n v="589"/>
        <n v="783"/>
        <n v="633"/>
        <n v="369"/>
        <n v="498"/>
        <n v="207"/>
        <n v="508"/>
        <n v="137"/>
        <n v="162"/>
        <n v="181"/>
        <n v="209"/>
        <n v="150"/>
        <n v="390"/>
        <n v="312"/>
        <n v="203"/>
        <n v="118"/>
        <n v="76"/>
        <n v="30"/>
        <n v="38"/>
        <n v="97"/>
        <n v="52"/>
        <n v="51"/>
        <n v="86"/>
        <n v="15"/>
        <n v="50"/>
        <n v="34"/>
        <n v="9"/>
        <n v="55"/>
        <n v="13"/>
        <n v="60"/>
        <n v="212"/>
        <n v="135"/>
        <n v="110"/>
        <n v="81"/>
        <n v="79"/>
        <n v="33"/>
        <n v="48"/>
        <n v="44"/>
        <n v="43"/>
        <n v="22"/>
        <n v="10"/>
        <n v="24"/>
        <n v="18"/>
        <n v="6"/>
        <n v="289"/>
        <n v="370"/>
        <n v="267"/>
        <n v="163"/>
        <n v="27"/>
        <n v="131"/>
        <n v="17"/>
        <n v="29"/>
        <n v="21"/>
        <n v="117"/>
        <n v="115"/>
        <n v="8"/>
        <n v="71"/>
        <n v="19"/>
        <n v="28"/>
        <n v="40"/>
        <n v="59"/>
        <n v="453"/>
        <n v="299"/>
        <n v="145"/>
        <n v="173"/>
        <n v="178"/>
        <n v="89"/>
        <n v="154"/>
        <n v="64"/>
        <n v="113"/>
        <n v="78"/>
        <n v="32"/>
        <n v="68"/>
        <n v="12"/>
        <n v="83"/>
        <n v="62"/>
        <n v="70"/>
        <n v="26"/>
        <n v="31"/>
        <n v="39"/>
        <n v="37"/>
        <n v="25"/>
        <n v="1"/>
        <n v="4"/>
        <n v="3"/>
        <n v="11"/>
        <n v="7"/>
        <n v="87"/>
        <n v="69"/>
        <n v="56"/>
        <n v="47"/>
        <n v="20"/>
        <n v="5"/>
        <n v="77"/>
        <n v="35"/>
        <n v="23"/>
        <n v="16"/>
        <n v="65"/>
        <n v="14"/>
        <n v="2"/>
        <n v="99"/>
        <n v="75"/>
        <n v="57"/>
        <n v="42"/>
        <n v="74"/>
        <n v="61"/>
        <n v="0"/>
        <n v="103"/>
        <n v="63"/>
        <n v="46"/>
        <n v="66"/>
      </sharedItems>
    </cacheField>
    <cacheField name="構成比（個人）" numFmtId="0" sqlType="3">
      <sharedItems containsString="0" containsBlank="1" containsNumber="1" minValue="0" maxValue="66.67" count="403">
        <n v="9.94"/>
        <n v="5.94"/>
        <n v="7.65"/>
        <n v="3.6"/>
        <n v="3.68"/>
        <n v="2.14"/>
        <n v="0.6"/>
        <n v="3.84"/>
        <n v="2.42"/>
        <n v="3.22"/>
        <n v="2.6"/>
        <n v="1.52"/>
        <n v="2.0499999999999998"/>
        <n v="0.85"/>
        <n v="2.09"/>
        <n v="0.56000000000000005"/>
        <n v="0.67"/>
        <n v="0.74"/>
        <n v="0.86"/>
        <n v="0.62"/>
        <n v="12.65"/>
        <n v="10.119999999999999"/>
        <n v="6.58"/>
        <n v="3.83"/>
        <n v="4.7699999999999996"/>
        <n v="2.4700000000000002"/>
        <n v="4.4400000000000004"/>
        <n v="0.97"/>
        <n v="1.23"/>
        <n v="3.15"/>
        <n v="1.69"/>
        <n v="1.65"/>
        <n v="2.79"/>
        <n v="0.49"/>
        <n v="1.62"/>
        <n v="1.1000000000000001"/>
        <n v="0.28999999999999998"/>
        <n v="1.78"/>
        <n v="0.42"/>
        <n v="1.95"/>
        <n v="11.31"/>
        <n v="5.17"/>
        <n v="7.2"/>
        <n v="5.87"/>
        <n v="4.32"/>
        <n v="4.21"/>
        <n v="2.77"/>
        <n v="1.76"/>
        <n v="2.56"/>
        <n v="0.8"/>
        <n v="2.35"/>
        <n v="2.29"/>
        <n v="0.69"/>
        <n v="2.67"/>
        <n v="1.17"/>
        <n v="0.53"/>
        <n v="1.28"/>
        <n v="0.96"/>
        <n v="0.32"/>
        <n v="8.67"/>
        <n v="11.1"/>
        <n v="8.01"/>
        <n v="4.8899999999999997"/>
        <n v="0.81"/>
        <n v="3.93"/>
        <n v="0.51"/>
        <n v="0.87"/>
        <n v="0.63"/>
        <n v="3.51"/>
        <n v="3.45"/>
        <n v="0.24"/>
        <n v="2.13"/>
        <n v="0.39"/>
        <n v="0.56999999999999995"/>
        <n v="0.84"/>
        <n v="1.2"/>
        <n v="1.77"/>
        <n v="13.44"/>
        <n v="8.8699999999999992"/>
        <n v="4.3"/>
        <n v="5.13"/>
        <n v="5.28"/>
        <n v="0.3"/>
        <n v="2.64"/>
        <n v="4.57"/>
        <n v="1.9"/>
        <n v="3.35"/>
        <n v="2.31"/>
        <n v="0.95"/>
        <n v="0.98"/>
        <n v="1.1299999999999999"/>
        <n v="2.02"/>
        <n v="0.36"/>
        <n v="9.33"/>
        <n v="6.97"/>
        <n v="7.87"/>
        <n v="2.92"/>
        <n v="3.48"/>
        <n v="4.38"/>
        <n v="4.16"/>
        <n v="2.81"/>
        <n v="1.35"/>
        <n v="0.9"/>
        <n v="1.01"/>
        <n v="0.11"/>
        <n v="1.91"/>
        <n v="0.45"/>
        <n v="0.34"/>
        <n v="1.1200000000000001"/>
        <n v="1.24"/>
        <n v="0.79"/>
        <n v="8.93"/>
        <n v="7.08"/>
        <n v="5.75"/>
        <n v="4.83"/>
        <n v="4.93"/>
        <n v="2.46"/>
        <n v="3.39"/>
        <n v="2.98"/>
        <n v="3.18"/>
        <n v="2.57"/>
        <n v="2.2599999999999998"/>
        <n v="0.92"/>
        <n v="1.75"/>
        <n v="2.16"/>
        <n v="0.72"/>
        <n v="9.14"/>
        <n v="8.91"/>
        <n v="4.05"/>
        <n v="3.47"/>
        <n v="3.7"/>
        <n v="3.24"/>
        <n v="2.5499999999999998"/>
        <n v="2.66"/>
        <n v="1.04"/>
        <n v="1.27"/>
        <n v="1.74"/>
        <n v="0.57999999999999996"/>
        <n v="1.5"/>
        <n v="2.2000000000000002"/>
        <n v="0.35"/>
        <n v="1.85"/>
        <n v="11.46"/>
        <n v="6.17"/>
        <n v="6.53"/>
        <n v="5.1100000000000003"/>
        <n v="5.29"/>
        <n v="4.0599999999999996"/>
        <n v="2.82"/>
        <n v="1.94"/>
        <n v="1.59"/>
        <n v="3"/>
        <n v="1.06"/>
        <n v="1.41"/>
        <n v="0.18"/>
        <n v="11.55"/>
        <n v="8.75"/>
        <n v="6.07"/>
        <n v="0.93"/>
        <n v="2.1"/>
        <n v="2.68"/>
        <n v="3.38"/>
        <n v="2.4500000000000002"/>
        <n v="1.05"/>
        <n v="1.4"/>
        <n v="0.7"/>
        <n v="9.68"/>
        <n v="7.13"/>
        <n v="5.26"/>
        <n v="3.4"/>
        <n v="1.19"/>
        <n v="1.36"/>
        <n v="2.38"/>
        <n v="2.21"/>
        <n v="3.57"/>
        <n v="3.06"/>
        <n v="2.89"/>
        <n v="1.02"/>
        <n v="1.7"/>
        <n v="2.04"/>
        <n v="0.68"/>
        <n v="9.27"/>
        <n v="9.4"/>
        <n v="7.64"/>
        <n v="0.5"/>
        <n v="4.3899999999999997"/>
        <n v="4.01"/>
        <n v="2.0099999999999998"/>
        <n v="2.63"/>
        <n v="2.88"/>
        <n v="3.26"/>
        <n v="0.75"/>
        <n v="1.88"/>
        <n v="0"/>
        <n v="0.25"/>
        <n v="10.62"/>
        <n v="8.0399999999999991"/>
        <n v="6.49"/>
        <n v="4.74"/>
        <n v="2.37"/>
        <n v="1.34"/>
        <n v="2.58"/>
        <n v="2.06"/>
        <n v="0.52"/>
        <n v="1.86"/>
        <n v="11.27"/>
        <n v="7.43"/>
        <n v="6.95"/>
        <n v="1.44"/>
        <n v="3.36"/>
        <n v="2.4"/>
        <n v="8.86"/>
        <n v="7.59"/>
        <n v="3.8"/>
        <n v="6.96"/>
        <n v="5.0599999999999996"/>
        <n v="4.43"/>
        <n v="12.09"/>
        <n v="4.4000000000000004"/>
        <n v="3.3"/>
        <n v="6.59"/>
        <n v="9.2799999999999994"/>
        <n v="5.91"/>
        <n v="2.5299999999999998"/>
        <n v="2.95"/>
        <n v="2.11"/>
        <n v="8"/>
        <n v="1.33"/>
        <n v="5.33"/>
        <n v="4"/>
        <n v="9.0299999999999994"/>
        <n v="3.23"/>
        <n v="3.87"/>
        <n v="5.16"/>
        <n v="1.29"/>
        <n v="4.5199999999999996"/>
        <n v="0.65"/>
        <n v="15.28"/>
        <n v="1.39"/>
        <n v="6.94"/>
        <n v="5.56"/>
        <n v="2.78"/>
        <n v="4.17"/>
        <n v="12.33"/>
        <n v="8.2200000000000006"/>
        <n v="11.64"/>
        <n v="6.16"/>
        <n v="1.37"/>
        <n v="4.79"/>
        <n v="3.42"/>
        <n v="2.74"/>
        <n v="4.1100000000000003"/>
        <n v="51.92"/>
        <n v="1.92"/>
        <n v="11.54"/>
        <n v="7.69"/>
        <n v="3.85"/>
        <n v="7.41"/>
        <n v="8.15"/>
        <n v="5.93"/>
        <n v="2.2200000000000002"/>
        <n v="2.96"/>
        <n v="1.48"/>
        <n v="14.48"/>
        <n v="9.1999999999999993"/>
        <n v="7.36"/>
        <n v="3.91"/>
        <n v="2.76"/>
        <n v="1.1499999999999999"/>
        <n v="1.38"/>
        <n v="1.84"/>
        <n v="1.61"/>
        <n v="2.2999999999999998"/>
        <n v="56.41"/>
        <n v="1.71"/>
        <n v="10.79"/>
        <n v="5.04"/>
        <n v="21.62"/>
        <n v="5.41"/>
        <n v="8.11"/>
        <n v="2.7"/>
        <n v="11.79"/>
        <n v="8.3699999999999992"/>
        <n v="6.08"/>
        <n v="4.18"/>
        <n v="3.04"/>
        <n v="0.76"/>
        <n v="2.2799999999999998"/>
        <n v="7.27"/>
        <n v="6.67"/>
        <n v="5.76"/>
        <n v="5.45"/>
        <n v="4.55"/>
        <n v="1.21"/>
        <n v="3.64"/>
        <n v="2.12"/>
        <n v="0.61"/>
        <n v="1.82"/>
        <n v="2.73"/>
        <n v="0.91"/>
        <n v="11.11"/>
        <n v="9.8800000000000008"/>
        <n v="8.64"/>
        <n v="17.86"/>
        <n v="14.29"/>
        <n v="7.14"/>
        <n v="8.33"/>
        <n v="9.36"/>
        <n v="5.0199999999999996"/>
        <n v="2.34"/>
        <n v="3.34"/>
        <n v="3.01"/>
        <n v="1.67"/>
        <n v="1"/>
        <n v="0.33"/>
        <n v="8.16"/>
        <n v="4.59"/>
        <n v="5.61"/>
        <n v="1.53"/>
        <n v="8.77"/>
        <n v="12.28"/>
        <n v="10.53"/>
        <n v="3.28"/>
        <n v="9.84"/>
        <n v="6.56"/>
        <n v="1.64"/>
        <n v="4.92"/>
        <n v="9.5399999999999991"/>
        <n v="7.88"/>
        <n v="1.66"/>
        <n v="4.1500000000000004"/>
        <n v="0.83"/>
        <n v="2.0699999999999998"/>
        <n v="3.32"/>
        <n v="2.4900000000000002"/>
        <n v="2.9"/>
        <n v="0.41"/>
        <n v="10.47"/>
        <n v="6.42"/>
        <n v="5.74"/>
        <n v="2.36"/>
        <n v="2.0299999999999998"/>
        <n v="11.72"/>
        <n v="5.52"/>
        <n v="6.9"/>
        <n v="8.84"/>
        <n v="6.02"/>
        <n v="4.82"/>
        <n v="4.0199999999999996"/>
        <n v="2.41"/>
        <n v="3.21"/>
        <n v="15.94"/>
        <n v="1.45"/>
        <n v="7.25"/>
        <n v="5.8"/>
        <n v="4.3499999999999996"/>
        <n v="7.54"/>
        <n v="3.61"/>
        <n v="2.62"/>
        <n v="1.97"/>
        <n v="1.31"/>
        <n v="4.84"/>
        <n v="8.06"/>
        <n v="4.03"/>
        <n v="12.5"/>
        <n v="6.25"/>
        <n v="9.3800000000000008"/>
        <n v="3.13"/>
        <n v="2.08"/>
        <n v="5.21"/>
        <n v="9.2899999999999991"/>
        <n v="6.43"/>
        <n v="2.86"/>
        <n v="0.71"/>
        <n v="1.43"/>
        <n v="8.27"/>
        <n v="4.51"/>
        <n v="3.76"/>
        <n v="9.8000000000000007"/>
        <n v="7.84"/>
        <n v="6.86"/>
        <n v="3.43"/>
        <n v="1.47"/>
        <n v="1.96"/>
        <n v="2.94"/>
        <n v="5.46"/>
        <n v="2.19"/>
        <n v="0.55000000000000004"/>
        <n v="2.27"/>
        <n v="11.36"/>
        <n v="9.09"/>
        <n v="6.82"/>
        <n v="13.64"/>
        <n v="28.57"/>
        <n v="33.33"/>
        <m/>
        <n v="21.43"/>
        <n v="66.67"/>
        <n v="12.77"/>
        <n v="11.7"/>
        <n v="5.32"/>
        <n v="3.19"/>
        <n v="15.38"/>
      </sharedItems>
    </cacheField>
    <cacheField name="総数（法人）" numFmtId="0" sqlType="4">
      <sharedItems containsSemiMixedTypes="0" containsString="0" containsNumber="1" containsInteger="1" minValue="0" maxValue="842" count="98">
        <n v="259"/>
        <n v="734"/>
        <n v="60"/>
        <n v="266"/>
        <n v="111"/>
        <n v="475"/>
        <n v="842"/>
        <n v="57"/>
        <n v="382"/>
        <n v="131"/>
        <n v="170"/>
        <n v="428"/>
        <n v="283"/>
        <n v="577"/>
        <n v="262"/>
        <n v="562"/>
        <n v="521"/>
        <n v="493"/>
        <n v="468"/>
        <n v="480"/>
        <n v="121"/>
        <n v="61"/>
        <n v="10"/>
        <n v="46"/>
        <n v="66"/>
        <n v="5"/>
        <n v="106"/>
        <n v="94"/>
        <n v="35"/>
        <n v="77"/>
        <n v="71"/>
        <n v="27"/>
        <n v="95"/>
        <n v="52"/>
        <n v="64"/>
        <n v="47"/>
        <n v="29"/>
        <n v="68"/>
        <n v="21"/>
        <n v="11"/>
        <n v="70"/>
        <n v="2"/>
        <n v="7"/>
        <n v="19"/>
        <n v="41"/>
        <n v="15"/>
        <n v="43"/>
        <n v="38"/>
        <n v="39"/>
        <n v="25"/>
        <n v="31"/>
        <n v="42"/>
        <n v="224"/>
        <n v="73"/>
        <n v="13"/>
        <n v="37"/>
        <n v="157"/>
        <n v="49"/>
        <n v="145"/>
        <n v="130"/>
        <n v="132"/>
        <n v="33"/>
        <n v="8"/>
        <n v="125"/>
        <n v="62"/>
        <n v="114"/>
        <n v="108"/>
        <n v="87"/>
        <n v="50"/>
        <n v="32"/>
        <n v="166"/>
        <n v="86"/>
        <n v="20"/>
        <n v="101"/>
        <n v="141"/>
        <n v="54"/>
        <n v="96"/>
        <n v="92"/>
        <n v="79"/>
        <n v="102"/>
        <n v="34"/>
        <n v="89"/>
        <n v="6"/>
        <n v="3"/>
        <n v="4"/>
        <n v="23"/>
        <n v="16"/>
        <n v="18"/>
        <n v="26"/>
        <n v="14"/>
        <n v="1"/>
        <n v="24"/>
        <n v="12"/>
        <n v="17"/>
        <n v="0"/>
        <n v="9"/>
        <n v="22"/>
        <n v="40"/>
      </sharedItems>
    </cacheField>
    <cacheField name="構成比（法人）" numFmtId="0" sqlType="3">
      <sharedItems containsSemiMixedTypes="0" containsString="0" containsNumber="1" minValue="0" maxValue="45.45" count="310">
        <n v="1.1399999999999999"/>
        <n v="3.22"/>
        <n v="0.26"/>
        <n v="1.17"/>
        <n v="0.49"/>
        <n v="2.08"/>
        <n v="3.7"/>
        <n v="0.25"/>
        <n v="1.68"/>
        <n v="0.56999999999999995"/>
        <n v="0.75"/>
        <n v="1.88"/>
        <n v="1.24"/>
        <n v="2.5299999999999998"/>
        <n v="1.1499999999999999"/>
        <n v="2.4700000000000002"/>
        <n v="2.29"/>
        <n v="2.16"/>
        <n v="2.0499999999999998"/>
        <n v="2.11"/>
        <n v="3.49"/>
        <n v="1.76"/>
        <n v="0.28999999999999998"/>
        <n v="1.33"/>
        <n v="1.9"/>
        <n v="0.14000000000000001"/>
        <n v="3.05"/>
        <n v="2.71"/>
        <n v="1.01"/>
        <n v="2.2200000000000002"/>
        <n v="0.78"/>
        <n v="2.74"/>
        <n v="1.5"/>
        <n v="1.84"/>
        <n v="1.35"/>
        <n v="0.84"/>
        <n v="1.96"/>
        <n v="0.61"/>
        <n v="0.65"/>
        <n v="4.12"/>
        <n v="0.12"/>
        <n v="0.41"/>
        <n v="1.1200000000000001"/>
        <n v="0.59"/>
        <n v="1.7"/>
        <n v="2.41"/>
        <n v="0.88"/>
        <n v="2.76"/>
        <n v="2.23"/>
        <n v="1.47"/>
        <n v="1.82"/>
        <n v="4.58"/>
        <n v="1.49"/>
        <n v="0.27"/>
        <n v="0.76"/>
        <n v="3.21"/>
        <n v="1"/>
        <n v="2.96"/>
        <n v="2.66"/>
        <n v="2.7"/>
        <n v="0.67"/>
        <n v="0.63"/>
        <n v="0.16"/>
        <n v="2.5499999999999998"/>
        <n v="1.27"/>
        <n v="2.33"/>
        <n v="2.21"/>
        <n v="1.78"/>
        <n v="1.39"/>
        <n v="1.02"/>
        <n v="0.96"/>
        <n v="1.06"/>
        <n v="0.44"/>
        <n v="1.43"/>
        <n v="0.74"/>
        <n v="3.84"/>
        <n v="1.99"/>
        <n v="0.46"/>
        <n v="3.03"/>
        <n v="3.26"/>
        <n v="0.9"/>
        <n v="1.25"/>
        <n v="2.13"/>
        <n v="1.83"/>
        <n v="2.36"/>
        <n v="0.79"/>
        <n v="2.06"/>
        <n v="0.91"/>
        <n v="1.66"/>
        <n v="0.45"/>
        <n v="4.6900000000000004"/>
        <n v="2.27"/>
        <n v="3.48"/>
        <n v="2.42"/>
        <n v="2.87"/>
        <n v="2.72"/>
        <n v="3.93"/>
        <n v="0.3"/>
        <n v="1.51"/>
        <n v="2.12"/>
        <n v="2.4900000000000002"/>
        <n v="0.95"/>
        <n v="0.24"/>
        <n v="2.85"/>
        <n v="1.54"/>
        <n v="1.3"/>
        <n v="0.83"/>
        <n v="1.42"/>
        <n v="3.08"/>
        <n v="2.25"/>
        <n v="0.47"/>
        <n v="2.14"/>
        <n v="2.02"/>
        <n v="0"/>
        <n v="1.52"/>
        <n v="2.38"/>
        <n v="1.73"/>
        <n v="0.22"/>
        <n v="0.87"/>
        <n v="3.46"/>
        <n v="2.81"/>
        <n v="1.95"/>
        <n v="3.9"/>
        <n v="0.43"/>
        <n v="3.25"/>
        <n v="2.58"/>
        <n v="1.55"/>
        <n v="3.1"/>
        <n v="2.84"/>
        <n v="3.36"/>
        <n v="4.6500000000000004"/>
        <n v="1.81"/>
        <n v="0.52"/>
        <n v="1.29"/>
        <n v="0.37"/>
        <n v="0.56000000000000005"/>
        <n v="2.79"/>
        <n v="0.93"/>
        <n v="0.19"/>
        <n v="1.86"/>
        <n v="1.67"/>
        <n v="0.51"/>
        <n v="5.56"/>
        <n v="2.78"/>
        <n v="4.29"/>
        <n v="1.26"/>
        <n v="1.77"/>
        <n v="5.81"/>
        <n v="0.57999999999999996"/>
        <n v="2.91"/>
        <n v="1.89"/>
        <n v="2.62"/>
        <n v="1.45"/>
        <n v="1.6"/>
        <n v="2.6"/>
        <n v="3.72"/>
        <n v="2.97"/>
        <n v="4.09"/>
        <n v="3.53"/>
        <n v="3.35"/>
        <n v="3.16"/>
        <n v="5.05"/>
        <n v="6.94"/>
        <n v="1.58"/>
        <n v="0.32"/>
        <n v="2.52"/>
        <n v="5"/>
        <n v="2"/>
        <n v="4"/>
        <n v="3"/>
        <n v="6.74"/>
        <n v="3.37"/>
        <n v="5.62"/>
        <n v="4.49"/>
        <n v="2.88"/>
        <n v="1.44"/>
        <n v="3.6"/>
        <n v="0.72"/>
        <n v="6.06"/>
        <n v="7.58"/>
        <n v="4.55"/>
        <n v="1.92"/>
        <n v="7.69"/>
        <n v="3.85"/>
        <n v="5.77"/>
        <n v="6.58"/>
        <n v="2.63"/>
        <n v="10.53"/>
        <n v="13.16"/>
        <n v="1.32"/>
        <n v="3.95"/>
        <n v="5.26"/>
        <n v="9.09"/>
        <n v="45.45"/>
        <n v="18.18"/>
        <n v="9.8000000000000007"/>
        <n v="3.92"/>
        <n v="7.84"/>
        <n v="5.12"/>
        <n v="4.1900000000000004"/>
        <n v="1.4"/>
        <n v="28.57"/>
        <n v="1.79"/>
        <n v="5.36"/>
        <n v="3.57"/>
        <n v="3.23"/>
        <n v="9.68"/>
        <n v="1.61"/>
        <n v="4.84"/>
        <n v="6.45"/>
        <n v="10"/>
        <n v="3.33"/>
        <n v="4.33"/>
        <n v="0.48"/>
        <n v="2.4"/>
        <n v="4.8099999999999996"/>
        <n v="5.29"/>
        <n v="1.2"/>
        <n v="0.6"/>
        <n v="6.63"/>
        <n v="4.82"/>
        <n v="3.61"/>
        <n v="3.01"/>
        <n v="10.34"/>
        <n v="6.9"/>
        <n v="3.45"/>
        <n v="7.89"/>
        <n v="4.3499999999999996"/>
        <n v="8.6999999999999993"/>
        <n v="2.94"/>
        <n v="11.76"/>
        <n v="5.88"/>
        <n v="8.82"/>
        <n v="6.25"/>
        <n v="12.5"/>
        <n v="3.5"/>
        <n v="4.2"/>
        <n v="2.1"/>
        <n v="0.7"/>
        <n v="2.8"/>
        <n v="3.52"/>
        <n v="8.0399999999999991"/>
        <n v="0.5"/>
        <n v="4.5199999999999996"/>
        <n v="2.5099999999999998"/>
        <n v="3.02"/>
        <n v="4.0199999999999996"/>
        <n v="2.0099999999999998"/>
        <n v="5.08"/>
        <n v="3.39"/>
        <n v="1.69"/>
        <n v="16.670000000000002"/>
        <n v="8.33"/>
        <n v="4.88"/>
        <n v="4.2699999999999996"/>
        <n v="5.49"/>
        <n v="1.22"/>
        <n v="2.44"/>
        <n v="3.66"/>
        <n v="2.0699999999999998"/>
        <n v="1.38"/>
        <n v="6.21"/>
        <n v="0.69"/>
        <n v="4.83"/>
        <n v="2.17"/>
        <n v="6.1"/>
        <n v="0.53"/>
        <n v="8.99"/>
        <n v="1.59"/>
        <n v="4.2300000000000004"/>
        <n v="2.65"/>
        <n v="7.94"/>
        <n v="6.35"/>
        <n v="4.76"/>
        <n v="3.17"/>
        <n v="4.62"/>
        <n v="6.15"/>
        <n v="9.23"/>
        <n v="6.12"/>
        <n v="4.08"/>
        <n v="10.199999999999999"/>
        <n v="2.04"/>
        <n v="15.91"/>
        <n v="6.82"/>
        <n v="5.75"/>
        <n v="4.5999999999999996"/>
        <n v="2.2999999999999998"/>
        <n v="1.72"/>
        <n v="2.75"/>
        <n v="6.42"/>
        <n v="3.67"/>
        <n v="0.92"/>
        <n v="4.59"/>
        <n v="12"/>
        <n v="5.33"/>
        <n v="6.67"/>
        <n v="2.67"/>
        <n v="10.17"/>
        <n v="12.28"/>
        <n v="7.02"/>
        <n v="3.51"/>
        <n v="1.75"/>
        <n v="40"/>
        <n v="20"/>
        <n v="33.33"/>
        <n v="14.12"/>
        <n v="7.06"/>
        <n v="4.71"/>
        <n v="1.18"/>
        <n v="2.35"/>
      </sharedItems>
    </cacheField>
    <cacheField name="総数（法人以外の団体）" numFmtId="0" sqlType="4">
      <sharedItems containsSemiMixedTypes="0" containsString="0" containsNumber="1" containsInteger="1" minValue="0" maxValue="12" count="6">
        <n v="0"/>
        <n v="1"/>
        <n v="3"/>
        <n v="4"/>
        <n v="12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0">
  <r>
    <x v="0"/>
    <s v="福島県"/>
    <x v="0"/>
    <x v="0"/>
    <n v="22"/>
    <n v="0.05"/>
    <n v="5"/>
    <n v="0.02"/>
    <n v="17"/>
    <n v="7.0000000000000007E-2"/>
    <x v="0"/>
  </r>
  <r>
    <x v="0"/>
    <s v="福島県"/>
    <x v="0"/>
    <x v="1"/>
    <n v="7663"/>
    <n v="16.09"/>
    <n v="2532"/>
    <n v="10.41"/>
    <n v="5130"/>
    <n v="22.51"/>
    <x v="1"/>
  </r>
  <r>
    <x v="0"/>
    <s v="福島県"/>
    <x v="0"/>
    <x v="2"/>
    <n v="3698"/>
    <n v="7.76"/>
    <n v="1342"/>
    <n v="5.52"/>
    <n v="2352"/>
    <n v="10.32"/>
    <x v="2"/>
  </r>
  <r>
    <x v="0"/>
    <s v="福島県"/>
    <x v="0"/>
    <x v="3"/>
    <n v="121"/>
    <n v="0.25"/>
    <n v="2"/>
    <n v="0.01"/>
    <n v="96"/>
    <n v="0.42"/>
    <x v="0"/>
  </r>
  <r>
    <x v="0"/>
    <s v="福島県"/>
    <x v="0"/>
    <x v="4"/>
    <n v="326"/>
    <n v="0.68"/>
    <n v="28"/>
    <n v="0.12"/>
    <n v="295"/>
    <n v="1.29"/>
    <x v="2"/>
  </r>
  <r>
    <x v="0"/>
    <s v="福島県"/>
    <x v="0"/>
    <x v="5"/>
    <n v="456"/>
    <n v="0.96"/>
    <n v="104"/>
    <n v="0.43"/>
    <n v="341"/>
    <n v="1.5"/>
    <x v="3"/>
  </r>
  <r>
    <x v="0"/>
    <s v="福島県"/>
    <x v="0"/>
    <x v="6"/>
    <n v="11275"/>
    <n v="23.67"/>
    <n v="5246"/>
    <n v="21.57"/>
    <n v="5989"/>
    <n v="26.28"/>
    <x v="4"/>
  </r>
  <r>
    <x v="0"/>
    <s v="福島県"/>
    <x v="0"/>
    <x v="7"/>
    <n v="394"/>
    <n v="0.83"/>
    <n v="62"/>
    <n v="0.25"/>
    <n v="332"/>
    <n v="1.46"/>
    <x v="0"/>
  </r>
  <r>
    <x v="0"/>
    <s v="福島県"/>
    <x v="0"/>
    <x v="8"/>
    <n v="4083"/>
    <n v="8.57"/>
    <n v="1876"/>
    <n v="7.71"/>
    <n v="2196"/>
    <n v="9.64"/>
    <x v="5"/>
  </r>
  <r>
    <x v="0"/>
    <s v="福島県"/>
    <x v="0"/>
    <x v="9"/>
    <n v="2192"/>
    <n v="4.5999999999999996"/>
    <n v="984"/>
    <n v="4.05"/>
    <n v="1194"/>
    <n v="5.24"/>
    <x v="6"/>
  </r>
  <r>
    <x v="0"/>
    <s v="福島県"/>
    <x v="0"/>
    <x v="10"/>
    <n v="5562"/>
    <n v="11.68"/>
    <n v="4209"/>
    <n v="17.3"/>
    <n v="1320"/>
    <n v="5.79"/>
    <x v="6"/>
  </r>
  <r>
    <x v="0"/>
    <s v="福島県"/>
    <x v="0"/>
    <x v="11"/>
    <n v="6276"/>
    <n v="13.18"/>
    <n v="5003"/>
    <n v="20.57"/>
    <n v="1238"/>
    <n v="5.43"/>
    <x v="7"/>
  </r>
  <r>
    <x v="0"/>
    <s v="福島県"/>
    <x v="0"/>
    <x v="12"/>
    <n v="1525"/>
    <n v="3.2"/>
    <n v="971"/>
    <n v="3.99"/>
    <n v="381"/>
    <n v="1.67"/>
    <x v="7"/>
  </r>
  <r>
    <x v="0"/>
    <s v="福島県"/>
    <x v="0"/>
    <x v="13"/>
    <n v="2183"/>
    <n v="4.58"/>
    <n v="1270"/>
    <n v="5.22"/>
    <n v="821"/>
    <n v="3.6"/>
    <x v="5"/>
  </r>
  <r>
    <x v="0"/>
    <s v="福島県"/>
    <x v="0"/>
    <x v="14"/>
    <n v="1852"/>
    <n v="3.89"/>
    <n v="691"/>
    <n v="2.84"/>
    <n v="1083"/>
    <n v="4.75"/>
    <x v="8"/>
  </r>
  <r>
    <x v="0"/>
    <s v="福島市"/>
    <x v="1"/>
    <x v="0"/>
    <n v="0"/>
    <n v="0"/>
    <n v="0"/>
    <n v="0"/>
    <n v="0"/>
    <n v="0"/>
    <x v="0"/>
  </r>
  <r>
    <x v="0"/>
    <s v="福島市"/>
    <x v="1"/>
    <x v="1"/>
    <n v="834"/>
    <n v="12.67"/>
    <n v="182"/>
    <n v="5.9"/>
    <n v="652"/>
    <n v="18.79"/>
    <x v="0"/>
  </r>
  <r>
    <x v="0"/>
    <s v="福島市"/>
    <x v="1"/>
    <x v="2"/>
    <n v="374"/>
    <n v="5.68"/>
    <n v="94"/>
    <n v="3.05"/>
    <n v="280"/>
    <n v="8.07"/>
    <x v="0"/>
  </r>
  <r>
    <x v="0"/>
    <s v="福島市"/>
    <x v="1"/>
    <x v="3"/>
    <n v="13"/>
    <n v="0.2"/>
    <n v="0"/>
    <n v="0"/>
    <n v="12"/>
    <n v="0.35"/>
    <x v="0"/>
  </r>
  <r>
    <x v="0"/>
    <s v="福島市"/>
    <x v="1"/>
    <x v="4"/>
    <n v="63"/>
    <n v="0.96"/>
    <n v="3"/>
    <n v="0.1"/>
    <n v="59"/>
    <n v="1.7"/>
    <x v="1"/>
  </r>
  <r>
    <x v="0"/>
    <s v="福島市"/>
    <x v="1"/>
    <x v="5"/>
    <n v="55"/>
    <n v="0.84"/>
    <n v="23"/>
    <n v="0.75"/>
    <n v="31"/>
    <n v="0.89"/>
    <x v="1"/>
  </r>
  <r>
    <x v="0"/>
    <s v="福島市"/>
    <x v="1"/>
    <x v="6"/>
    <n v="1558"/>
    <n v="23.67"/>
    <n v="604"/>
    <n v="19.59"/>
    <n v="950"/>
    <n v="27.38"/>
    <x v="6"/>
  </r>
  <r>
    <x v="0"/>
    <s v="福島市"/>
    <x v="1"/>
    <x v="7"/>
    <n v="53"/>
    <n v="0.81"/>
    <n v="5"/>
    <n v="0.16"/>
    <n v="48"/>
    <n v="1.38"/>
    <x v="0"/>
  </r>
  <r>
    <x v="0"/>
    <s v="福島市"/>
    <x v="1"/>
    <x v="8"/>
    <n v="874"/>
    <n v="13.28"/>
    <n v="508"/>
    <n v="16.48"/>
    <n v="364"/>
    <n v="10.49"/>
    <x v="1"/>
  </r>
  <r>
    <x v="0"/>
    <s v="福島市"/>
    <x v="1"/>
    <x v="9"/>
    <n v="406"/>
    <n v="6.17"/>
    <n v="167"/>
    <n v="5.42"/>
    <n v="237"/>
    <n v="6.83"/>
    <x v="1"/>
  </r>
  <r>
    <x v="0"/>
    <s v="福島市"/>
    <x v="1"/>
    <x v="10"/>
    <n v="738"/>
    <n v="11.21"/>
    <n v="513"/>
    <n v="16.64"/>
    <n v="222"/>
    <n v="6.4"/>
    <x v="0"/>
  </r>
  <r>
    <x v="0"/>
    <s v="福島市"/>
    <x v="1"/>
    <x v="11"/>
    <n v="847"/>
    <n v="12.87"/>
    <n v="601"/>
    <n v="19.489999999999998"/>
    <n v="241"/>
    <n v="6.95"/>
    <x v="0"/>
  </r>
  <r>
    <x v="0"/>
    <s v="福島市"/>
    <x v="1"/>
    <x v="12"/>
    <n v="194"/>
    <n v="2.95"/>
    <n v="121"/>
    <n v="3.92"/>
    <n v="70"/>
    <n v="2.02"/>
    <x v="0"/>
  </r>
  <r>
    <x v="0"/>
    <s v="福島市"/>
    <x v="1"/>
    <x v="13"/>
    <n v="308"/>
    <n v="4.68"/>
    <n v="192"/>
    <n v="6.23"/>
    <n v="113"/>
    <n v="3.26"/>
    <x v="9"/>
  </r>
  <r>
    <x v="0"/>
    <s v="福島市"/>
    <x v="1"/>
    <x v="14"/>
    <n v="264"/>
    <n v="4.01"/>
    <n v="70"/>
    <n v="2.27"/>
    <n v="191"/>
    <n v="5.5"/>
    <x v="2"/>
  </r>
  <r>
    <x v="0"/>
    <s v="会津若松市"/>
    <x v="2"/>
    <x v="0"/>
    <n v="0"/>
    <n v="0"/>
    <n v="0"/>
    <n v="0"/>
    <n v="0"/>
    <n v="0"/>
    <x v="0"/>
  </r>
  <r>
    <x v="0"/>
    <s v="会津若松市"/>
    <x v="2"/>
    <x v="1"/>
    <n v="481"/>
    <n v="13.34"/>
    <n v="149"/>
    <n v="7.95"/>
    <n v="332"/>
    <n v="19.52"/>
    <x v="0"/>
  </r>
  <r>
    <x v="0"/>
    <s v="会津若松市"/>
    <x v="2"/>
    <x v="2"/>
    <n v="306"/>
    <n v="8.49"/>
    <n v="147"/>
    <n v="7.84"/>
    <n v="159"/>
    <n v="9.35"/>
    <x v="0"/>
  </r>
  <r>
    <x v="0"/>
    <s v="会津若松市"/>
    <x v="2"/>
    <x v="3"/>
    <n v="3"/>
    <n v="0.08"/>
    <n v="0"/>
    <n v="0"/>
    <n v="1"/>
    <n v="0.06"/>
    <x v="0"/>
  </r>
  <r>
    <x v="0"/>
    <s v="会津若松市"/>
    <x v="2"/>
    <x v="4"/>
    <n v="38"/>
    <n v="1.05"/>
    <n v="1"/>
    <n v="0.05"/>
    <n v="36"/>
    <n v="2.12"/>
    <x v="1"/>
  </r>
  <r>
    <x v="0"/>
    <s v="会津若松市"/>
    <x v="2"/>
    <x v="5"/>
    <n v="23"/>
    <n v="0.64"/>
    <n v="2"/>
    <n v="0.11"/>
    <n v="20"/>
    <n v="1.18"/>
    <x v="1"/>
  </r>
  <r>
    <x v="0"/>
    <s v="会津若松市"/>
    <x v="2"/>
    <x v="6"/>
    <n v="853"/>
    <n v="23.66"/>
    <n v="368"/>
    <n v="19.63"/>
    <n v="483"/>
    <n v="28.4"/>
    <x v="2"/>
  </r>
  <r>
    <x v="0"/>
    <s v="会津若松市"/>
    <x v="2"/>
    <x v="7"/>
    <n v="33"/>
    <n v="0.92"/>
    <n v="3"/>
    <n v="0.16"/>
    <n v="30"/>
    <n v="1.76"/>
    <x v="0"/>
  </r>
  <r>
    <x v="0"/>
    <s v="会津若松市"/>
    <x v="2"/>
    <x v="8"/>
    <n v="330"/>
    <n v="9.15"/>
    <n v="136"/>
    <n v="7.25"/>
    <n v="192"/>
    <n v="11.29"/>
    <x v="2"/>
  </r>
  <r>
    <x v="0"/>
    <s v="会津若松市"/>
    <x v="2"/>
    <x v="9"/>
    <n v="177"/>
    <n v="4.91"/>
    <n v="88"/>
    <n v="4.6900000000000004"/>
    <n v="88"/>
    <n v="5.17"/>
    <x v="0"/>
  </r>
  <r>
    <x v="0"/>
    <s v="会津若松市"/>
    <x v="2"/>
    <x v="10"/>
    <n v="507"/>
    <n v="14.06"/>
    <n v="384"/>
    <n v="20.48"/>
    <n v="120"/>
    <n v="7.05"/>
    <x v="0"/>
  </r>
  <r>
    <x v="0"/>
    <s v="会津若松市"/>
    <x v="2"/>
    <x v="11"/>
    <n v="489"/>
    <n v="13.56"/>
    <n v="403"/>
    <n v="21.49"/>
    <n v="85"/>
    <n v="5"/>
    <x v="0"/>
  </r>
  <r>
    <x v="0"/>
    <s v="会津若松市"/>
    <x v="2"/>
    <x v="12"/>
    <n v="110"/>
    <n v="3.05"/>
    <n v="74"/>
    <n v="3.95"/>
    <n v="30"/>
    <n v="1.76"/>
    <x v="0"/>
  </r>
  <r>
    <x v="0"/>
    <s v="会津若松市"/>
    <x v="2"/>
    <x v="13"/>
    <n v="140"/>
    <n v="3.88"/>
    <n v="82"/>
    <n v="4.37"/>
    <n v="55"/>
    <n v="3.23"/>
    <x v="1"/>
  </r>
  <r>
    <x v="0"/>
    <s v="会津若松市"/>
    <x v="2"/>
    <x v="14"/>
    <n v="116"/>
    <n v="3.22"/>
    <n v="38"/>
    <n v="2.0299999999999998"/>
    <n v="70"/>
    <n v="4.12"/>
    <x v="10"/>
  </r>
  <r>
    <x v="0"/>
    <s v="郡山市"/>
    <x v="3"/>
    <x v="0"/>
    <n v="0"/>
    <n v="0"/>
    <n v="0"/>
    <n v="0"/>
    <n v="0"/>
    <n v="0"/>
    <x v="0"/>
  </r>
  <r>
    <x v="0"/>
    <s v="郡山市"/>
    <x v="3"/>
    <x v="1"/>
    <n v="1328"/>
    <n v="16.04"/>
    <n v="225"/>
    <n v="6.75"/>
    <n v="1103"/>
    <n v="22.54"/>
    <x v="0"/>
  </r>
  <r>
    <x v="0"/>
    <s v="郡山市"/>
    <x v="3"/>
    <x v="2"/>
    <n v="454"/>
    <n v="5.48"/>
    <n v="128"/>
    <n v="3.84"/>
    <n v="326"/>
    <n v="6.66"/>
    <x v="0"/>
  </r>
  <r>
    <x v="0"/>
    <s v="郡山市"/>
    <x v="3"/>
    <x v="3"/>
    <n v="16"/>
    <n v="0.19"/>
    <n v="0"/>
    <n v="0"/>
    <n v="16"/>
    <n v="0.33"/>
    <x v="0"/>
  </r>
  <r>
    <x v="0"/>
    <s v="郡山市"/>
    <x v="3"/>
    <x v="4"/>
    <n v="67"/>
    <n v="0.81"/>
    <n v="4"/>
    <n v="0.12"/>
    <n v="63"/>
    <n v="1.29"/>
    <x v="0"/>
  </r>
  <r>
    <x v="0"/>
    <s v="郡山市"/>
    <x v="3"/>
    <x v="5"/>
    <n v="82"/>
    <n v="0.99"/>
    <n v="12"/>
    <n v="0.36"/>
    <n v="70"/>
    <n v="1.43"/>
    <x v="0"/>
  </r>
  <r>
    <x v="0"/>
    <s v="郡山市"/>
    <x v="3"/>
    <x v="6"/>
    <n v="1812"/>
    <n v="21.88"/>
    <n v="566"/>
    <n v="16.989999999999998"/>
    <n v="1240"/>
    <n v="25.34"/>
    <x v="11"/>
  </r>
  <r>
    <x v="0"/>
    <s v="郡山市"/>
    <x v="3"/>
    <x v="7"/>
    <n v="90"/>
    <n v="1.0900000000000001"/>
    <n v="9"/>
    <n v="0.27"/>
    <n v="81"/>
    <n v="1.66"/>
    <x v="0"/>
  </r>
  <r>
    <x v="0"/>
    <s v="郡山市"/>
    <x v="3"/>
    <x v="8"/>
    <n v="1073"/>
    <n v="12.96"/>
    <n v="378"/>
    <n v="11.34"/>
    <n v="692"/>
    <n v="14.14"/>
    <x v="1"/>
  </r>
  <r>
    <x v="0"/>
    <s v="郡山市"/>
    <x v="3"/>
    <x v="9"/>
    <n v="520"/>
    <n v="6.28"/>
    <n v="186"/>
    <n v="5.58"/>
    <n v="333"/>
    <n v="6.81"/>
    <x v="0"/>
  </r>
  <r>
    <x v="0"/>
    <s v="郡山市"/>
    <x v="3"/>
    <x v="10"/>
    <n v="741"/>
    <n v="8.9499999999999993"/>
    <n v="549"/>
    <n v="16.48"/>
    <n v="192"/>
    <n v="3.92"/>
    <x v="0"/>
  </r>
  <r>
    <x v="0"/>
    <s v="郡山市"/>
    <x v="3"/>
    <x v="11"/>
    <n v="1024"/>
    <n v="12.37"/>
    <n v="763"/>
    <n v="22.9"/>
    <n v="258"/>
    <n v="5.27"/>
    <x v="1"/>
  </r>
  <r>
    <x v="0"/>
    <s v="郡山市"/>
    <x v="3"/>
    <x v="12"/>
    <n v="296"/>
    <n v="3.57"/>
    <n v="182"/>
    <n v="5.46"/>
    <n v="79"/>
    <n v="1.61"/>
    <x v="9"/>
  </r>
  <r>
    <x v="0"/>
    <s v="郡山市"/>
    <x v="3"/>
    <x v="13"/>
    <n v="409"/>
    <n v="4.9400000000000004"/>
    <n v="243"/>
    <n v="7.29"/>
    <n v="165"/>
    <n v="3.37"/>
    <x v="0"/>
  </r>
  <r>
    <x v="0"/>
    <s v="郡山市"/>
    <x v="3"/>
    <x v="14"/>
    <n v="369"/>
    <n v="4.46"/>
    <n v="87"/>
    <n v="2.61"/>
    <n v="275"/>
    <n v="5.62"/>
    <x v="6"/>
  </r>
  <r>
    <x v="0"/>
    <s v="いわき市"/>
    <x v="4"/>
    <x v="0"/>
    <n v="5"/>
    <n v="0.06"/>
    <n v="0"/>
    <n v="0"/>
    <n v="5"/>
    <n v="0.12"/>
    <x v="0"/>
  </r>
  <r>
    <x v="0"/>
    <s v="いわき市"/>
    <x v="4"/>
    <x v="1"/>
    <n v="1220"/>
    <n v="15.75"/>
    <n v="206"/>
    <n v="6.11"/>
    <n v="1014"/>
    <n v="23.43"/>
    <x v="0"/>
  </r>
  <r>
    <x v="0"/>
    <s v="いわき市"/>
    <x v="4"/>
    <x v="2"/>
    <n v="558"/>
    <n v="7.2"/>
    <n v="153"/>
    <n v="4.54"/>
    <n v="404"/>
    <n v="9.33"/>
    <x v="1"/>
  </r>
  <r>
    <x v="0"/>
    <s v="いわき市"/>
    <x v="4"/>
    <x v="3"/>
    <n v="21"/>
    <n v="0.27"/>
    <n v="0"/>
    <n v="0"/>
    <n v="19"/>
    <n v="0.44"/>
    <x v="0"/>
  </r>
  <r>
    <x v="0"/>
    <s v="いわき市"/>
    <x v="4"/>
    <x v="4"/>
    <n v="58"/>
    <n v="0.75"/>
    <n v="4"/>
    <n v="0.12"/>
    <n v="54"/>
    <n v="1.25"/>
    <x v="0"/>
  </r>
  <r>
    <x v="0"/>
    <s v="いわき市"/>
    <x v="4"/>
    <x v="5"/>
    <n v="81"/>
    <n v="1.05"/>
    <n v="6"/>
    <n v="0.18"/>
    <n v="75"/>
    <n v="1.73"/>
    <x v="0"/>
  </r>
  <r>
    <x v="0"/>
    <s v="いわき市"/>
    <x v="4"/>
    <x v="6"/>
    <n v="1833"/>
    <n v="23.66"/>
    <n v="713"/>
    <n v="21.16"/>
    <n v="1116"/>
    <n v="25.79"/>
    <x v="6"/>
  </r>
  <r>
    <x v="0"/>
    <s v="いわき市"/>
    <x v="4"/>
    <x v="7"/>
    <n v="92"/>
    <n v="1.19"/>
    <n v="12"/>
    <n v="0.36"/>
    <n v="80"/>
    <n v="1.85"/>
    <x v="0"/>
  </r>
  <r>
    <x v="0"/>
    <s v="いわき市"/>
    <x v="4"/>
    <x v="8"/>
    <n v="444"/>
    <n v="5.73"/>
    <n v="42"/>
    <n v="1.25"/>
    <n v="402"/>
    <n v="9.2899999999999991"/>
    <x v="0"/>
  </r>
  <r>
    <x v="0"/>
    <s v="いわき市"/>
    <x v="4"/>
    <x v="9"/>
    <n v="380"/>
    <n v="4.9000000000000004"/>
    <n v="151"/>
    <n v="4.4800000000000004"/>
    <n v="229"/>
    <n v="5.29"/>
    <x v="0"/>
  </r>
  <r>
    <x v="0"/>
    <s v="いわき市"/>
    <x v="4"/>
    <x v="10"/>
    <n v="911"/>
    <n v="11.76"/>
    <n v="676"/>
    <n v="20.059999999999999"/>
    <n v="235"/>
    <n v="5.43"/>
    <x v="0"/>
  </r>
  <r>
    <x v="0"/>
    <s v="いわき市"/>
    <x v="4"/>
    <x v="11"/>
    <n v="1131"/>
    <n v="14.6"/>
    <n v="886"/>
    <n v="26.29"/>
    <n v="243"/>
    <n v="5.61"/>
    <x v="2"/>
  </r>
  <r>
    <x v="0"/>
    <s v="いわき市"/>
    <x v="4"/>
    <x v="12"/>
    <n v="295"/>
    <n v="3.81"/>
    <n v="182"/>
    <n v="5.4"/>
    <n v="80"/>
    <n v="1.85"/>
    <x v="0"/>
  </r>
  <r>
    <x v="0"/>
    <s v="いわき市"/>
    <x v="4"/>
    <x v="13"/>
    <n v="416"/>
    <n v="5.37"/>
    <n v="234"/>
    <n v="6.94"/>
    <n v="181"/>
    <n v="4.18"/>
    <x v="1"/>
  </r>
  <r>
    <x v="0"/>
    <s v="いわき市"/>
    <x v="4"/>
    <x v="14"/>
    <n v="303"/>
    <n v="3.91"/>
    <n v="105"/>
    <n v="3.12"/>
    <n v="191"/>
    <n v="4.41"/>
    <x v="2"/>
  </r>
  <r>
    <x v="0"/>
    <s v="白河市"/>
    <x v="5"/>
    <x v="0"/>
    <n v="2"/>
    <n v="0.13"/>
    <n v="1"/>
    <n v="0.11"/>
    <n v="1"/>
    <n v="0.15"/>
    <x v="0"/>
  </r>
  <r>
    <x v="0"/>
    <s v="白河市"/>
    <x v="5"/>
    <x v="1"/>
    <n v="186"/>
    <n v="11.77"/>
    <n v="65"/>
    <n v="7.3"/>
    <n v="121"/>
    <n v="18.309999999999999"/>
    <x v="0"/>
  </r>
  <r>
    <x v="0"/>
    <s v="白河市"/>
    <x v="5"/>
    <x v="2"/>
    <n v="136"/>
    <n v="8.61"/>
    <n v="61"/>
    <n v="6.85"/>
    <n v="75"/>
    <n v="11.35"/>
    <x v="0"/>
  </r>
  <r>
    <x v="0"/>
    <s v="白河市"/>
    <x v="5"/>
    <x v="3"/>
    <n v="2"/>
    <n v="0.13"/>
    <n v="0"/>
    <n v="0"/>
    <n v="2"/>
    <n v="0.3"/>
    <x v="0"/>
  </r>
  <r>
    <x v="0"/>
    <s v="白河市"/>
    <x v="5"/>
    <x v="4"/>
    <n v="8"/>
    <n v="0.51"/>
    <n v="0"/>
    <n v="0"/>
    <n v="8"/>
    <n v="1.21"/>
    <x v="0"/>
  </r>
  <r>
    <x v="0"/>
    <s v="白河市"/>
    <x v="5"/>
    <x v="5"/>
    <n v="12"/>
    <n v="0.76"/>
    <n v="1"/>
    <n v="0.11"/>
    <n v="11"/>
    <n v="1.66"/>
    <x v="0"/>
  </r>
  <r>
    <x v="0"/>
    <s v="白河市"/>
    <x v="5"/>
    <x v="6"/>
    <n v="378"/>
    <n v="23.92"/>
    <n v="197"/>
    <n v="22.13"/>
    <n v="177"/>
    <n v="26.78"/>
    <x v="6"/>
  </r>
  <r>
    <x v="0"/>
    <s v="白河市"/>
    <x v="5"/>
    <x v="7"/>
    <n v="12"/>
    <n v="0.76"/>
    <n v="5"/>
    <n v="0.56000000000000005"/>
    <n v="7"/>
    <n v="1.06"/>
    <x v="0"/>
  </r>
  <r>
    <x v="0"/>
    <s v="白河市"/>
    <x v="5"/>
    <x v="8"/>
    <n v="120"/>
    <n v="7.59"/>
    <n v="43"/>
    <n v="4.83"/>
    <n v="77"/>
    <n v="11.65"/>
    <x v="0"/>
  </r>
  <r>
    <x v="0"/>
    <s v="白河市"/>
    <x v="5"/>
    <x v="9"/>
    <n v="74"/>
    <n v="4.68"/>
    <n v="46"/>
    <n v="5.17"/>
    <n v="28"/>
    <n v="4.24"/>
    <x v="0"/>
  </r>
  <r>
    <x v="0"/>
    <s v="白河市"/>
    <x v="5"/>
    <x v="10"/>
    <n v="229"/>
    <n v="14.49"/>
    <n v="166"/>
    <n v="18.649999999999999"/>
    <n v="62"/>
    <n v="9.3800000000000008"/>
    <x v="1"/>
  </r>
  <r>
    <x v="0"/>
    <s v="白河市"/>
    <x v="5"/>
    <x v="11"/>
    <n v="219"/>
    <n v="13.86"/>
    <n v="176"/>
    <n v="19.78"/>
    <n v="38"/>
    <n v="5.75"/>
    <x v="5"/>
  </r>
  <r>
    <x v="0"/>
    <s v="白河市"/>
    <x v="5"/>
    <x v="12"/>
    <n v="71"/>
    <n v="4.49"/>
    <n v="49"/>
    <n v="5.51"/>
    <n v="16"/>
    <n v="2.42"/>
    <x v="0"/>
  </r>
  <r>
    <x v="0"/>
    <s v="白河市"/>
    <x v="5"/>
    <x v="13"/>
    <n v="78"/>
    <n v="4.9400000000000004"/>
    <n v="54"/>
    <n v="6.07"/>
    <n v="14"/>
    <n v="2.12"/>
    <x v="0"/>
  </r>
  <r>
    <x v="0"/>
    <s v="白河市"/>
    <x v="5"/>
    <x v="14"/>
    <n v="53"/>
    <n v="3.35"/>
    <n v="26"/>
    <n v="2.92"/>
    <n v="24"/>
    <n v="3.63"/>
    <x v="2"/>
  </r>
  <r>
    <x v="0"/>
    <s v="須賀川市"/>
    <x v="6"/>
    <x v="0"/>
    <n v="2"/>
    <n v="0.11"/>
    <n v="0"/>
    <n v="0"/>
    <n v="2"/>
    <n v="0.24"/>
    <x v="0"/>
  </r>
  <r>
    <x v="0"/>
    <s v="須賀川市"/>
    <x v="6"/>
    <x v="1"/>
    <n v="288"/>
    <n v="15.74"/>
    <n v="117"/>
    <n v="12.01"/>
    <n v="171"/>
    <n v="20.28"/>
    <x v="0"/>
  </r>
  <r>
    <x v="0"/>
    <s v="須賀川市"/>
    <x v="6"/>
    <x v="2"/>
    <n v="153"/>
    <n v="8.36"/>
    <n v="52"/>
    <n v="5.34"/>
    <n v="101"/>
    <n v="11.98"/>
    <x v="0"/>
  </r>
  <r>
    <x v="0"/>
    <s v="須賀川市"/>
    <x v="6"/>
    <x v="3"/>
    <n v="5"/>
    <n v="0.27"/>
    <n v="0"/>
    <n v="0"/>
    <n v="5"/>
    <n v="0.59"/>
    <x v="0"/>
  </r>
  <r>
    <x v="0"/>
    <s v="須賀川市"/>
    <x v="6"/>
    <x v="4"/>
    <n v="9"/>
    <n v="0.49"/>
    <n v="0"/>
    <n v="0"/>
    <n v="9"/>
    <n v="1.07"/>
    <x v="0"/>
  </r>
  <r>
    <x v="0"/>
    <s v="須賀川市"/>
    <x v="6"/>
    <x v="5"/>
    <n v="18"/>
    <n v="0.98"/>
    <n v="2"/>
    <n v="0.21"/>
    <n v="15"/>
    <n v="1.78"/>
    <x v="1"/>
  </r>
  <r>
    <x v="0"/>
    <s v="須賀川市"/>
    <x v="6"/>
    <x v="6"/>
    <n v="441"/>
    <n v="24.1"/>
    <n v="212"/>
    <n v="21.77"/>
    <n v="228"/>
    <n v="27.05"/>
    <x v="1"/>
  </r>
  <r>
    <x v="0"/>
    <s v="須賀川市"/>
    <x v="6"/>
    <x v="7"/>
    <n v="23"/>
    <n v="1.26"/>
    <n v="6"/>
    <n v="0.62"/>
    <n v="17"/>
    <n v="2.02"/>
    <x v="0"/>
  </r>
  <r>
    <x v="0"/>
    <s v="須賀川市"/>
    <x v="6"/>
    <x v="8"/>
    <n v="93"/>
    <n v="5.08"/>
    <n v="27"/>
    <n v="2.77"/>
    <n v="64"/>
    <n v="7.59"/>
    <x v="1"/>
  </r>
  <r>
    <x v="0"/>
    <s v="須賀川市"/>
    <x v="6"/>
    <x v="9"/>
    <n v="65"/>
    <n v="3.55"/>
    <n v="39"/>
    <n v="4"/>
    <n v="25"/>
    <n v="2.97"/>
    <x v="0"/>
  </r>
  <r>
    <x v="0"/>
    <s v="須賀川市"/>
    <x v="6"/>
    <x v="10"/>
    <n v="208"/>
    <n v="11.37"/>
    <n v="164"/>
    <n v="16.84"/>
    <n v="44"/>
    <n v="5.22"/>
    <x v="0"/>
  </r>
  <r>
    <x v="0"/>
    <s v="須賀川市"/>
    <x v="6"/>
    <x v="11"/>
    <n v="243"/>
    <n v="13.28"/>
    <n v="181"/>
    <n v="18.579999999999998"/>
    <n v="62"/>
    <n v="7.35"/>
    <x v="0"/>
  </r>
  <r>
    <x v="0"/>
    <s v="須賀川市"/>
    <x v="6"/>
    <x v="12"/>
    <n v="81"/>
    <n v="4.43"/>
    <n v="67"/>
    <n v="6.88"/>
    <n v="9"/>
    <n v="1.07"/>
    <x v="0"/>
  </r>
  <r>
    <x v="0"/>
    <s v="須賀川市"/>
    <x v="6"/>
    <x v="13"/>
    <n v="123"/>
    <n v="6.72"/>
    <n v="67"/>
    <n v="6.88"/>
    <n v="55"/>
    <n v="6.52"/>
    <x v="0"/>
  </r>
  <r>
    <x v="0"/>
    <s v="須賀川市"/>
    <x v="6"/>
    <x v="14"/>
    <n v="78"/>
    <n v="4.26"/>
    <n v="40"/>
    <n v="4.1100000000000003"/>
    <n v="36"/>
    <n v="4.2699999999999996"/>
    <x v="1"/>
  </r>
  <r>
    <x v="0"/>
    <s v="喜多方市"/>
    <x v="7"/>
    <x v="0"/>
    <n v="1"/>
    <n v="7.0000000000000007E-2"/>
    <n v="0"/>
    <n v="0"/>
    <n v="1"/>
    <n v="0.22"/>
    <x v="0"/>
  </r>
  <r>
    <x v="0"/>
    <s v="喜多方市"/>
    <x v="7"/>
    <x v="1"/>
    <n v="194"/>
    <n v="14.45"/>
    <n v="106"/>
    <n v="12.27"/>
    <n v="88"/>
    <n v="19.05"/>
    <x v="0"/>
  </r>
  <r>
    <x v="0"/>
    <s v="喜多方市"/>
    <x v="7"/>
    <x v="2"/>
    <n v="135"/>
    <n v="10.050000000000001"/>
    <n v="56"/>
    <n v="6.48"/>
    <n v="79"/>
    <n v="17.100000000000001"/>
    <x v="0"/>
  </r>
  <r>
    <x v="0"/>
    <s v="喜多方市"/>
    <x v="7"/>
    <x v="3"/>
    <n v="5"/>
    <n v="0.37"/>
    <n v="0"/>
    <n v="0"/>
    <n v="5"/>
    <n v="1.08"/>
    <x v="0"/>
  </r>
  <r>
    <x v="0"/>
    <s v="喜多方市"/>
    <x v="7"/>
    <x v="4"/>
    <n v="6"/>
    <n v="0.45"/>
    <n v="2"/>
    <n v="0.23"/>
    <n v="4"/>
    <n v="0.87"/>
    <x v="0"/>
  </r>
  <r>
    <x v="0"/>
    <s v="喜多方市"/>
    <x v="7"/>
    <x v="5"/>
    <n v="8"/>
    <n v="0.6"/>
    <n v="4"/>
    <n v="0.46"/>
    <n v="4"/>
    <n v="0.87"/>
    <x v="0"/>
  </r>
  <r>
    <x v="0"/>
    <s v="喜多方市"/>
    <x v="7"/>
    <x v="6"/>
    <n v="364"/>
    <n v="27.1"/>
    <n v="231"/>
    <n v="26.74"/>
    <n v="133"/>
    <n v="28.79"/>
    <x v="0"/>
  </r>
  <r>
    <x v="0"/>
    <s v="喜多方市"/>
    <x v="7"/>
    <x v="7"/>
    <n v="4"/>
    <n v="0.3"/>
    <n v="2"/>
    <n v="0.23"/>
    <n v="2"/>
    <n v="0.43"/>
    <x v="0"/>
  </r>
  <r>
    <x v="0"/>
    <s v="喜多方市"/>
    <x v="7"/>
    <x v="8"/>
    <n v="57"/>
    <n v="4.24"/>
    <n v="34"/>
    <n v="3.94"/>
    <n v="23"/>
    <n v="4.9800000000000004"/>
    <x v="0"/>
  </r>
  <r>
    <x v="0"/>
    <s v="喜多方市"/>
    <x v="7"/>
    <x v="9"/>
    <n v="38"/>
    <n v="2.83"/>
    <n v="21"/>
    <n v="2.4300000000000002"/>
    <n v="17"/>
    <n v="3.68"/>
    <x v="0"/>
  </r>
  <r>
    <x v="0"/>
    <s v="喜多方市"/>
    <x v="7"/>
    <x v="10"/>
    <n v="185"/>
    <n v="13.78"/>
    <n v="155"/>
    <n v="17.940000000000001"/>
    <n v="28"/>
    <n v="6.06"/>
    <x v="0"/>
  </r>
  <r>
    <x v="0"/>
    <s v="喜多方市"/>
    <x v="7"/>
    <x v="11"/>
    <n v="196"/>
    <n v="14.59"/>
    <n v="175"/>
    <n v="20.25"/>
    <n v="21"/>
    <n v="4.55"/>
    <x v="0"/>
  </r>
  <r>
    <x v="0"/>
    <s v="喜多方市"/>
    <x v="7"/>
    <x v="12"/>
    <n v="52"/>
    <n v="3.87"/>
    <n v="27"/>
    <n v="3.13"/>
    <n v="13"/>
    <n v="2.81"/>
    <x v="0"/>
  </r>
  <r>
    <x v="0"/>
    <s v="喜多方市"/>
    <x v="7"/>
    <x v="13"/>
    <n v="52"/>
    <n v="3.87"/>
    <n v="27"/>
    <n v="3.13"/>
    <n v="24"/>
    <n v="5.19"/>
    <x v="0"/>
  </r>
  <r>
    <x v="0"/>
    <s v="喜多方市"/>
    <x v="7"/>
    <x v="14"/>
    <n v="46"/>
    <n v="3.43"/>
    <n v="24"/>
    <n v="2.78"/>
    <n v="20"/>
    <n v="4.33"/>
    <x v="2"/>
  </r>
  <r>
    <x v="0"/>
    <s v="相馬市"/>
    <x v="8"/>
    <x v="0"/>
    <n v="1"/>
    <n v="0.1"/>
    <n v="0"/>
    <n v="0"/>
    <n v="1"/>
    <n v="0.26"/>
    <x v="0"/>
  </r>
  <r>
    <x v="0"/>
    <s v="相馬市"/>
    <x v="8"/>
    <x v="1"/>
    <n v="136"/>
    <n v="14.02"/>
    <n v="62"/>
    <n v="10.93"/>
    <n v="74"/>
    <n v="19.12"/>
    <x v="0"/>
  </r>
  <r>
    <x v="0"/>
    <s v="相馬市"/>
    <x v="8"/>
    <x v="2"/>
    <n v="72"/>
    <n v="7.42"/>
    <n v="19"/>
    <n v="3.35"/>
    <n v="53"/>
    <n v="13.7"/>
    <x v="0"/>
  </r>
  <r>
    <x v="0"/>
    <s v="相馬市"/>
    <x v="8"/>
    <x v="3"/>
    <n v="3"/>
    <n v="0.31"/>
    <n v="0"/>
    <n v="0"/>
    <n v="3"/>
    <n v="0.78"/>
    <x v="0"/>
  </r>
  <r>
    <x v="0"/>
    <s v="相馬市"/>
    <x v="8"/>
    <x v="4"/>
    <n v="4"/>
    <n v="0.41"/>
    <n v="0"/>
    <n v="0"/>
    <n v="4"/>
    <n v="1.03"/>
    <x v="0"/>
  </r>
  <r>
    <x v="0"/>
    <s v="相馬市"/>
    <x v="8"/>
    <x v="5"/>
    <n v="6"/>
    <n v="0.62"/>
    <n v="1"/>
    <n v="0.18"/>
    <n v="4"/>
    <n v="1.03"/>
    <x v="1"/>
  </r>
  <r>
    <x v="0"/>
    <s v="相馬市"/>
    <x v="8"/>
    <x v="6"/>
    <n v="249"/>
    <n v="25.67"/>
    <n v="118"/>
    <n v="20.81"/>
    <n v="130"/>
    <n v="33.590000000000003"/>
    <x v="1"/>
  </r>
  <r>
    <x v="0"/>
    <s v="相馬市"/>
    <x v="8"/>
    <x v="7"/>
    <n v="9"/>
    <n v="0.93"/>
    <n v="1"/>
    <n v="0.18"/>
    <n v="8"/>
    <n v="2.0699999999999998"/>
    <x v="0"/>
  </r>
  <r>
    <x v="0"/>
    <s v="相馬市"/>
    <x v="8"/>
    <x v="8"/>
    <n v="70"/>
    <n v="7.22"/>
    <n v="43"/>
    <n v="7.58"/>
    <n v="27"/>
    <n v="6.98"/>
    <x v="0"/>
  </r>
  <r>
    <x v="0"/>
    <s v="相馬市"/>
    <x v="8"/>
    <x v="9"/>
    <n v="45"/>
    <n v="4.6399999999999997"/>
    <n v="24"/>
    <n v="4.2300000000000004"/>
    <n v="20"/>
    <n v="5.17"/>
    <x v="0"/>
  </r>
  <r>
    <x v="0"/>
    <s v="相馬市"/>
    <x v="8"/>
    <x v="10"/>
    <n v="143"/>
    <n v="14.74"/>
    <n v="118"/>
    <n v="20.81"/>
    <n v="25"/>
    <n v="6.46"/>
    <x v="0"/>
  </r>
  <r>
    <x v="0"/>
    <s v="相馬市"/>
    <x v="8"/>
    <x v="11"/>
    <n v="131"/>
    <n v="13.51"/>
    <n v="118"/>
    <n v="20.81"/>
    <n v="13"/>
    <n v="3.36"/>
    <x v="0"/>
  </r>
  <r>
    <x v="0"/>
    <s v="相馬市"/>
    <x v="8"/>
    <x v="12"/>
    <n v="35"/>
    <n v="3.61"/>
    <n v="21"/>
    <n v="3.7"/>
    <n v="4"/>
    <n v="1.03"/>
    <x v="0"/>
  </r>
  <r>
    <x v="0"/>
    <s v="相馬市"/>
    <x v="8"/>
    <x v="13"/>
    <n v="33"/>
    <n v="3.4"/>
    <n v="21"/>
    <n v="3.7"/>
    <n v="11"/>
    <n v="2.84"/>
    <x v="0"/>
  </r>
  <r>
    <x v="0"/>
    <s v="相馬市"/>
    <x v="8"/>
    <x v="14"/>
    <n v="33"/>
    <n v="3.4"/>
    <n v="21"/>
    <n v="3.7"/>
    <n v="10"/>
    <n v="2.58"/>
    <x v="0"/>
  </r>
  <r>
    <x v="0"/>
    <s v="二本松市"/>
    <x v="9"/>
    <x v="0"/>
    <n v="3"/>
    <n v="0.21"/>
    <n v="2"/>
    <n v="0.23"/>
    <n v="1"/>
    <n v="0.19"/>
    <x v="0"/>
  </r>
  <r>
    <x v="0"/>
    <s v="二本松市"/>
    <x v="9"/>
    <x v="1"/>
    <n v="264"/>
    <n v="18.670000000000002"/>
    <n v="126"/>
    <n v="14.7"/>
    <n v="138"/>
    <n v="25.65"/>
    <x v="0"/>
  </r>
  <r>
    <x v="0"/>
    <s v="二本松市"/>
    <x v="9"/>
    <x v="2"/>
    <n v="131"/>
    <n v="9.26"/>
    <n v="47"/>
    <n v="5.48"/>
    <n v="83"/>
    <n v="15.43"/>
    <x v="0"/>
  </r>
  <r>
    <x v="0"/>
    <s v="二本松市"/>
    <x v="9"/>
    <x v="3"/>
    <n v="4"/>
    <n v="0.28000000000000003"/>
    <n v="0"/>
    <n v="0"/>
    <n v="4"/>
    <n v="0.74"/>
    <x v="0"/>
  </r>
  <r>
    <x v="0"/>
    <s v="二本松市"/>
    <x v="9"/>
    <x v="4"/>
    <n v="3"/>
    <n v="0.21"/>
    <n v="1"/>
    <n v="0.12"/>
    <n v="2"/>
    <n v="0.37"/>
    <x v="0"/>
  </r>
  <r>
    <x v="0"/>
    <s v="二本松市"/>
    <x v="9"/>
    <x v="5"/>
    <n v="9"/>
    <n v="0.64"/>
    <n v="4"/>
    <n v="0.47"/>
    <n v="4"/>
    <n v="0.74"/>
    <x v="1"/>
  </r>
  <r>
    <x v="0"/>
    <s v="二本松市"/>
    <x v="9"/>
    <x v="6"/>
    <n v="350"/>
    <n v="24.75"/>
    <n v="200"/>
    <n v="23.34"/>
    <n v="150"/>
    <n v="27.88"/>
    <x v="0"/>
  </r>
  <r>
    <x v="0"/>
    <s v="二本松市"/>
    <x v="9"/>
    <x v="7"/>
    <n v="6"/>
    <n v="0.42"/>
    <n v="2"/>
    <n v="0.23"/>
    <n v="4"/>
    <n v="0.74"/>
    <x v="0"/>
  </r>
  <r>
    <x v="0"/>
    <s v="二本松市"/>
    <x v="9"/>
    <x v="8"/>
    <n v="155"/>
    <n v="10.96"/>
    <n v="123"/>
    <n v="14.35"/>
    <n v="32"/>
    <n v="5.95"/>
    <x v="0"/>
  </r>
  <r>
    <x v="0"/>
    <s v="二本松市"/>
    <x v="9"/>
    <x v="9"/>
    <n v="37"/>
    <n v="2.62"/>
    <n v="23"/>
    <n v="2.68"/>
    <n v="14"/>
    <n v="2.6"/>
    <x v="0"/>
  </r>
  <r>
    <x v="0"/>
    <s v="二本松市"/>
    <x v="9"/>
    <x v="10"/>
    <n v="142"/>
    <n v="10.039999999999999"/>
    <n v="102"/>
    <n v="11.9"/>
    <n v="38"/>
    <n v="7.06"/>
    <x v="0"/>
  </r>
  <r>
    <x v="0"/>
    <s v="二本松市"/>
    <x v="9"/>
    <x v="11"/>
    <n v="170"/>
    <n v="12.02"/>
    <n v="144"/>
    <n v="16.8"/>
    <n v="25"/>
    <n v="4.6500000000000004"/>
    <x v="0"/>
  </r>
  <r>
    <x v="0"/>
    <s v="二本松市"/>
    <x v="9"/>
    <x v="12"/>
    <n v="29"/>
    <n v="2.0499999999999998"/>
    <n v="19"/>
    <n v="2.2200000000000002"/>
    <n v="7"/>
    <n v="1.3"/>
    <x v="0"/>
  </r>
  <r>
    <x v="0"/>
    <s v="二本松市"/>
    <x v="9"/>
    <x v="13"/>
    <n v="57"/>
    <n v="4.03"/>
    <n v="34"/>
    <n v="3.97"/>
    <n v="15"/>
    <n v="2.79"/>
    <x v="0"/>
  </r>
  <r>
    <x v="0"/>
    <s v="二本松市"/>
    <x v="9"/>
    <x v="14"/>
    <n v="54"/>
    <n v="3.82"/>
    <n v="30"/>
    <n v="3.5"/>
    <n v="21"/>
    <n v="3.9"/>
    <x v="2"/>
  </r>
  <r>
    <x v="0"/>
    <s v="田村市"/>
    <x v="10"/>
    <x v="0"/>
    <n v="0"/>
    <n v="0"/>
    <n v="0"/>
    <n v="0"/>
    <n v="0"/>
    <n v="0"/>
    <x v="0"/>
  </r>
  <r>
    <x v="0"/>
    <s v="田村市"/>
    <x v="10"/>
    <x v="1"/>
    <n v="228"/>
    <n v="22.87"/>
    <n v="115"/>
    <n v="19.52"/>
    <n v="113"/>
    <n v="28.54"/>
    <x v="0"/>
  </r>
  <r>
    <x v="0"/>
    <s v="田村市"/>
    <x v="10"/>
    <x v="2"/>
    <n v="93"/>
    <n v="9.33"/>
    <n v="40"/>
    <n v="6.79"/>
    <n v="53"/>
    <n v="13.38"/>
    <x v="0"/>
  </r>
  <r>
    <x v="0"/>
    <s v="田村市"/>
    <x v="10"/>
    <x v="3"/>
    <n v="5"/>
    <n v="0.5"/>
    <n v="0"/>
    <n v="0"/>
    <n v="5"/>
    <n v="1.26"/>
    <x v="0"/>
  </r>
  <r>
    <x v="0"/>
    <s v="田村市"/>
    <x v="10"/>
    <x v="4"/>
    <n v="0"/>
    <n v="0"/>
    <n v="0"/>
    <n v="0"/>
    <n v="0"/>
    <n v="0"/>
    <x v="0"/>
  </r>
  <r>
    <x v="0"/>
    <s v="田村市"/>
    <x v="10"/>
    <x v="5"/>
    <n v="11"/>
    <n v="1.1000000000000001"/>
    <n v="3"/>
    <n v="0.51"/>
    <n v="8"/>
    <n v="2.02"/>
    <x v="0"/>
  </r>
  <r>
    <x v="0"/>
    <s v="田村市"/>
    <x v="10"/>
    <x v="6"/>
    <n v="278"/>
    <n v="27.88"/>
    <n v="167"/>
    <n v="28.35"/>
    <n v="111"/>
    <n v="28.03"/>
    <x v="0"/>
  </r>
  <r>
    <x v="0"/>
    <s v="田村市"/>
    <x v="10"/>
    <x v="7"/>
    <n v="4"/>
    <n v="0.4"/>
    <n v="1"/>
    <n v="0.17"/>
    <n v="3"/>
    <n v="0.76"/>
    <x v="0"/>
  </r>
  <r>
    <x v="0"/>
    <s v="田村市"/>
    <x v="10"/>
    <x v="8"/>
    <n v="36"/>
    <n v="3.61"/>
    <n v="24"/>
    <n v="4.07"/>
    <n v="12"/>
    <n v="3.03"/>
    <x v="0"/>
  </r>
  <r>
    <x v="0"/>
    <s v="田村市"/>
    <x v="10"/>
    <x v="9"/>
    <n v="31"/>
    <n v="3.11"/>
    <n v="13"/>
    <n v="2.21"/>
    <n v="17"/>
    <n v="4.29"/>
    <x v="1"/>
  </r>
  <r>
    <x v="0"/>
    <s v="田村市"/>
    <x v="10"/>
    <x v="10"/>
    <n v="66"/>
    <n v="6.62"/>
    <n v="52"/>
    <n v="8.83"/>
    <n v="13"/>
    <n v="3.28"/>
    <x v="0"/>
  </r>
  <r>
    <x v="0"/>
    <s v="田村市"/>
    <x v="10"/>
    <x v="11"/>
    <n v="132"/>
    <n v="13.24"/>
    <n v="115"/>
    <n v="19.52"/>
    <n v="17"/>
    <n v="4.29"/>
    <x v="0"/>
  </r>
  <r>
    <x v="0"/>
    <s v="田村市"/>
    <x v="10"/>
    <x v="12"/>
    <n v="20"/>
    <n v="2.0099999999999998"/>
    <n v="13"/>
    <n v="2.21"/>
    <n v="3"/>
    <n v="0.76"/>
    <x v="0"/>
  </r>
  <r>
    <x v="0"/>
    <s v="田村市"/>
    <x v="10"/>
    <x v="13"/>
    <n v="43"/>
    <n v="4.3099999999999996"/>
    <n v="16"/>
    <n v="2.72"/>
    <n v="21"/>
    <n v="5.3"/>
    <x v="0"/>
  </r>
  <r>
    <x v="0"/>
    <s v="田村市"/>
    <x v="10"/>
    <x v="14"/>
    <n v="50"/>
    <n v="5.0199999999999996"/>
    <n v="30"/>
    <n v="5.09"/>
    <n v="20"/>
    <n v="5.05"/>
    <x v="0"/>
  </r>
  <r>
    <x v="0"/>
    <s v="南相馬市"/>
    <x v="11"/>
    <x v="0"/>
    <n v="1"/>
    <n v="7.0000000000000007E-2"/>
    <n v="0"/>
    <n v="0"/>
    <n v="1"/>
    <n v="0.15"/>
    <x v="0"/>
  </r>
  <r>
    <x v="0"/>
    <s v="南相馬市"/>
    <x v="11"/>
    <x v="1"/>
    <n v="234"/>
    <n v="15.4"/>
    <n v="59"/>
    <n v="7.39"/>
    <n v="175"/>
    <n v="25.44"/>
    <x v="0"/>
  </r>
  <r>
    <x v="0"/>
    <s v="南相馬市"/>
    <x v="11"/>
    <x v="2"/>
    <n v="139"/>
    <n v="9.15"/>
    <n v="63"/>
    <n v="7.89"/>
    <n v="76"/>
    <n v="11.05"/>
    <x v="0"/>
  </r>
  <r>
    <x v="0"/>
    <s v="南相馬市"/>
    <x v="11"/>
    <x v="3"/>
    <n v="9"/>
    <n v="0.59"/>
    <n v="0"/>
    <n v="0"/>
    <n v="9"/>
    <n v="1.31"/>
    <x v="0"/>
  </r>
  <r>
    <x v="0"/>
    <s v="南相馬市"/>
    <x v="11"/>
    <x v="4"/>
    <n v="16"/>
    <n v="1.05"/>
    <n v="1"/>
    <n v="0.13"/>
    <n v="15"/>
    <n v="2.1800000000000002"/>
    <x v="0"/>
  </r>
  <r>
    <x v="0"/>
    <s v="南相馬市"/>
    <x v="11"/>
    <x v="5"/>
    <n v="12"/>
    <n v="0.79"/>
    <n v="0"/>
    <n v="0"/>
    <n v="12"/>
    <n v="1.74"/>
    <x v="0"/>
  </r>
  <r>
    <x v="0"/>
    <s v="南相馬市"/>
    <x v="11"/>
    <x v="6"/>
    <n v="352"/>
    <n v="23.17"/>
    <n v="174"/>
    <n v="21.8"/>
    <n v="177"/>
    <n v="25.73"/>
    <x v="1"/>
  </r>
  <r>
    <x v="0"/>
    <s v="南相馬市"/>
    <x v="11"/>
    <x v="7"/>
    <n v="13"/>
    <n v="0.86"/>
    <n v="3"/>
    <n v="0.38"/>
    <n v="10"/>
    <n v="1.45"/>
    <x v="0"/>
  </r>
  <r>
    <x v="0"/>
    <s v="南相馬市"/>
    <x v="11"/>
    <x v="8"/>
    <n v="139"/>
    <n v="9.15"/>
    <n v="84"/>
    <n v="10.53"/>
    <n v="55"/>
    <n v="7.99"/>
    <x v="0"/>
  </r>
  <r>
    <x v="0"/>
    <s v="南相馬市"/>
    <x v="11"/>
    <x v="9"/>
    <n v="70"/>
    <n v="4.6100000000000003"/>
    <n v="35"/>
    <n v="4.3899999999999997"/>
    <n v="35"/>
    <n v="5.09"/>
    <x v="0"/>
  </r>
  <r>
    <x v="0"/>
    <s v="南相馬市"/>
    <x v="11"/>
    <x v="10"/>
    <n v="147"/>
    <n v="9.68"/>
    <n v="108"/>
    <n v="13.53"/>
    <n v="38"/>
    <n v="5.52"/>
    <x v="0"/>
  </r>
  <r>
    <x v="0"/>
    <s v="南相馬市"/>
    <x v="11"/>
    <x v="11"/>
    <n v="199"/>
    <n v="13.1"/>
    <n v="165"/>
    <n v="20.68"/>
    <n v="34"/>
    <n v="4.9400000000000004"/>
    <x v="0"/>
  </r>
  <r>
    <x v="0"/>
    <s v="南相馬市"/>
    <x v="11"/>
    <x v="12"/>
    <n v="51"/>
    <n v="3.36"/>
    <n v="35"/>
    <n v="4.3899999999999997"/>
    <n v="7"/>
    <n v="1.02"/>
    <x v="1"/>
  </r>
  <r>
    <x v="0"/>
    <s v="南相馬市"/>
    <x v="11"/>
    <x v="13"/>
    <n v="89"/>
    <n v="5.86"/>
    <n v="46"/>
    <n v="5.76"/>
    <n v="24"/>
    <n v="3.49"/>
    <x v="0"/>
  </r>
  <r>
    <x v="0"/>
    <s v="南相馬市"/>
    <x v="11"/>
    <x v="14"/>
    <n v="48"/>
    <n v="3.16"/>
    <n v="25"/>
    <n v="3.13"/>
    <n v="20"/>
    <n v="2.91"/>
    <x v="9"/>
  </r>
  <r>
    <x v="0"/>
    <s v="伊達市"/>
    <x v="12"/>
    <x v="0"/>
    <n v="0"/>
    <n v="0"/>
    <n v="0"/>
    <n v="0"/>
    <n v="0"/>
    <n v="0"/>
    <x v="0"/>
  </r>
  <r>
    <x v="0"/>
    <s v="伊達市"/>
    <x v="12"/>
    <x v="1"/>
    <n v="294"/>
    <n v="19.329999999999998"/>
    <n v="153"/>
    <n v="15.77"/>
    <n v="141"/>
    <n v="26.21"/>
    <x v="0"/>
  </r>
  <r>
    <x v="0"/>
    <s v="伊達市"/>
    <x v="12"/>
    <x v="2"/>
    <n v="137"/>
    <n v="9.01"/>
    <n v="60"/>
    <n v="6.19"/>
    <n v="77"/>
    <n v="14.31"/>
    <x v="0"/>
  </r>
  <r>
    <x v="0"/>
    <s v="伊達市"/>
    <x v="12"/>
    <x v="3"/>
    <n v="1"/>
    <n v="7.0000000000000007E-2"/>
    <n v="0"/>
    <n v="0"/>
    <n v="1"/>
    <n v="0.19"/>
    <x v="0"/>
  </r>
  <r>
    <x v="0"/>
    <s v="伊達市"/>
    <x v="12"/>
    <x v="4"/>
    <n v="5"/>
    <n v="0.33"/>
    <n v="0"/>
    <n v="0"/>
    <n v="4"/>
    <n v="0.74"/>
    <x v="0"/>
  </r>
  <r>
    <x v="0"/>
    <s v="伊達市"/>
    <x v="12"/>
    <x v="5"/>
    <n v="24"/>
    <n v="1.58"/>
    <n v="12"/>
    <n v="1.24"/>
    <n v="12"/>
    <n v="2.23"/>
    <x v="0"/>
  </r>
  <r>
    <x v="0"/>
    <s v="伊達市"/>
    <x v="12"/>
    <x v="6"/>
    <n v="381"/>
    <n v="25.05"/>
    <n v="221"/>
    <n v="22.78"/>
    <n v="157"/>
    <n v="29.18"/>
    <x v="9"/>
  </r>
  <r>
    <x v="0"/>
    <s v="伊達市"/>
    <x v="12"/>
    <x v="7"/>
    <n v="7"/>
    <n v="0.46"/>
    <n v="3"/>
    <n v="0.31"/>
    <n v="4"/>
    <n v="0.74"/>
    <x v="0"/>
  </r>
  <r>
    <x v="0"/>
    <s v="伊達市"/>
    <x v="12"/>
    <x v="8"/>
    <n v="178"/>
    <n v="11.7"/>
    <n v="135"/>
    <n v="13.92"/>
    <n v="43"/>
    <n v="7.99"/>
    <x v="0"/>
  </r>
  <r>
    <x v="0"/>
    <s v="伊達市"/>
    <x v="12"/>
    <x v="9"/>
    <n v="39"/>
    <n v="2.56"/>
    <n v="24"/>
    <n v="2.4700000000000002"/>
    <n v="13"/>
    <n v="2.42"/>
    <x v="1"/>
  </r>
  <r>
    <x v="0"/>
    <s v="伊達市"/>
    <x v="12"/>
    <x v="10"/>
    <n v="125"/>
    <n v="8.2200000000000006"/>
    <n v="111"/>
    <n v="11.44"/>
    <n v="12"/>
    <n v="2.23"/>
    <x v="0"/>
  </r>
  <r>
    <x v="0"/>
    <s v="伊達市"/>
    <x v="12"/>
    <x v="11"/>
    <n v="198"/>
    <n v="13.02"/>
    <n v="168"/>
    <n v="17.32"/>
    <n v="30"/>
    <n v="5.58"/>
    <x v="0"/>
  </r>
  <r>
    <x v="0"/>
    <s v="伊達市"/>
    <x v="12"/>
    <x v="12"/>
    <n v="31"/>
    <n v="2.04"/>
    <n v="22"/>
    <n v="2.27"/>
    <n v="7"/>
    <n v="1.3"/>
    <x v="2"/>
  </r>
  <r>
    <x v="0"/>
    <s v="伊達市"/>
    <x v="12"/>
    <x v="13"/>
    <n v="46"/>
    <n v="3.02"/>
    <n v="33"/>
    <n v="3.4"/>
    <n v="13"/>
    <n v="2.42"/>
    <x v="0"/>
  </r>
  <r>
    <x v="0"/>
    <s v="伊達市"/>
    <x v="12"/>
    <x v="14"/>
    <n v="55"/>
    <n v="3.62"/>
    <n v="28"/>
    <n v="2.89"/>
    <n v="24"/>
    <n v="4.46"/>
    <x v="2"/>
  </r>
  <r>
    <x v="0"/>
    <s v="本宮市"/>
    <x v="13"/>
    <x v="0"/>
    <n v="2"/>
    <n v="0.27"/>
    <n v="1"/>
    <n v="0.24"/>
    <n v="1"/>
    <n v="0.32"/>
    <x v="0"/>
  </r>
  <r>
    <x v="0"/>
    <s v="本宮市"/>
    <x v="13"/>
    <x v="1"/>
    <n v="157"/>
    <n v="21.22"/>
    <n v="77"/>
    <n v="18.47"/>
    <n v="80"/>
    <n v="25.24"/>
    <x v="0"/>
  </r>
  <r>
    <x v="0"/>
    <s v="本宮市"/>
    <x v="13"/>
    <x v="2"/>
    <n v="69"/>
    <n v="9.32"/>
    <n v="28"/>
    <n v="6.71"/>
    <n v="41"/>
    <n v="12.93"/>
    <x v="0"/>
  </r>
  <r>
    <x v="0"/>
    <s v="本宮市"/>
    <x v="13"/>
    <x v="3"/>
    <n v="0"/>
    <n v="0"/>
    <n v="0"/>
    <n v="0"/>
    <n v="0"/>
    <n v="0"/>
    <x v="0"/>
  </r>
  <r>
    <x v="0"/>
    <s v="本宮市"/>
    <x v="13"/>
    <x v="4"/>
    <n v="3"/>
    <n v="0.41"/>
    <n v="1"/>
    <n v="0.24"/>
    <n v="2"/>
    <n v="0.63"/>
    <x v="0"/>
  </r>
  <r>
    <x v="0"/>
    <s v="本宮市"/>
    <x v="13"/>
    <x v="5"/>
    <n v="13"/>
    <n v="1.76"/>
    <n v="3"/>
    <n v="0.72"/>
    <n v="10"/>
    <n v="3.15"/>
    <x v="0"/>
  </r>
  <r>
    <x v="0"/>
    <s v="本宮市"/>
    <x v="13"/>
    <x v="6"/>
    <n v="147"/>
    <n v="19.86"/>
    <n v="75"/>
    <n v="17.989999999999998"/>
    <n v="72"/>
    <n v="22.71"/>
    <x v="0"/>
  </r>
  <r>
    <x v="0"/>
    <s v="本宮市"/>
    <x v="13"/>
    <x v="7"/>
    <n v="3"/>
    <n v="0.41"/>
    <n v="3"/>
    <n v="0.72"/>
    <n v="0"/>
    <n v="0"/>
    <x v="0"/>
  </r>
  <r>
    <x v="0"/>
    <s v="本宮市"/>
    <x v="13"/>
    <x v="8"/>
    <n v="88"/>
    <n v="11.89"/>
    <n v="60"/>
    <n v="14.39"/>
    <n v="28"/>
    <n v="8.83"/>
    <x v="0"/>
  </r>
  <r>
    <x v="0"/>
    <s v="本宮市"/>
    <x v="13"/>
    <x v="9"/>
    <n v="29"/>
    <n v="3.92"/>
    <n v="16"/>
    <n v="3.84"/>
    <n v="13"/>
    <n v="4.0999999999999996"/>
    <x v="0"/>
  </r>
  <r>
    <x v="0"/>
    <s v="本宮市"/>
    <x v="13"/>
    <x v="10"/>
    <n v="59"/>
    <n v="7.97"/>
    <n v="43"/>
    <n v="10.31"/>
    <n v="16"/>
    <n v="5.05"/>
    <x v="0"/>
  </r>
  <r>
    <x v="0"/>
    <s v="本宮市"/>
    <x v="13"/>
    <x v="11"/>
    <n v="87"/>
    <n v="11.76"/>
    <n v="72"/>
    <n v="17.27"/>
    <n v="15"/>
    <n v="4.7300000000000004"/>
    <x v="0"/>
  </r>
  <r>
    <x v="0"/>
    <s v="本宮市"/>
    <x v="13"/>
    <x v="12"/>
    <n v="18"/>
    <n v="2.4300000000000002"/>
    <n v="8"/>
    <n v="1.92"/>
    <n v="6"/>
    <n v="1.89"/>
    <x v="0"/>
  </r>
  <r>
    <x v="0"/>
    <s v="本宮市"/>
    <x v="13"/>
    <x v="13"/>
    <n v="41"/>
    <n v="5.54"/>
    <n v="18"/>
    <n v="4.32"/>
    <n v="21"/>
    <n v="6.62"/>
    <x v="0"/>
  </r>
  <r>
    <x v="0"/>
    <s v="本宮市"/>
    <x v="13"/>
    <x v="14"/>
    <n v="24"/>
    <n v="3.24"/>
    <n v="12"/>
    <n v="2.88"/>
    <n v="12"/>
    <n v="3.79"/>
    <x v="0"/>
  </r>
  <r>
    <x v="0"/>
    <s v="伊達郡桑折町"/>
    <x v="14"/>
    <x v="0"/>
    <n v="0"/>
    <n v="0"/>
    <n v="0"/>
    <n v="0"/>
    <n v="0"/>
    <n v="0"/>
    <x v="0"/>
  </r>
  <r>
    <x v="0"/>
    <s v="伊達郡桑折町"/>
    <x v="14"/>
    <x v="1"/>
    <n v="49"/>
    <n v="18.63"/>
    <n v="25"/>
    <n v="15.82"/>
    <n v="24"/>
    <n v="24"/>
    <x v="0"/>
  </r>
  <r>
    <x v="0"/>
    <s v="伊達郡桑折町"/>
    <x v="14"/>
    <x v="2"/>
    <n v="23"/>
    <n v="8.75"/>
    <n v="6"/>
    <n v="3.8"/>
    <n v="17"/>
    <n v="17"/>
    <x v="0"/>
  </r>
  <r>
    <x v="0"/>
    <s v="伊達郡桑折町"/>
    <x v="14"/>
    <x v="3"/>
    <n v="0"/>
    <n v="0"/>
    <n v="0"/>
    <n v="0"/>
    <n v="0"/>
    <n v="0"/>
    <x v="0"/>
  </r>
  <r>
    <x v="0"/>
    <s v="伊達郡桑折町"/>
    <x v="14"/>
    <x v="4"/>
    <n v="2"/>
    <n v="0.76"/>
    <n v="2"/>
    <n v="1.27"/>
    <n v="0"/>
    <n v="0"/>
    <x v="0"/>
  </r>
  <r>
    <x v="0"/>
    <s v="伊達郡桑折町"/>
    <x v="14"/>
    <x v="5"/>
    <n v="2"/>
    <n v="0.76"/>
    <n v="2"/>
    <n v="1.27"/>
    <n v="0"/>
    <n v="0"/>
    <x v="0"/>
  </r>
  <r>
    <x v="0"/>
    <s v="伊達郡桑折町"/>
    <x v="14"/>
    <x v="6"/>
    <n v="66"/>
    <n v="25.1"/>
    <n v="35"/>
    <n v="22.15"/>
    <n v="30"/>
    <n v="30"/>
    <x v="1"/>
  </r>
  <r>
    <x v="0"/>
    <s v="伊達郡桑折町"/>
    <x v="14"/>
    <x v="7"/>
    <n v="2"/>
    <n v="0.76"/>
    <n v="0"/>
    <n v="0"/>
    <n v="2"/>
    <n v="2"/>
    <x v="0"/>
  </r>
  <r>
    <x v="0"/>
    <s v="伊達郡桑折町"/>
    <x v="14"/>
    <x v="8"/>
    <n v="29"/>
    <n v="11.03"/>
    <n v="18"/>
    <n v="11.39"/>
    <n v="11"/>
    <n v="11"/>
    <x v="0"/>
  </r>
  <r>
    <x v="0"/>
    <s v="伊達郡桑折町"/>
    <x v="14"/>
    <x v="9"/>
    <n v="11"/>
    <n v="4.18"/>
    <n v="7"/>
    <n v="4.43"/>
    <n v="3"/>
    <n v="3"/>
    <x v="0"/>
  </r>
  <r>
    <x v="0"/>
    <s v="伊達郡桑折町"/>
    <x v="14"/>
    <x v="10"/>
    <n v="11"/>
    <n v="4.18"/>
    <n v="10"/>
    <n v="6.33"/>
    <n v="0"/>
    <n v="0"/>
    <x v="0"/>
  </r>
  <r>
    <x v="0"/>
    <s v="伊達郡桑折町"/>
    <x v="14"/>
    <x v="11"/>
    <n v="29"/>
    <n v="11.03"/>
    <n v="26"/>
    <n v="16.46"/>
    <n v="3"/>
    <n v="3"/>
    <x v="0"/>
  </r>
  <r>
    <x v="0"/>
    <s v="伊達郡桑折町"/>
    <x v="14"/>
    <x v="12"/>
    <n v="16"/>
    <n v="6.08"/>
    <n v="11"/>
    <n v="6.96"/>
    <n v="3"/>
    <n v="3"/>
    <x v="0"/>
  </r>
  <r>
    <x v="0"/>
    <s v="伊達郡桑折町"/>
    <x v="14"/>
    <x v="13"/>
    <n v="9"/>
    <n v="3.42"/>
    <n v="9"/>
    <n v="5.7"/>
    <n v="0"/>
    <n v="0"/>
    <x v="0"/>
  </r>
  <r>
    <x v="0"/>
    <s v="伊達郡桑折町"/>
    <x v="14"/>
    <x v="14"/>
    <n v="14"/>
    <n v="5.32"/>
    <n v="7"/>
    <n v="4.43"/>
    <n v="7"/>
    <n v="7"/>
    <x v="0"/>
  </r>
  <r>
    <x v="0"/>
    <s v="伊達郡国見町"/>
    <x v="15"/>
    <x v="0"/>
    <n v="0"/>
    <n v="0"/>
    <n v="0"/>
    <n v="0"/>
    <n v="0"/>
    <n v="0"/>
    <x v="0"/>
  </r>
  <r>
    <x v="0"/>
    <s v="伊達郡国見町"/>
    <x v="15"/>
    <x v="1"/>
    <n v="44"/>
    <n v="23.91"/>
    <n v="17"/>
    <n v="18.68"/>
    <n v="27"/>
    <n v="30.34"/>
    <x v="0"/>
  </r>
  <r>
    <x v="0"/>
    <s v="伊達郡国見町"/>
    <x v="15"/>
    <x v="2"/>
    <n v="13"/>
    <n v="7.07"/>
    <n v="2"/>
    <n v="2.2000000000000002"/>
    <n v="11"/>
    <n v="12.36"/>
    <x v="0"/>
  </r>
  <r>
    <x v="0"/>
    <s v="伊達郡国見町"/>
    <x v="15"/>
    <x v="3"/>
    <n v="1"/>
    <n v="0.54"/>
    <n v="0"/>
    <n v="0"/>
    <n v="0"/>
    <n v="0"/>
    <x v="0"/>
  </r>
  <r>
    <x v="0"/>
    <s v="伊達郡国見町"/>
    <x v="15"/>
    <x v="4"/>
    <n v="1"/>
    <n v="0.54"/>
    <n v="1"/>
    <n v="1.1000000000000001"/>
    <n v="0"/>
    <n v="0"/>
    <x v="0"/>
  </r>
  <r>
    <x v="0"/>
    <s v="伊達郡国見町"/>
    <x v="15"/>
    <x v="5"/>
    <n v="0"/>
    <n v="0"/>
    <n v="0"/>
    <n v="0"/>
    <n v="0"/>
    <n v="0"/>
    <x v="0"/>
  </r>
  <r>
    <x v="0"/>
    <s v="伊達郡国見町"/>
    <x v="15"/>
    <x v="6"/>
    <n v="58"/>
    <n v="31.52"/>
    <n v="32"/>
    <n v="35.159999999999997"/>
    <n v="26"/>
    <n v="29.21"/>
    <x v="0"/>
  </r>
  <r>
    <x v="0"/>
    <s v="伊達郡国見町"/>
    <x v="15"/>
    <x v="7"/>
    <n v="0"/>
    <n v="0"/>
    <n v="0"/>
    <n v="0"/>
    <n v="0"/>
    <n v="0"/>
    <x v="0"/>
  </r>
  <r>
    <x v="0"/>
    <s v="伊達郡国見町"/>
    <x v="15"/>
    <x v="8"/>
    <n v="10"/>
    <n v="5.43"/>
    <n v="4"/>
    <n v="4.4000000000000004"/>
    <n v="6"/>
    <n v="6.74"/>
    <x v="0"/>
  </r>
  <r>
    <x v="0"/>
    <s v="伊達郡国見町"/>
    <x v="15"/>
    <x v="9"/>
    <n v="5"/>
    <n v="2.72"/>
    <n v="2"/>
    <n v="2.2000000000000002"/>
    <n v="3"/>
    <n v="3.37"/>
    <x v="0"/>
  </r>
  <r>
    <x v="0"/>
    <s v="伊達郡国見町"/>
    <x v="15"/>
    <x v="10"/>
    <n v="11"/>
    <n v="5.98"/>
    <n v="6"/>
    <n v="6.59"/>
    <n v="4"/>
    <n v="4.49"/>
    <x v="0"/>
  </r>
  <r>
    <x v="0"/>
    <s v="伊達郡国見町"/>
    <x v="15"/>
    <x v="11"/>
    <n v="23"/>
    <n v="12.5"/>
    <n v="21"/>
    <n v="23.08"/>
    <n v="2"/>
    <n v="2.25"/>
    <x v="0"/>
  </r>
  <r>
    <x v="0"/>
    <s v="伊達郡国見町"/>
    <x v="15"/>
    <x v="12"/>
    <n v="5"/>
    <n v="2.72"/>
    <n v="2"/>
    <n v="2.2000000000000002"/>
    <n v="1"/>
    <n v="1.1200000000000001"/>
    <x v="0"/>
  </r>
  <r>
    <x v="0"/>
    <s v="伊達郡国見町"/>
    <x v="15"/>
    <x v="13"/>
    <n v="4"/>
    <n v="2.17"/>
    <n v="1"/>
    <n v="1.1000000000000001"/>
    <n v="3"/>
    <n v="3.37"/>
    <x v="0"/>
  </r>
  <r>
    <x v="0"/>
    <s v="伊達郡国見町"/>
    <x v="15"/>
    <x v="14"/>
    <n v="9"/>
    <n v="4.8899999999999997"/>
    <n v="3"/>
    <n v="3.3"/>
    <n v="6"/>
    <n v="6.74"/>
    <x v="0"/>
  </r>
  <r>
    <x v="0"/>
    <s v="伊達郡川俣町"/>
    <x v="16"/>
    <x v="0"/>
    <n v="0"/>
    <n v="0"/>
    <n v="0"/>
    <n v="0"/>
    <n v="0"/>
    <n v="0"/>
    <x v="0"/>
  </r>
  <r>
    <x v="0"/>
    <s v="伊達郡川俣町"/>
    <x v="16"/>
    <x v="1"/>
    <n v="59"/>
    <n v="15.49"/>
    <n v="26"/>
    <n v="10.97"/>
    <n v="33"/>
    <n v="23.74"/>
    <x v="0"/>
  </r>
  <r>
    <x v="0"/>
    <s v="伊達郡川俣町"/>
    <x v="16"/>
    <x v="2"/>
    <n v="46"/>
    <n v="12.07"/>
    <n v="27"/>
    <n v="11.39"/>
    <n v="19"/>
    <n v="13.67"/>
    <x v="0"/>
  </r>
  <r>
    <x v="0"/>
    <s v="伊達郡川俣町"/>
    <x v="16"/>
    <x v="3"/>
    <n v="1"/>
    <n v="0.26"/>
    <n v="0"/>
    <n v="0"/>
    <n v="1"/>
    <n v="0.72"/>
    <x v="0"/>
  </r>
  <r>
    <x v="0"/>
    <s v="伊達郡川俣町"/>
    <x v="16"/>
    <x v="4"/>
    <n v="3"/>
    <n v="0.79"/>
    <n v="0"/>
    <n v="0"/>
    <n v="3"/>
    <n v="2.16"/>
    <x v="0"/>
  </r>
  <r>
    <x v="0"/>
    <s v="伊達郡川俣町"/>
    <x v="16"/>
    <x v="5"/>
    <n v="1"/>
    <n v="0.26"/>
    <n v="1"/>
    <n v="0.42"/>
    <n v="0"/>
    <n v="0"/>
    <x v="0"/>
  </r>
  <r>
    <x v="0"/>
    <s v="伊達郡川俣町"/>
    <x v="16"/>
    <x v="6"/>
    <n v="100"/>
    <n v="26.25"/>
    <n v="60"/>
    <n v="25.32"/>
    <n v="40"/>
    <n v="28.78"/>
    <x v="0"/>
  </r>
  <r>
    <x v="0"/>
    <s v="伊達郡川俣町"/>
    <x v="16"/>
    <x v="7"/>
    <n v="3"/>
    <n v="0.79"/>
    <n v="1"/>
    <n v="0.42"/>
    <n v="2"/>
    <n v="1.44"/>
    <x v="0"/>
  </r>
  <r>
    <x v="0"/>
    <s v="伊達郡川俣町"/>
    <x v="16"/>
    <x v="8"/>
    <n v="42"/>
    <n v="11.02"/>
    <n v="31"/>
    <n v="13.08"/>
    <n v="11"/>
    <n v="7.91"/>
    <x v="0"/>
  </r>
  <r>
    <x v="0"/>
    <s v="伊達郡川俣町"/>
    <x v="16"/>
    <x v="9"/>
    <n v="9"/>
    <n v="2.36"/>
    <n v="5"/>
    <n v="2.11"/>
    <n v="4"/>
    <n v="2.88"/>
    <x v="0"/>
  </r>
  <r>
    <x v="0"/>
    <s v="伊達郡川俣町"/>
    <x v="16"/>
    <x v="10"/>
    <n v="26"/>
    <n v="6.82"/>
    <n v="22"/>
    <n v="9.2799999999999994"/>
    <n v="3"/>
    <n v="2.16"/>
    <x v="0"/>
  </r>
  <r>
    <x v="0"/>
    <s v="伊達郡川俣町"/>
    <x v="16"/>
    <x v="11"/>
    <n v="51"/>
    <n v="13.39"/>
    <n v="42"/>
    <n v="17.72"/>
    <n v="8"/>
    <n v="5.76"/>
    <x v="0"/>
  </r>
  <r>
    <x v="0"/>
    <s v="伊達郡川俣町"/>
    <x v="16"/>
    <x v="12"/>
    <n v="9"/>
    <n v="2.36"/>
    <n v="7"/>
    <n v="2.95"/>
    <n v="1"/>
    <n v="0.72"/>
    <x v="1"/>
  </r>
  <r>
    <x v="0"/>
    <s v="伊達郡川俣町"/>
    <x v="16"/>
    <x v="13"/>
    <n v="12"/>
    <n v="3.15"/>
    <n v="8"/>
    <n v="3.38"/>
    <n v="4"/>
    <n v="2.88"/>
    <x v="0"/>
  </r>
  <r>
    <x v="0"/>
    <s v="伊達郡川俣町"/>
    <x v="16"/>
    <x v="14"/>
    <n v="19"/>
    <n v="4.99"/>
    <n v="7"/>
    <n v="2.95"/>
    <n v="10"/>
    <n v="7.19"/>
    <x v="1"/>
  </r>
  <r>
    <x v="0"/>
    <s v="安達郡大玉村"/>
    <x v="17"/>
    <x v="0"/>
    <n v="0"/>
    <n v="0"/>
    <n v="0"/>
    <n v="0"/>
    <n v="0"/>
    <n v="0"/>
    <x v="0"/>
  </r>
  <r>
    <x v="0"/>
    <s v="安達郡大玉村"/>
    <x v="17"/>
    <x v="1"/>
    <n v="36"/>
    <n v="25"/>
    <n v="16"/>
    <n v="21.33"/>
    <n v="20"/>
    <n v="30.3"/>
    <x v="0"/>
  </r>
  <r>
    <x v="0"/>
    <s v="安達郡大玉村"/>
    <x v="17"/>
    <x v="2"/>
    <n v="9"/>
    <n v="6.25"/>
    <n v="1"/>
    <n v="1.33"/>
    <n v="8"/>
    <n v="12.12"/>
    <x v="0"/>
  </r>
  <r>
    <x v="0"/>
    <s v="安達郡大玉村"/>
    <x v="17"/>
    <x v="3"/>
    <n v="1"/>
    <n v="0.69"/>
    <n v="0"/>
    <n v="0"/>
    <n v="0"/>
    <n v="0"/>
    <x v="0"/>
  </r>
  <r>
    <x v="0"/>
    <s v="安達郡大玉村"/>
    <x v="17"/>
    <x v="4"/>
    <n v="1"/>
    <n v="0.69"/>
    <n v="0"/>
    <n v="0"/>
    <n v="1"/>
    <n v="1.52"/>
    <x v="0"/>
  </r>
  <r>
    <x v="0"/>
    <s v="安達郡大玉村"/>
    <x v="17"/>
    <x v="5"/>
    <n v="0"/>
    <n v="0"/>
    <n v="0"/>
    <n v="0"/>
    <n v="0"/>
    <n v="0"/>
    <x v="0"/>
  </r>
  <r>
    <x v="0"/>
    <s v="安達郡大玉村"/>
    <x v="17"/>
    <x v="6"/>
    <n v="36"/>
    <n v="25"/>
    <n v="19"/>
    <n v="25.33"/>
    <n v="17"/>
    <n v="25.76"/>
    <x v="0"/>
  </r>
  <r>
    <x v="0"/>
    <s v="安達郡大玉村"/>
    <x v="17"/>
    <x v="7"/>
    <n v="0"/>
    <n v="0"/>
    <n v="0"/>
    <n v="0"/>
    <n v="0"/>
    <n v="0"/>
    <x v="0"/>
  </r>
  <r>
    <x v="0"/>
    <s v="安達郡大玉村"/>
    <x v="17"/>
    <x v="8"/>
    <n v="2"/>
    <n v="1.39"/>
    <n v="1"/>
    <n v="1.33"/>
    <n v="1"/>
    <n v="1.52"/>
    <x v="0"/>
  </r>
  <r>
    <x v="0"/>
    <s v="安達郡大玉村"/>
    <x v="17"/>
    <x v="9"/>
    <n v="6"/>
    <n v="4.17"/>
    <n v="5"/>
    <n v="6.67"/>
    <n v="1"/>
    <n v="1.52"/>
    <x v="0"/>
  </r>
  <r>
    <x v="0"/>
    <s v="安達郡大玉村"/>
    <x v="17"/>
    <x v="10"/>
    <n v="16"/>
    <n v="11.11"/>
    <n v="9"/>
    <n v="12"/>
    <n v="7"/>
    <n v="10.61"/>
    <x v="0"/>
  </r>
  <r>
    <x v="0"/>
    <s v="安達郡大玉村"/>
    <x v="17"/>
    <x v="11"/>
    <n v="19"/>
    <n v="13.19"/>
    <n v="16"/>
    <n v="21.33"/>
    <n v="2"/>
    <n v="3.03"/>
    <x v="0"/>
  </r>
  <r>
    <x v="0"/>
    <s v="安達郡大玉村"/>
    <x v="17"/>
    <x v="12"/>
    <n v="4"/>
    <n v="2.78"/>
    <n v="3"/>
    <n v="4"/>
    <n v="1"/>
    <n v="1.52"/>
    <x v="0"/>
  </r>
  <r>
    <x v="0"/>
    <s v="安達郡大玉村"/>
    <x v="17"/>
    <x v="13"/>
    <n v="7"/>
    <n v="4.8600000000000003"/>
    <n v="4"/>
    <n v="5.33"/>
    <n v="2"/>
    <n v="3.03"/>
    <x v="0"/>
  </r>
  <r>
    <x v="0"/>
    <s v="安達郡大玉村"/>
    <x v="17"/>
    <x v="14"/>
    <n v="7"/>
    <n v="4.8600000000000003"/>
    <n v="1"/>
    <n v="1.33"/>
    <n v="6"/>
    <n v="9.09"/>
    <x v="0"/>
  </r>
  <r>
    <x v="0"/>
    <s v="岩瀬郡鏡石町"/>
    <x v="18"/>
    <x v="0"/>
    <n v="0"/>
    <n v="0"/>
    <n v="0"/>
    <n v="0"/>
    <n v="0"/>
    <n v="0"/>
    <x v="0"/>
  </r>
  <r>
    <x v="0"/>
    <s v="岩瀬郡鏡石町"/>
    <x v="18"/>
    <x v="1"/>
    <n v="47"/>
    <n v="14.83"/>
    <n v="19"/>
    <n v="12.26"/>
    <n v="28"/>
    <n v="18.18"/>
    <x v="0"/>
  </r>
  <r>
    <x v="0"/>
    <s v="岩瀬郡鏡石町"/>
    <x v="18"/>
    <x v="2"/>
    <n v="48"/>
    <n v="15.14"/>
    <n v="13"/>
    <n v="8.39"/>
    <n v="35"/>
    <n v="22.73"/>
    <x v="0"/>
  </r>
  <r>
    <x v="0"/>
    <s v="岩瀬郡鏡石町"/>
    <x v="18"/>
    <x v="3"/>
    <n v="1"/>
    <n v="0.32"/>
    <n v="0"/>
    <n v="0"/>
    <n v="1"/>
    <n v="0.65"/>
    <x v="0"/>
  </r>
  <r>
    <x v="0"/>
    <s v="岩瀬郡鏡石町"/>
    <x v="18"/>
    <x v="4"/>
    <n v="0"/>
    <n v="0"/>
    <n v="0"/>
    <n v="0"/>
    <n v="0"/>
    <n v="0"/>
    <x v="0"/>
  </r>
  <r>
    <x v="0"/>
    <s v="岩瀬郡鏡石町"/>
    <x v="18"/>
    <x v="5"/>
    <n v="1"/>
    <n v="0.32"/>
    <n v="0"/>
    <n v="0"/>
    <n v="1"/>
    <n v="0.65"/>
    <x v="0"/>
  </r>
  <r>
    <x v="0"/>
    <s v="岩瀬郡鏡石町"/>
    <x v="18"/>
    <x v="6"/>
    <n v="81"/>
    <n v="25.55"/>
    <n v="33"/>
    <n v="21.29"/>
    <n v="48"/>
    <n v="31.17"/>
    <x v="0"/>
  </r>
  <r>
    <x v="0"/>
    <s v="岩瀬郡鏡石町"/>
    <x v="18"/>
    <x v="7"/>
    <n v="1"/>
    <n v="0.32"/>
    <n v="1"/>
    <n v="0.65"/>
    <n v="0"/>
    <n v="0"/>
    <x v="0"/>
  </r>
  <r>
    <x v="0"/>
    <s v="岩瀬郡鏡石町"/>
    <x v="18"/>
    <x v="8"/>
    <n v="16"/>
    <n v="5.05"/>
    <n v="7"/>
    <n v="4.5199999999999996"/>
    <n v="9"/>
    <n v="5.84"/>
    <x v="0"/>
  </r>
  <r>
    <x v="0"/>
    <s v="岩瀬郡鏡石町"/>
    <x v="18"/>
    <x v="9"/>
    <n v="11"/>
    <n v="3.47"/>
    <n v="8"/>
    <n v="5.16"/>
    <n v="3"/>
    <n v="1.95"/>
    <x v="0"/>
  </r>
  <r>
    <x v="0"/>
    <s v="岩瀬郡鏡石町"/>
    <x v="18"/>
    <x v="10"/>
    <n v="33"/>
    <n v="10.41"/>
    <n v="26"/>
    <n v="16.77"/>
    <n v="7"/>
    <n v="4.55"/>
    <x v="0"/>
  </r>
  <r>
    <x v="0"/>
    <s v="岩瀬郡鏡石町"/>
    <x v="18"/>
    <x v="11"/>
    <n v="46"/>
    <n v="14.51"/>
    <n v="32"/>
    <n v="20.65"/>
    <n v="11"/>
    <n v="7.14"/>
    <x v="0"/>
  </r>
  <r>
    <x v="0"/>
    <s v="岩瀬郡鏡石町"/>
    <x v="18"/>
    <x v="12"/>
    <n v="8"/>
    <n v="2.52"/>
    <n v="5"/>
    <n v="3.23"/>
    <n v="3"/>
    <n v="1.95"/>
    <x v="0"/>
  </r>
  <r>
    <x v="0"/>
    <s v="岩瀬郡鏡石町"/>
    <x v="18"/>
    <x v="13"/>
    <n v="16"/>
    <n v="5.05"/>
    <n v="7"/>
    <n v="4.5199999999999996"/>
    <n v="4"/>
    <n v="2.6"/>
    <x v="0"/>
  </r>
  <r>
    <x v="0"/>
    <s v="岩瀬郡鏡石町"/>
    <x v="18"/>
    <x v="14"/>
    <n v="8"/>
    <n v="2.52"/>
    <n v="4"/>
    <n v="2.58"/>
    <n v="4"/>
    <n v="2.6"/>
    <x v="0"/>
  </r>
  <r>
    <x v="0"/>
    <s v="岩瀬郡天栄村"/>
    <x v="19"/>
    <x v="0"/>
    <n v="1"/>
    <n v="0.78"/>
    <n v="0"/>
    <n v="0"/>
    <n v="1"/>
    <n v="1.92"/>
    <x v="0"/>
  </r>
  <r>
    <x v="0"/>
    <s v="岩瀬郡天栄村"/>
    <x v="19"/>
    <x v="1"/>
    <n v="30"/>
    <n v="23.44"/>
    <n v="15"/>
    <n v="20.83"/>
    <n v="15"/>
    <n v="28.85"/>
    <x v="0"/>
  </r>
  <r>
    <x v="0"/>
    <s v="岩瀬郡天栄村"/>
    <x v="19"/>
    <x v="2"/>
    <n v="13"/>
    <n v="10.16"/>
    <n v="3"/>
    <n v="4.17"/>
    <n v="10"/>
    <n v="19.23"/>
    <x v="0"/>
  </r>
  <r>
    <x v="0"/>
    <s v="岩瀬郡天栄村"/>
    <x v="19"/>
    <x v="3"/>
    <n v="1"/>
    <n v="0.78"/>
    <n v="0"/>
    <n v="0"/>
    <n v="0"/>
    <n v="0"/>
    <x v="0"/>
  </r>
  <r>
    <x v="0"/>
    <s v="岩瀬郡天栄村"/>
    <x v="19"/>
    <x v="4"/>
    <n v="3"/>
    <n v="2.34"/>
    <n v="2"/>
    <n v="2.78"/>
    <n v="1"/>
    <n v="1.92"/>
    <x v="0"/>
  </r>
  <r>
    <x v="0"/>
    <s v="岩瀬郡天栄村"/>
    <x v="19"/>
    <x v="5"/>
    <n v="3"/>
    <n v="2.34"/>
    <n v="0"/>
    <n v="0"/>
    <n v="3"/>
    <n v="5.77"/>
    <x v="0"/>
  </r>
  <r>
    <x v="0"/>
    <s v="岩瀬郡天栄村"/>
    <x v="19"/>
    <x v="6"/>
    <n v="28"/>
    <n v="21.88"/>
    <n v="20"/>
    <n v="27.78"/>
    <n v="8"/>
    <n v="15.38"/>
    <x v="0"/>
  </r>
  <r>
    <x v="0"/>
    <s v="岩瀬郡天栄村"/>
    <x v="19"/>
    <x v="7"/>
    <n v="0"/>
    <n v="0"/>
    <n v="0"/>
    <n v="0"/>
    <n v="0"/>
    <n v="0"/>
    <x v="0"/>
  </r>
  <r>
    <x v="0"/>
    <s v="岩瀬郡天栄村"/>
    <x v="19"/>
    <x v="8"/>
    <n v="3"/>
    <n v="2.34"/>
    <n v="0"/>
    <n v="0"/>
    <n v="3"/>
    <n v="5.77"/>
    <x v="0"/>
  </r>
  <r>
    <x v="0"/>
    <s v="岩瀬郡天栄村"/>
    <x v="19"/>
    <x v="9"/>
    <n v="0"/>
    <n v="0"/>
    <n v="0"/>
    <n v="0"/>
    <n v="0"/>
    <n v="0"/>
    <x v="0"/>
  </r>
  <r>
    <x v="0"/>
    <s v="岩瀬郡天栄村"/>
    <x v="19"/>
    <x v="10"/>
    <n v="25"/>
    <n v="19.53"/>
    <n v="19"/>
    <n v="26.39"/>
    <n v="5"/>
    <n v="9.6199999999999992"/>
    <x v="0"/>
  </r>
  <r>
    <x v="0"/>
    <s v="岩瀬郡天栄村"/>
    <x v="19"/>
    <x v="11"/>
    <n v="10"/>
    <n v="7.81"/>
    <n v="9"/>
    <n v="12.5"/>
    <n v="1"/>
    <n v="1.92"/>
    <x v="0"/>
  </r>
  <r>
    <x v="0"/>
    <s v="岩瀬郡天栄村"/>
    <x v="19"/>
    <x v="12"/>
    <n v="2"/>
    <n v="1.56"/>
    <n v="1"/>
    <n v="1.39"/>
    <n v="0"/>
    <n v="0"/>
    <x v="0"/>
  </r>
  <r>
    <x v="0"/>
    <s v="岩瀬郡天栄村"/>
    <x v="19"/>
    <x v="13"/>
    <n v="4"/>
    <n v="3.13"/>
    <n v="1"/>
    <n v="1.39"/>
    <n v="3"/>
    <n v="5.77"/>
    <x v="0"/>
  </r>
  <r>
    <x v="0"/>
    <s v="岩瀬郡天栄村"/>
    <x v="19"/>
    <x v="14"/>
    <n v="5"/>
    <n v="3.91"/>
    <n v="2"/>
    <n v="2.78"/>
    <n v="2"/>
    <n v="3.85"/>
    <x v="1"/>
  </r>
  <r>
    <x v="0"/>
    <s v="南会津郡下郷町"/>
    <x v="20"/>
    <x v="0"/>
    <n v="0"/>
    <n v="0"/>
    <n v="0"/>
    <n v="0"/>
    <n v="0"/>
    <n v="0"/>
    <x v="0"/>
  </r>
  <r>
    <x v="0"/>
    <s v="南会津郡下郷町"/>
    <x v="20"/>
    <x v="1"/>
    <n v="35"/>
    <n v="15.09"/>
    <n v="14"/>
    <n v="9.59"/>
    <n v="21"/>
    <n v="27.63"/>
    <x v="0"/>
  </r>
  <r>
    <x v="0"/>
    <s v="南会津郡下郷町"/>
    <x v="20"/>
    <x v="2"/>
    <n v="11"/>
    <n v="4.74"/>
    <n v="8"/>
    <n v="5.48"/>
    <n v="3"/>
    <n v="3.95"/>
    <x v="0"/>
  </r>
  <r>
    <x v="0"/>
    <s v="南会津郡下郷町"/>
    <x v="20"/>
    <x v="3"/>
    <n v="2"/>
    <n v="0.86"/>
    <n v="0"/>
    <n v="0"/>
    <n v="1"/>
    <n v="1.32"/>
    <x v="0"/>
  </r>
  <r>
    <x v="0"/>
    <s v="南会津郡下郷町"/>
    <x v="20"/>
    <x v="4"/>
    <n v="0"/>
    <n v="0"/>
    <n v="0"/>
    <n v="0"/>
    <n v="0"/>
    <n v="0"/>
    <x v="0"/>
  </r>
  <r>
    <x v="0"/>
    <s v="南会津郡下郷町"/>
    <x v="20"/>
    <x v="5"/>
    <n v="4"/>
    <n v="1.72"/>
    <n v="2"/>
    <n v="1.37"/>
    <n v="2"/>
    <n v="2.63"/>
    <x v="0"/>
  </r>
  <r>
    <x v="0"/>
    <s v="南会津郡下郷町"/>
    <x v="20"/>
    <x v="6"/>
    <n v="73"/>
    <n v="31.47"/>
    <n v="51"/>
    <n v="34.93"/>
    <n v="22"/>
    <n v="28.95"/>
    <x v="0"/>
  </r>
  <r>
    <x v="0"/>
    <s v="南会津郡下郷町"/>
    <x v="20"/>
    <x v="7"/>
    <n v="2"/>
    <n v="0.86"/>
    <n v="0"/>
    <n v="0"/>
    <n v="2"/>
    <n v="2.63"/>
    <x v="0"/>
  </r>
  <r>
    <x v="0"/>
    <s v="南会津郡下郷町"/>
    <x v="20"/>
    <x v="8"/>
    <n v="4"/>
    <n v="1.72"/>
    <n v="2"/>
    <n v="1.37"/>
    <n v="1"/>
    <n v="1.32"/>
    <x v="0"/>
  </r>
  <r>
    <x v="0"/>
    <s v="南会津郡下郷町"/>
    <x v="20"/>
    <x v="9"/>
    <n v="4"/>
    <n v="1.72"/>
    <n v="1"/>
    <n v="0.68"/>
    <n v="3"/>
    <n v="3.95"/>
    <x v="0"/>
  </r>
  <r>
    <x v="0"/>
    <s v="南会津郡下郷町"/>
    <x v="20"/>
    <x v="10"/>
    <n v="48"/>
    <n v="20.69"/>
    <n v="35"/>
    <n v="23.97"/>
    <n v="13"/>
    <n v="17.11"/>
    <x v="0"/>
  </r>
  <r>
    <x v="0"/>
    <s v="南会津郡下郷町"/>
    <x v="20"/>
    <x v="11"/>
    <n v="33"/>
    <n v="14.22"/>
    <n v="26"/>
    <n v="17.809999999999999"/>
    <n v="4"/>
    <n v="5.26"/>
    <x v="1"/>
  </r>
  <r>
    <x v="0"/>
    <s v="南会津郡下郷町"/>
    <x v="20"/>
    <x v="12"/>
    <n v="3"/>
    <n v="1.29"/>
    <n v="1"/>
    <n v="0.68"/>
    <n v="1"/>
    <n v="1.32"/>
    <x v="0"/>
  </r>
  <r>
    <x v="0"/>
    <s v="南会津郡下郷町"/>
    <x v="20"/>
    <x v="13"/>
    <n v="6"/>
    <n v="2.59"/>
    <n v="2"/>
    <n v="1.37"/>
    <n v="2"/>
    <n v="2.63"/>
    <x v="0"/>
  </r>
  <r>
    <x v="0"/>
    <s v="南会津郡下郷町"/>
    <x v="20"/>
    <x v="14"/>
    <n v="7"/>
    <n v="3.02"/>
    <n v="4"/>
    <n v="2.74"/>
    <n v="1"/>
    <n v="1.32"/>
    <x v="0"/>
  </r>
  <r>
    <x v="0"/>
    <s v="南会津郡檜枝岐村"/>
    <x v="21"/>
    <x v="0"/>
    <n v="0"/>
    <n v="0"/>
    <n v="0"/>
    <n v="0"/>
    <n v="0"/>
    <n v="0"/>
    <x v="0"/>
  </r>
  <r>
    <x v="0"/>
    <s v="南会津郡檜枝岐村"/>
    <x v="21"/>
    <x v="1"/>
    <n v="4"/>
    <n v="5.63"/>
    <n v="1"/>
    <n v="1.92"/>
    <n v="3"/>
    <n v="27.27"/>
    <x v="0"/>
  </r>
  <r>
    <x v="0"/>
    <s v="南会津郡檜枝岐村"/>
    <x v="21"/>
    <x v="2"/>
    <n v="1"/>
    <n v="1.41"/>
    <n v="0"/>
    <n v="0"/>
    <n v="1"/>
    <n v="9.09"/>
    <x v="0"/>
  </r>
  <r>
    <x v="0"/>
    <s v="南会津郡檜枝岐村"/>
    <x v="21"/>
    <x v="3"/>
    <n v="0"/>
    <n v="0"/>
    <n v="0"/>
    <n v="0"/>
    <n v="0"/>
    <n v="0"/>
    <x v="0"/>
  </r>
  <r>
    <x v="0"/>
    <s v="南会津郡檜枝岐村"/>
    <x v="21"/>
    <x v="4"/>
    <n v="0"/>
    <n v="0"/>
    <n v="0"/>
    <n v="0"/>
    <n v="0"/>
    <n v="0"/>
    <x v="0"/>
  </r>
  <r>
    <x v="0"/>
    <s v="南会津郡檜枝岐村"/>
    <x v="21"/>
    <x v="5"/>
    <n v="2"/>
    <n v="2.82"/>
    <n v="1"/>
    <n v="1.92"/>
    <n v="0"/>
    <n v="0"/>
    <x v="1"/>
  </r>
  <r>
    <x v="0"/>
    <s v="南会津郡檜枝岐村"/>
    <x v="21"/>
    <x v="6"/>
    <n v="7"/>
    <n v="9.86"/>
    <n v="4"/>
    <n v="7.69"/>
    <n v="1"/>
    <n v="9.09"/>
    <x v="0"/>
  </r>
  <r>
    <x v="0"/>
    <s v="南会津郡檜枝岐村"/>
    <x v="21"/>
    <x v="7"/>
    <n v="0"/>
    <n v="0"/>
    <n v="0"/>
    <n v="0"/>
    <n v="0"/>
    <n v="0"/>
    <x v="0"/>
  </r>
  <r>
    <x v="0"/>
    <s v="南会津郡檜枝岐村"/>
    <x v="21"/>
    <x v="8"/>
    <n v="0"/>
    <n v="0"/>
    <n v="0"/>
    <n v="0"/>
    <n v="0"/>
    <n v="0"/>
    <x v="0"/>
  </r>
  <r>
    <x v="0"/>
    <s v="南会津郡檜枝岐村"/>
    <x v="21"/>
    <x v="9"/>
    <n v="0"/>
    <n v="0"/>
    <n v="0"/>
    <n v="0"/>
    <n v="0"/>
    <n v="0"/>
    <x v="0"/>
  </r>
  <r>
    <x v="0"/>
    <s v="南会津郡檜枝岐村"/>
    <x v="21"/>
    <x v="10"/>
    <n v="47"/>
    <n v="66.2"/>
    <n v="40"/>
    <n v="76.92"/>
    <n v="6"/>
    <n v="54.55"/>
    <x v="0"/>
  </r>
  <r>
    <x v="0"/>
    <s v="南会津郡檜枝岐村"/>
    <x v="21"/>
    <x v="11"/>
    <n v="6"/>
    <n v="8.4499999999999993"/>
    <n v="4"/>
    <n v="7.69"/>
    <n v="0"/>
    <n v="0"/>
    <x v="0"/>
  </r>
  <r>
    <x v="0"/>
    <s v="南会津郡檜枝岐村"/>
    <x v="21"/>
    <x v="12"/>
    <n v="2"/>
    <n v="2.82"/>
    <n v="1"/>
    <n v="1.92"/>
    <n v="0"/>
    <n v="0"/>
    <x v="1"/>
  </r>
  <r>
    <x v="0"/>
    <s v="南会津郡檜枝岐村"/>
    <x v="21"/>
    <x v="13"/>
    <n v="2"/>
    <n v="2.82"/>
    <n v="1"/>
    <n v="1.92"/>
    <n v="0"/>
    <n v="0"/>
    <x v="0"/>
  </r>
  <r>
    <x v="0"/>
    <s v="南会津郡檜枝岐村"/>
    <x v="21"/>
    <x v="14"/>
    <n v="0"/>
    <n v="0"/>
    <n v="0"/>
    <n v="0"/>
    <n v="0"/>
    <n v="0"/>
    <x v="0"/>
  </r>
  <r>
    <x v="0"/>
    <s v="南会津郡只見町"/>
    <x v="22"/>
    <x v="0"/>
    <n v="0"/>
    <n v="0"/>
    <n v="0"/>
    <n v="0"/>
    <n v="0"/>
    <n v="0"/>
    <x v="0"/>
  </r>
  <r>
    <x v="0"/>
    <s v="南会津郡只見町"/>
    <x v="22"/>
    <x v="1"/>
    <n v="33"/>
    <n v="17.28"/>
    <n v="22"/>
    <n v="16.3"/>
    <n v="11"/>
    <n v="21.57"/>
    <x v="0"/>
  </r>
  <r>
    <x v="0"/>
    <s v="南会津郡只見町"/>
    <x v="22"/>
    <x v="2"/>
    <n v="20"/>
    <n v="10.47"/>
    <n v="9"/>
    <n v="6.67"/>
    <n v="11"/>
    <n v="21.57"/>
    <x v="0"/>
  </r>
  <r>
    <x v="0"/>
    <s v="南会津郡只見町"/>
    <x v="22"/>
    <x v="3"/>
    <n v="1"/>
    <n v="0.52"/>
    <n v="0"/>
    <n v="0"/>
    <n v="0"/>
    <n v="0"/>
    <x v="0"/>
  </r>
  <r>
    <x v="0"/>
    <s v="南会津郡只見町"/>
    <x v="22"/>
    <x v="4"/>
    <n v="0"/>
    <n v="0"/>
    <n v="0"/>
    <n v="0"/>
    <n v="0"/>
    <n v="0"/>
    <x v="0"/>
  </r>
  <r>
    <x v="0"/>
    <s v="南会津郡只見町"/>
    <x v="22"/>
    <x v="5"/>
    <n v="2"/>
    <n v="1.05"/>
    <n v="1"/>
    <n v="0.74"/>
    <n v="1"/>
    <n v="1.96"/>
    <x v="0"/>
  </r>
  <r>
    <x v="0"/>
    <s v="南会津郡只見町"/>
    <x v="22"/>
    <x v="6"/>
    <n v="37"/>
    <n v="19.37"/>
    <n v="26"/>
    <n v="19.260000000000002"/>
    <n v="11"/>
    <n v="21.57"/>
    <x v="0"/>
  </r>
  <r>
    <x v="0"/>
    <s v="南会津郡只見町"/>
    <x v="22"/>
    <x v="7"/>
    <n v="2"/>
    <n v="1.05"/>
    <n v="0"/>
    <n v="0"/>
    <n v="2"/>
    <n v="3.92"/>
    <x v="0"/>
  </r>
  <r>
    <x v="0"/>
    <s v="南会津郡只見町"/>
    <x v="22"/>
    <x v="8"/>
    <n v="4"/>
    <n v="2.09"/>
    <n v="1"/>
    <n v="0.74"/>
    <n v="3"/>
    <n v="5.88"/>
    <x v="0"/>
  </r>
  <r>
    <x v="0"/>
    <s v="南会津郡只見町"/>
    <x v="22"/>
    <x v="9"/>
    <n v="5"/>
    <n v="2.62"/>
    <n v="3"/>
    <n v="2.2200000000000002"/>
    <n v="2"/>
    <n v="3.92"/>
    <x v="0"/>
  </r>
  <r>
    <x v="0"/>
    <s v="南会津郡只見町"/>
    <x v="22"/>
    <x v="10"/>
    <n v="48"/>
    <n v="25.13"/>
    <n v="41"/>
    <n v="30.37"/>
    <n v="7"/>
    <n v="13.73"/>
    <x v="0"/>
  </r>
  <r>
    <x v="0"/>
    <s v="南会津郡只見町"/>
    <x v="22"/>
    <x v="11"/>
    <n v="24"/>
    <n v="12.57"/>
    <n v="24"/>
    <n v="17.78"/>
    <n v="0"/>
    <n v="0"/>
    <x v="0"/>
  </r>
  <r>
    <x v="0"/>
    <s v="南会津郡只見町"/>
    <x v="22"/>
    <x v="12"/>
    <n v="2"/>
    <n v="1.05"/>
    <n v="1"/>
    <n v="0.74"/>
    <n v="1"/>
    <n v="1.96"/>
    <x v="0"/>
  </r>
  <r>
    <x v="0"/>
    <s v="南会津郡只見町"/>
    <x v="22"/>
    <x v="13"/>
    <n v="9"/>
    <n v="4.71"/>
    <n v="6"/>
    <n v="4.4400000000000004"/>
    <n v="2"/>
    <n v="3.92"/>
    <x v="0"/>
  </r>
  <r>
    <x v="0"/>
    <s v="南会津郡只見町"/>
    <x v="22"/>
    <x v="14"/>
    <n v="4"/>
    <n v="2.09"/>
    <n v="1"/>
    <n v="0.74"/>
    <n v="0"/>
    <n v="0"/>
    <x v="0"/>
  </r>
  <r>
    <x v="0"/>
    <s v="南会津郡南会津町"/>
    <x v="23"/>
    <x v="0"/>
    <n v="0"/>
    <n v="0"/>
    <n v="0"/>
    <n v="0"/>
    <n v="0"/>
    <n v="0"/>
    <x v="0"/>
  </r>
  <r>
    <x v="0"/>
    <s v="南会津郡南会津町"/>
    <x v="23"/>
    <x v="1"/>
    <n v="95"/>
    <n v="14.46"/>
    <n v="54"/>
    <n v="12.41"/>
    <n v="41"/>
    <n v="19.07"/>
    <x v="0"/>
  </r>
  <r>
    <x v="0"/>
    <s v="南会津郡南会津町"/>
    <x v="23"/>
    <x v="2"/>
    <n v="49"/>
    <n v="7.46"/>
    <n v="23"/>
    <n v="5.29"/>
    <n v="26"/>
    <n v="12.09"/>
    <x v="0"/>
  </r>
  <r>
    <x v="0"/>
    <s v="南会津郡南会津町"/>
    <x v="23"/>
    <x v="3"/>
    <n v="1"/>
    <n v="0.15"/>
    <n v="0"/>
    <n v="0"/>
    <n v="0"/>
    <n v="0"/>
    <x v="0"/>
  </r>
  <r>
    <x v="0"/>
    <s v="南会津郡南会津町"/>
    <x v="23"/>
    <x v="4"/>
    <n v="3"/>
    <n v="0.46"/>
    <n v="0"/>
    <n v="0"/>
    <n v="3"/>
    <n v="1.4"/>
    <x v="0"/>
  </r>
  <r>
    <x v="0"/>
    <s v="南会津郡南会津町"/>
    <x v="23"/>
    <x v="5"/>
    <n v="6"/>
    <n v="0.91"/>
    <n v="1"/>
    <n v="0.23"/>
    <n v="5"/>
    <n v="2.33"/>
    <x v="0"/>
  </r>
  <r>
    <x v="0"/>
    <s v="南会津郡南会津町"/>
    <x v="23"/>
    <x v="6"/>
    <n v="175"/>
    <n v="26.64"/>
    <n v="105"/>
    <n v="24.14"/>
    <n v="70"/>
    <n v="32.56"/>
    <x v="0"/>
  </r>
  <r>
    <x v="0"/>
    <s v="南会津郡南会津町"/>
    <x v="23"/>
    <x v="7"/>
    <n v="2"/>
    <n v="0.3"/>
    <n v="0"/>
    <n v="0"/>
    <n v="2"/>
    <n v="0.93"/>
    <x v="0"/>
  </r>
  <r>
    <x v="0"/>
    <s v="南会津郡南会津町"/>
    <x v="23"/>
    <x v="8"/>
    <n v="21"/>
    <n v="3.2"/>
    <n v="15"/>
    <n v="3.45"/>
    <n v="6"/>
    <n v="2.79"/>
    <x v="0"/>
  </r>
  <r>
    <x v="0"/>
    <s v="南会津郡南会津町"/>
    <x v="23"/>
    <x v="9"/>
    <n v="21"/>
    <n v="3.2"/>
    <n v="12"/>
    <n v="2.76"/>
    <n v="9"/>
    <n v="4.1900000000000004"/>
    <x v="0"/>
  </r>
  <r>
    <x v="0"/>
    <s v="南会津郡南会津町"/>
    <x v="23"/>
    <x v="10"/>
    <n v="138"/>
    <n v="21"/>
    <n v="127"/>
    <n v="29.2"/>
    <n v="10"/>
    <n v="4.6500000000000004"/>
    <x v="1"/>
  </r>
  <r>
    <x v="0"/>
    <s v="南会津郡南会津町"/>
    <x v="23"/>
    <x v="11"/>
    <n v="91"/>
    <n v="13.85"/>
    <n v="79"/>
    <n v="18.16"/>
    <n v="12"/>
    <n v="5.58"/>
    <x v="0"/>
  </r>
  <r>
    <x v="0"/>
    <s v="南会津郡南会津町"/>
    <x v="23"/>
    <x v="12"/>
    <n v="10"/>
    <n v="1.52"/>
    <n v="7"/>
    <n v="1.61"/>
    <n v="2"/>
    <n v="0.93"/>
    <x v="0"/>
  </r>
  <r>
    <x v="0"/>
    <s v="南会津郡南会津町"/>
    <x v="23"/>
    <x v="13"/>
    <n v="18"/>
    <n v="2.74"/>
    <n v="7"/>
    <n v="1.61"/>
    <n v="9"/>
    <n v="4.1900000000000004"/>
    <x v="0"/>
  </r>
  <r>
    <x v="0"/>
    <s v="南会津郡南会津町"/>
    <x v="23"/>
    <x v="14"/>
    <n v="27"/>
    <n v="4.1100000000000003"/>
    <n v="5"/>
    <n v="1.1499999999999999"/>
    <n v="20"/>
    <n v="9.3000000000000007"/>
    <x v="1"/>
  </r>
  <r>
    <x v="0"/>
    <s v="耶麻郡北塩原村"/>
    <x v="24"/>
    <x v="0"/>
    <n v="0"/>
    <n v="0"/>
    <n v="0"/>
    <n v="0"/>
    <n v="0"/>
    <n v="0"/>
    <x v="0"/>
  </r>
  <r>
    <x v="0"/>
    <s v="耶麻郡北塩原村"/>
    <x v="24"/>
    <x v="1"/>
    <n v="14"/>
    <n v="7.82"/>
    <n v="7"/>
    <n v="5.98"/>
    <n v="7"/>
    <n v="12.5"/>
    <x v="0"/>
  </r>
  <r>
    <x v="0"/>
    <s v="耶麻郡北塩原村"/>
    <x v="24"/>
    <x v="2"/>
    <n v="6"/>
    <n v="3.35"/>
    <n v="3"/>
    <n v="2.56"/>
    <n v="3"/>
    <n v="5.36"/>
    <x v="0"/>
  </r>
  <r>
    <x v="0"/>
    <s v="耶麻郡北塩原村"/>
    <x v="24"/>
    <x v="3"/>
    <n v="0"/>
    <n v="0"/>
    <n v="0"/>
    <n v="0"/>
    <n v="0"/>
    <n v="0"/>
    <x v="0"/>
  </r>
  <r>
    <x v="0"/>
    <s v="耶麻郡北塩原村"/>
    <x v="24"/>
    <x v="4"/>
    <n v="1"/>
    <n v="0.56000000000000005"/>
    <n v="0"/>
    <n v="0"/>
    <n v="1"/>
    <n v="1.79"/>
    <x v="0"/>
  </r>
  <r>
    <x v="0"/>
    <s v="耶麻郡北塩原村"/>
    <x v="24"/>
    <x v="5"/>
    <n v="2"/>
    <n v="1.1200000000000001"/>
    <n v="0"/>
    <n v="0"/>
    <n v="1"/>
    <n v="1.79"/>
    <x v="1"/>
  </r>
  <r>
    <x v="0"/>
    <s v="耶麻郡北塩原村"/>
    <x v="24"/>
    <x v="6"/>
    <n v="21"/>
    <n v="11.73"/>
    <n v="9"/>
    <n v="7.69"/>
    <n v="12"/>
    <n v="21.43"/>
    <x v="0"/>
  </r>
  <r>
    <x v="0"/>
    <s v="耶麻郡北塩原村"/>
    <x v="24"/>
    <x v="7"/>
    <n v="0"/>
    <n v="0"/>
    <n v="0"/>
    <n v="0"/>
    <n v="0"/>
    <n v="0"/>
    <x v="0"/>
  </r>
  <r>
    <x v="0"/>
    <s v="耶麻郡北塩原村"/>
    <x v="24"/>
    <x v="8"/>
    <n v="4"/>
    <n v="2.23"/>
    <n v="3"/>
    <n v="2.56"/>
    <n v="1"/>
    <n v="1.79"/>
    <x v="0"/>
  </r>
  <r>
    <x v="0"/>
    <s v="耶麻郡北塩原村"/>
    <x v="24"/>
    <x v="9"/>
    <n v="3"/>
    <n v="1.68"/>
    <n v="2"/>
    <n v="1.71"/>
    <n v="1"/>
    <n v="1.79"/>
    <x v="0"/>
  </r>
  <r>
    <x v="0"/>
    <s v="耶麻郡北塩原村"/>
    <x v="24"/>
    <x v="10"/>
    <n v="106"/>
    <n v="59.22"/>
    <n v="83"/>
    <n v="70.94"/>
    <n v="20"/>
    <n v="35.71"/>
    <x v="1"/>
  </r>
  <r>
    <x v="0"/>
    <s v="耶麻郡北塩原村"/>
    <x v="24"/>
    <x v="11"/>
    <n v="13"/>
    <n v="7.26"/>
    <n v="9"/>
    <n v="7.69"/>
    <n v="4"/>
    <n v="7.14"/>
    <x v="0"/>
  </r>
  <r>
    <x v="0"/>
    <s v="耶麻郡北塩原村"/>
    <x v="24"/>
    <x v="12"/>
    <n v="2"/>
    <n v="1.1200000000000001"/>
    <n v="0"/>
    <n v="0"/>
    <n v="2"/>
    <n v="3.57"/>
    <x v="0"/>
  </r>
  <r>
    <x v="0"/>
    <s v="耶麻郡北塩原村"/>
    <x v="24"/>
    <x v="13"/>
    <n v="2"/>
    <n v="1.1200000000000001"/>
    <n v="1"/>
    <n v="0.85"/>
    <n v="1"/>
    <n v="1.79"/>
    <x v="0"/>
  </r>
  <r>
    <x v="0"/>
    <s v="耶麻郡北塩原村"/>
    <x v="24"/>
    <x v="14"/>
    <n v="5"/>
    <n v="2.79"/>
    <n v="0"/>
    <n v="0"/>
    <n v="3"/>
    <n v="5.36"/>
    <x v="1"/>
  </r>
  <r>
    <x v="0"/>
    <s v="耶麻郡西会津町"/>
    <x v="25"/>
    <x v="0"/>
    <n v="0"/>
    <n v="0"/>
    <n v="0"/>
    <n v="0"/>
    <n v="0"/>
    <n v="0"/>
    <x v="0"/>
  </r>
  <r>
    <x v="0"/>
    <s v="耶麻郡西会津町"/>
    <x v="25"/>
    <x v="1"/>
    <n v="49"/>
    <n v="23.67"/>
    <n v="28"/>
    <n v="20.14"/>
    <n v="21"/>
    <n v="33.869999999999997"/>
    <x v="0"/>
  </r>
  <r>
    <x v="0"/>
    <s v="耶麻郡西会津町"/>
    <x v="25"/>
    <x v="2"/>
    <n v="19"/>
    <n v="9.18"/>
    <n v="9"/>
    <n v="6.47"/>
    <n v="10"/>
    <n v="16.13"/>
    <x v="0"/>
  </r>
  <r>
    <x v="0"/>
    <s v="耶麻郡西会津町"/>
    <x v="25"/>
    <x v="3"/>
    <n v="0"/>
    <n v="0"/>
    <n v="0"/>
    <n v="0"/>
    <n v="0"/>
    <n v="0"/>
    <x v="0"/>
  </r>
  <r>
    <x v="0"/>
    <s v="耶麻郡西会津町"/>
    <x v="25"/>
    <x v="4"/>
    <n v="0"/>
    <n v="0"/>
    <n v="0"/>
    <n v="0"/>
    <n v="0"/>
    <n v="0"/>
    <x v="0"/>
  </r>
  <r>
    <x v="0"/>
    <s v="耶麻郡西会津町"/>
    <x v="25"/>
    <x v="5"/>
    <n v="1"/>
    <n v="0.48"/>
    <n v="0"/>
    <n v="0"/>
    <n v="0"/>
    <n v="0"/>
    <x v="1"/>
  </r>
  <r>
    <x v="0"/>
    <s v="耶麻郡西会津町"/>
    <x v="25"/>
    <x v="6"/>
    <n v="56"/>
    <n v="27.05"/>
    <n v="40"/>
    <n v="28.78"/>
    <n v="16"/>
    <n v="25.81"/>
    <x v="0"/>
  </r>
  <r>
    <x v="0"/>
    <s v="耶麻郡西会津町"/>
    <x v="25"/>
    <x v="7"/>
    <n v="0"/>
    <n v="0"/>
    <n v="0"/>
    <n v="0"/>
    <n v="0"/>
    <n v="0"/>
    <x v="0"/>
  </r>
  <r>
    <x v="0"/>
    <s v="耶麻郡西会津町"/>
    <x v="25"/>
    <x v="8"/>
    <n v="1"/>
    <n v="0.48"/>
    <n v="0"/>
    <n v="0"/>
    <n v="1"/>
    <n v="1.61"/>
    <x v="0"/>
  </r>
  <r>
    <x v="0"/>
    <s v="耶麻郡西会津町"/>
    <x v="25"/>
    <x v="9"/>
    <n v="5"/>
    <n v="2.42"/>
    <n v="3"/>
    <n v="2.16"/>
    <n v="2"/>
    <n v="3.23"/>
    <x v="0"/>
  </r>
  <r>
    <x v="0"/>
    <s v="耶麻郡西会津町"/>
    <x v="25"/>
    <x v="10"/>
    <n v="32"/>
    <n v="15.46"/>
    <n v="26"/>
    <n v="18.71"/>
    <n v="6"/>
    <n v="9.68"/>
    <x v="0"/>
  </r>
  <r>
    <x v="0"/>
    <s v="耶麻郡西会津町"/>
    <x v="25"/>
    <x v="11"/>
    <n v="24"/>
    <n v="11.59"/>
    <n v="23"/>
    <n v="16.55"/>
    <n v="1"/>
    <n v="1.61"/>
    <x v="0"/>
  </r>
  <r>
    <x v="0"/>
    <s v="耶麻郡西会津町"/>
    <x v="25"/>
    <x v="12"/>
    <n v="6"/>
    <n v="2.9"/>
    <n v="3"/>
    <n v="2.16"/>
    <n v="1"/>
    <n v="1.61"/>
    <x v="0"/>
  </r>
  <r>
    <x v="0"/>
    <s v="耶麻郡西会津町"/>
    <x v="25"/>
    <x v="13"/>
    <n v="10"/>
    <n v="4.83"/>
    <n v="4"/>
    <n v="2.88"/>
    <n v="3"/>
    <n v="4.84"/>
    <x v="0"/>
  </r>
  <r>
    <x v="0"/>
    <s v="耶麻郡西会津町"/>
    <x v="25"/>
    <x v="14"/>
    <n v="4"/>
    <n v="1.93"/>
    <n v="3"/>
    <n v="2.16"/>
    <n v="1"/>
    <n v="1.61"/>
    <x v="0"/>
  </r>
  <r>
    <x v="0"/>
    <s v="耶麻郡磐梯町"/>
    <x v="26"/>
    <x v="0"/>
    <n v="0"/>
    <n v="0"/>
    <n v="0"/>
    <n v="0"/>
    <n v="0"/>
    <n v="0"/>
    <x v="0"/>
  </r>
  <r>
    <x v="0"/>
    <s v="耶麻郡磐梯町"/>
    <x v="26"/>
    <x v="1"/>
    <n v="9"/>
    <n v="13.04"/>
    <n v="6"/>
    <n v="16.22"/>
    <n v="3"/>
    <n v="10"/>
    <x v="0"/>
  </r>
  <r>
    <x v="0"/>
    <s v="耶麻郡磐梯町"/>
    <x v="26"/>
    <x v="2"/>
    <n v="12"/>
    <n v="17.39"/>
    <n v="1"/>
    <n v="2.7"/>
    <n v="11"/>
    <n v="36.67"/>
    <x v="0"/>
  </r>
  <r>
    <x v="0"/>
    <s v="耶麻郡磐梯町"/>
    <x v="26"/>
    <x v="3"/>
    <n v="2"/>
    <n v="2.9"/>
    <n v="1"/>
    <n v="2.7"/>
    <n v="0"/>
    <n v="0"/>
    <x v="0"/>
  </r>
  <r>
    <x v="0"/>
    <s v="耶麻郡磐梯町"/>
    <x v="26"/>
    <x v="4"/>
    <n v="0"/>
    <n v="0"/>
    <n v="0"/>
    <n v="0"/>
    <n v="0"/>
    <n v="0"/>
    <x v="0"/>
  </r>
  <r>
    <x v="0"/>
    <s v="耶麻郡磐梯町"/>
    <x v="26"/>
    <x v="5"/>
    <n v="1"/>
    <n v="1.45"/>
    <n v="0"/>
    <n v="0"/>
    <n v="1"/>
    <n v="3.33"/>
    <x v="0"/>
  </r>
  <r>
    <x v="0"/>
    <s v="耶麻郡磐梯町"/>
    <x v="26"/>
    <x v="6"/>
    <n v="9"/>
    <n v="13.04"/>
    <n v="5"/>
    <n v="13.51"/>
    <n v="4"/>
    <n v="13.33"/>
    <x v="0"/>
  </r>
  <r>
    <x v="0"/>
    <s v="耶麻郡磐梯町"/>
    <x v="26"/>
    <x v="7"/>
    <n v="0"/>
    <n v="0"/>
    <n v="0"/>
    <n v="0"/>
    <n v="0"/>
    <n v="0"/>
    <x v="0"/>
  </r>
  <r>
    <x v="0"/>
    <s v="耶麻郡磐梯町"/>
    <x v="26"/>
    <x v="8"/>
    <n v="0"/>
    <n v="0"/>
    <n v="0"/>
    <n v="0"/>
    <n v="0"/>
    <n v="0"/>
    <x v="0"/>
  </r>
  <r>
    <x v="0"/>
    <s v="耶麻郡磐梯町"/>
    <x v="26"/>
    <x v="9"/>
    <n v="2"/>
    <n v="2.9"/>
    <n v="1"/>
    <n v="2.7"/>
    <n v="1"/>
    <n v="3.33"/>
    <x v="0"/>
  </r>
  <r>
    <x v="0"/>
    <s v="耶麻郡磐梯町"/>
    <x v="26"/>
    <x v="10"/>
    <n v="17"/>
    <n v="24.64"/>
    <n v="13"/>
    <n v="35.14"/>
    <n v="4"/>
    <n v="13.33"/>
    <x v="0"/>
  </r>
  <r>
    <x v="0"/>
    <s v="耶麻郡磐梯町"/>
    <x v="26"/>
    <x v="11"/>
    <n v="8"/>
    <n v="11.59"/>
    <n v="7"/>
    <n v="18.920000000000002"/>
    <n v="1"/>
    <n v="3.33"/>
    <x v="0"/>
  </r>
  <r>
    <x v="0"/>
    <s v="耶麻郡磐梯町"/>
    <x v="26"/>
    <x v="12"/>
    <n v="1"/>
    <n v="1.45"/>
    <n v="1"/>
    <n v="2.7"/>
    <n v="0"/>
    <n v="0"/>
    <x v="0"/>
  </r>
  <r>
    <x v="0"/>
    <s v="耶麻郡磐梯町"/>
    <x v="26"/>
    <x v="13"/>
    <n v="1"/>
    <n v="1.45"/>
    <n v="1"/>
    <n v="2.7"/>
    <n v="0"/>
    <n v="0"/>
    <x v="0"/>
  </r>
  <r>
    <x v="0"/>
    <s v="耶麻郡磐梯町"/>
    <x v="26"/>
    <x v="14"/>
    <n v="7"/>
    <n v="10.14"/>
    <n v="1"/>
    <n v="2.7"/>
    <n v="5"/>
    <n v="16.670000000000002"/>
    <x v="0"/>
  </r>
  <r>
    <x v="0"/>
    <s v="耶麻郡猪苗代町"/>
    <x v="27"/>
    <x v="0"/>
    <n v="1"/>
    <n v="0.21"/>
    <n v="0"/>
    <n v="0"/>
    <n v="1"/>
    <n v="0.48"/>
    <x v="0"/>
  </r>
  <r>
    <x v="0"/>
    <s v="耶麻郡猪苗代町"/>
    <x v="27"/>
    <x v="1"/>
    <n v="75"/>
    <n v="15.69"/>
    <n v="35"/>
    <n v="13.31"/>
    <n v="40"/>
    <n v="19.23"/>
    <x v="0"/>
  </r>
  <r>
    <x v="0"/>
    <s v="耶麻郡猪苗代町"/>
    <x v="27"/>
    <x v="2"/>
    <n v="38"/>
    <n v="7.95"/>
    <n v="10"/>
    <n v="3.8"/>
    <n v="27"/>
    <n v="12.98"/>
    <x v="0"/>
  </r>
  <r>
    <x v="0"/>
    <s v="耶麻郡猪苗代町"/>
    <x v="27"/>
    <x v="3"/>
    <n v="1"/>
    <n v="0.21"/>
    <n v="0"/>
    <n v="0"/>
    <n v="1"/>
    <n v="0.48"/>
    <x v="0"/>
  </r>
  <r>
    <x v="0"/>
    <s v="耶麻郡猪苗代町"/>
    <x v="27"/>
    <x v="4"/>
    <n v="4"/>
    <n v="0.84"/>
    <n v="0"/>
    <n v="0"/>
    <n v="4"/>
    <n v="1.92"/>
    <x v="0"/>
  </r>
  <r>
    <x v="0"/>
    <s v="耶麻郡猪苗代町"/>
    <x v="27"/>
    <x v="5"/>
    <n v="3"/>
    <n v="0.63"/>
    <n v="2"/>
    <n v="0.76"/>
    <n v="1"/>
    <n v="0.48"/>
    <x v="0"/>
  </r>
  <r>
    <x v="0"/>
    <s v="耶麻郡猪苗代町"/>
    <x v="27"/>
    <x v="6"/>
    <n v="92"/>
    <n v="19.25"/>
    <n v="47"/>
    <n v="17.87"/>
    <n v="45"/>
    <n v="21.63"/>
    <x v="0"/>
  </r>
  <r>
    <x v="0"/>
    <s v="耶麻郡猪苗代町"/>
    <x v="27"/>
    <x v="7"/>
    <n v="1"/>
    <n v="0.21"/>
    <n v="0"/>
    <n v="0"/>
    <n v="1"/>
    <n v="0.48"/>
    <x v="0"/>
  </r>
  <r>
    <x v="0"/>
    <s v="耶麻郡猪苗代町"/>
    <x v="27"/>
    <x v="8"/>
    <n v="24"/>
    <n v="5.0199999999999996"/>
    <n v="7"/>
    <n v="2.66"/>
    <n v="17"/>
    <n v="8.17"/>
    <x v="0"/>
  </r>
  <r>
    <x v="0"/>
    <s v="耶麻郡猪苗代町"/>
    <x v="27"/>
    <x v="9"/>
    <n v="10"/>
    <n v="2.09"/>
    <n v="6"/>
    <n v="2.2799999999999998"/>
    <n v="4"/>
    <n v="1.92"/>
    <x v="0"/>
  </r>
  <r>
    <x v="0"/>
    <s v="耶麻郡猪苗代町"/>
    <x v="27"/>
    <x v="10"/>
    <n v="106"/>
    <n v="22.18"/>
    <n v="75"/>
    <n v="28.52"/>
    <n v="31"/>
    <n v="14.9"/>
    <x v="0"/>
  </r>
  <r>
    <x v="0"/>
    <s v="耶麻郡猪苗代町"/>
    <x v="27"/>
    <x v="11"/>
    <n v="61"/>
    <n v="12.76"/>
    <n v="47"/>
    <n v="17.87"/>
    <n v="13"/>
    <n v="6.25"/>
    <x v="0"/>
  </r>
  <r>
    <x v="0"/>
    <s v="耶麻郡猪苗代町"/>
    <x v="27"/>
    <x v="12"/>
    <n v="23"/>
    <n v="4.8099999999999996"/>
    <n v="15"/>
    <n v="5.7"/>
    <n v="8"/>
    <n v="3.85"/>
    <x v="0"/>
  </r>
  <r>
    <x v="0"/>
    <s v="耶麻郡猪苗代町"/>
    <x v="27"/>
    <x v="13"/>
    <n v="23"/>
    <n v="4.8099999999999996"/>
    <n v="13"/>
    <n v="4.9400000000000004"/>
    <n v="5"/>
    <n v="2.4"/>
    <x v="0"/>
  </r>
  <r>
    <x v="0"/>
    <s v="耶麻郡猪苗代町"/>
    <x v="27"/>
    <x v="14"/>
    <n v="16"/>
    <n v="3.35"/>
    <n v="6"/>
    <n v="2.2799999999999998"/>
    <n v="10"/>
    <n v="4.8099999999999996"/>
    <x v="0"/>
  </r>
  <r>
    <x v="0"/>
    <s v="河沼郡会津坂下町"/>
    <x v="28"/>
    <x v="0"/>
    <n v="1"/>
    <n v="0.2"/>
    <n v="0"/>
    <n v="0"/>
    <n v="1"/>
    <n v="0.6"/>
    <x v="0"/>
  </r>
  <r>
    <x v="0"/>
    <s v="河沼郡会津坂下町"/>
    <x v="28"/>
    <x v="1"/>
    <n v="80"/>
    <n v="15.84"/>
    <n v="44"/>
    <n v="13.33"/>
    <n v="36"/>
    <n v="21.69"/>
    <x v="0"/>
  </r>
  <r>
    <x v="0"/>
    <s v="河沼郡会津坂下町"/>
    <x v="28"/>
    <x v="2"/>
    <n v="34"/>
    <n v="6.73"/>
    <n v="12"/>
    <n v="3.64"/>
    <n v="22"/>
    <n v="13.25"/>
    <x v="0"/>
  </r>
  <r>
    <x v="0"/>
    <s v="河沼郡会津坂下町"/>
    <x v="28"/>
    <x v="3"/>
    <n v="0"/>
    <n v="0"/>
    <n v="0"/>
    <n v="0"/>
    <n v="0"/>
    <n v="0"/>
    <x v="0"/>
  </r>
  <r>
    <x v="0"/>
    <s v="河沼郡会津坂下町"/>
    <x v="28"/>
    <x v="4"/>
    <n v="4"/>
    <n v="0.79"/>
    <n v="1"/>
    <n v="0.3"/>
    <n v="3"/>
    <n v="1.81"/>
    <x v="0"/>
  </r>
  <r>
    <x v="0"/>
    <s v="河沼郡会津坂下町"/>
    <x v="28"/>
    <x v="5"/>
    <n v="5"/>
    <n v="0.99"/>
    <n v="5"/>
    <n v="1.52"/>
    <n v="0"/>
    <n v="0"/>
    <x v="0"/>
  </r>
  <r>
    <x v="0"/>
    <s v="河沼郡会津坂下町"/>
    <x v="28"/>
    <x v="6"/>
    <n v="143"/>
    <n v="28.32"/>
    <n v="94"/>
    <n v="28.48"/>
    <n v="49"/>
    <n v="29.52"/>
    <x v="0"/>
  </r>
  <r>
    <x v="0"/>
    <s v="河沼郡会津坂下町"/>
    <x v="28"/>
    <x v="7"/>
    <n v="3"/>
    <n v="0.59"/>
    <n v="1"/>
    <n v="0.3"/>
    <n v="2"/>
    <n v="1.2"/>
    <x v="0"/>
  </r>
  <r>
    <x v="0"/>
    <s v="河沼郡会津坂下町"/>
    <x v="28"/>
    <x v="8"/>
    <n v="38"/>
    <n v="7.52"/>
    <n v="25"/>
    <n v="7.58"/>
    <n v="13"/>
    <n v="7.83"/>
    <x v="0"/>
  </r>
  <r>
    <x v="0"/>
    <s v="河沼郡会津坂下町"/>
    <x v="28"/>
    <x v="9"/>
    <n v="18"/>
    <n v="3.56"/>
    <n v="9"/>
    <n v="2.73"/>
    <n v="8"/>
    <n v="4.82"/>
    <x v="0"/>
  </r>
  <r>
    <x v="0"/>
    <s v="河沼郡会津坂下町"/>
    <x v="28"/>
    <x v="10"/>
    <n v="71"/>
    <n v="14.06"/>
    <n v="63"/>
    <n v="19.09"/>
    <n v="7"/>
    <n v="4.22"/>
    <x v="0"/>
  </r>
  <r>
    <x v="0"/>
    <s v="河沼郡会津坂下町"/>
    <x v="28"/>
    <x v="11"/>
    <n v="63"/>
    <n v="12.48"/>
    <n v="53"/>
    <n v="16.059999999999999"/>
    <n v="10"/>
    <n v="6.02"/>
    <x v="0"/>
  </r>
  <r>
    <x v="0"/>
    <s v="河沼郡会津坂下町"/>
    <x v="28"/>
    <x v="12"/>
    <n v="12"/>
    <n v="2.38"/>
    <n v="7"/>
    <n v="2.12"/>
    <n v="5"/>
    <n v="3.01"/>
    <x v="0"/>
  </r>
  <r>
    <x v="0"/>
    <s v="河沼郡会津坂下町"/>
    <x v="28"/>
    <x v="13"/>
    <n v="15"/>
    <n v="2.97"/>
    <n v="9"/>
    <n v="2.73"/>
    <n v="6"/>
    <n v="3.61"/>
    <x v="0"/>
  </r>
  <r>
    <x v="0"/>
    <s v="河沼郡会津坂下町"/>
    <x v="28"/>
    <x v="14"/>
    <n v="18"/>
    <n v="3.56"/>
    <n v="7"/>
    <n v="2.12"/>
    <n v="4"/>
    <n v="2.41"/>
    <x v="0"/>
  </r>
  <r>
    <x v="0"/>
    <s v="河沼郡湯川村"/>
    <x v="29"/>
    <x v="0"/>
    <n v="0"/>
    <n v="0"/>
    <n v="0"/>
    <n v="0"/>
    <n v="0"/>
    <n v="0"/>
    <x v="0"/>
  </r>
  <r>
    <x v="0"/>
    <s v="河沼郡湯川村"/>
    <x v="29"/>
    <x v="1"/>
    <n v="13"/>
    <n v="22.41"/>
    <n v="3"/>
    <n v="11.11"/>
    <n v="10"/>
    <n v="34.479999999999997"/>
    <x v="0"/>
  </r>
  <r>
    <x v="0"/>
    <s v="河沼郡湯川村"/>
    <x v="29"/>
    <x v="2"/>
    <n v="6"/>
    <n v="10.34"/>
    <n v="2"/>
    <n v="7.41"/>
    <n v="4"/>
    <n v="13.79"/>
    <x v="0"/>
  </r>
  <r>
    <x v="0"/>
    <s v="河沼郡湯川村"/>
    <x v="29"/>
    <x v="3"/>
    <n v="0"/>
    <n v="0"/>
    <n v="0"/>
    <n v="0"/>
    <n v="0"/>
    <n v="0"/>
    <x v="0"/>
  </r>
  <r>
    <x v="0"/>
    <s v="河沼郡湯川村"/>
    <x v="29"/>
    <x v="4"/>
    <n v="1"/>
    <n v="1.72"/>
    <n v="0"/>
    <n v="0"/>
    <n v="1"/>
    <n v="3.45"/>
    <x v="0"/>
  </r>
  <r>
    <x v="0"/>
    <s v="河沼郡湯川村"/>
    <x v="29"/>
    <x v="5"/>
    <n v="0"/>
    <n v="0"/>
    <n v="0"/>
    <n v="0"/>
    <n v="0"/>
    <n v="0"/>
    <x v="0"/>
  </r>
  <r>
    <x v="0"/>
    <s v="河沼郡湯川村"/>
    <x v="29"/>
    <x v="6"/>
    <n v="18"/>
    <n v="31.03"/>
    <n v="8"/>
    <n v="29.63"/>
    <n v="9"/>
    <n v="31.03"/>
    <x v="1"/>
  </r>
  <r>
    <x v="0"/>
    <s v="河沼郡湯川村"/>
    <x v="29"/>
    <x v="7"/>
    <n v="1"/>
    <n v="1.72"/>
    <n v="0"/>
    <n v="0"/>
    <n v="1"/>
    <n v="3.45"/>
    <x v="0"/>
  </r>
  <r>
    <x v="0"/>
    <s v="河沼郡湯川村"/>
    <x v="29"/>
    <x v="8"/>
    <n v="0"/>
    <n v="0"/>
    <n v="0"/>
    <n v="0"/>
    <n v="0"/>
    <n v="0"/>
    <x v="0"/>
  </r>
  <r>
    <x v="0"/>
    <s v="河沼郡湯川村"/>
    <x v="29"/>
    <x v="9"/>
    <n v="1"/>
    <n v="1.72"/>
    <n v="0"/>
    <n v="0"/>
    <n v="1"/>
    <n v="3.45"/>
    <x v="0"/>
  </r>
  <r>
    <x v="0"/>
    <s v="河沼郡湯川村"/>
    <x v="29"/>
    <x v="10"/>
    <n v="4"/>
    <n v="6.9"/>
    <n v="2"/>
    <n v="7.41"/>
    <n v="2"/>
    <n v="6.9"/>
    <x v="0"/>
  </r>
  <r>
    <x v="0"/>
    <s v="河沼郡湯川村"/>
    <x v="29"/>
    <x v="11"/>
    <n v="5"/>
    <n v="8.6199999999999992"/>
    <n v="5"/>
    <n v="18.52"/>
    <n v="0"/>
    <n v="0"/>
    <x v="0"/>
  </r>
  <r>
    <x v="0"/>
    <s v="河沼郡湯川村"/>
    <x v="29"/>
    <x v="12"/>
    <n v="3"/>
    <n v="5.17"/>
    <n v="3"/>
    <n v="11.11"/>
    <n v="0"/>
    <n v="0"/>
    <x v="0"/>
  </r>
  <r>
    <x v="0"/>
    <s v="河沼郡湯川村"/>
    <x v="29"/>
    <x v="13"/>
    <n v="2"/>
    <n v="3.45"/>
    <n v="1"/>
    <n v="3.7"/>
    <n v="1"/>
    <n v="3.45"/>
    <x v="0"/>
  </r>
  <r>
    <x v="0"/>
    <s v="河沼郡湯川村"/>
    <x v="29"/>
    <x v="14"/>
    <n v="4"/>
    <n v="6.9"/>
    <n v="3"/>
    <n v="11.11"/>
    <n v="0"/>
    <n v="0"/>
    <x v="0"/>
  </r>
  <r>
    <x v="0"/>
    <s v="河沼郡柳津町"/>
    <x v="30"/>
    <x v="0"/>
    <n v="0"/>
    <n v="0"/>
    <n v="0"/>
    <n v="0"/>
    <n v="0"/>
    <n v="0"/>
    <x v="0"/>
  </r>
  <r>
    <x v="0"/>
    <s v="河沼郡柳津町"/>
    <x v="30"/>
    <x v="1"/>
    <n v="25"/>
    <n v="20.83"/>
    <n v="17"/>
    <n v="20.99"/>
    <n v="8"/>
    <n v="21.05"/>
    <x v="0"/>
  </r>
  <r>
    <x v="0"/>
    <s v="河沼郡柳津町"/>
    <x v="30"/>
    <x v="2"/>
    <n v="4"/>
    <n v="3.33"/>
    <n v="2"/>
    <n v="2.4700000000000002"/>
    <n v="2"/>
    <n v="5.26"/>
    <x v="0"/>
  </r>
  <r>
    <x v="0"/>
    <s v="河沼郡柳津町"/>
    <x v="30"/>
    <x v="3"/>
    <n v="1"/>
    <n v="0.83"/>
    <n v="0"/>
    <n v="0"/>
    <n v="0"/>
    <n v="0"/>
    <x v="0"/>
  </r>
  <r>
    <x v="0"/>
    <s v="河沼郡柳津町"/>
    <x v="30"/>
    <x v="4"/>
    <n v="0"/>
    <n v="0"/>
    <n v="0"/>
    <n v="0"/>
    <n v="0"/>
    <n v="0"/>
    <x v="0"/>
  </r>
  <r>
    <x v="0"/>
    <s v="河沼郡柳津町"/>
    <x v="30"/>
    <x v="5"/>
    <n v="1"/>
    <n v="0.83"/>
    <n v="0"/>
    <n v="0"/>
    <n v="1"/>
    <n v="2.63"/>
    <x v="0"/>
  </r>
  <r>
    <x v="0"/>
    <s v="河沼郡柳津町"/>
    <x v="30"/>
    <x v="6"/>
    <n v="36"/>
    <n v="30"/>
    <n v="25"/>
    <n v="30.86"/>
    <n v="11"/>
    <n v="28.95"/>
    <x v="0"/>
  </r>
  <r>
    <x v="0"/>
    <s v="河沼郡柳津町"/>
    <x v="30"/>
    <x v="7"/>
    <n v="0"/>
    <n v="0"/>
    <n v="0"/>
    <n v="0"/>
    <n v="0"/>
    <n v="0"/>
    <x v="0"/>
  </r>
  <r>
    <x v="0"/>
    <s v="河沼郡柳津町"/>
    <x v="30"/>
    <x v="8"/>
    <n v="2"/>
    <n v="1.67"/>
    <n v="1"/>
    <n v="1.23"/>
    <n v="1"/>
    <n v="2.63"/>
    <x v="0"/>
  </r>
  <r>
    <x v="0"/>
    <s v="河沼郡柳津町"/>
    <x v="30"/>
    <x v="9"/>
    <n v="5"/>
    <n v="4.17"/>
    <n v="5"/>
    <n v="6.17"/>
    <n v="0"/>
    <n v="0"/>
    <x v="0"/>
  </r>
  <r>
    <x v="0"/>
    <s v="河沼郡柳津町"/>
    <x v="30"/>
    <x v="10"/>
    <n v="24"/>
    <n v="20"/>
    <n v="19"/>
    <n v="23.46"/>
    <n v="5"/>
    <n v="13.16"/>
    <x v="0"/>
  </r>
  <r>
    <x v="0"/>
    <s v="河沼郡柳津町"/>
    <x v="30"/>
    <x v="11"/>
    <n v="16"/>
    <n v="13.33"/>
    <n v="12"/>
    <n v="14.81"/>
    <n v="4"/>
    <n v="10.53"/>
    <x v="0"/>
  </r>
  <r>
    <x v="0"/>
    <s v="河沼郡柳津町"/>
    <x v="30"/>
    <x v="12"/>
    <n v="0"/>
    <n v="0"/>
    <n v="0"/>
    <n v="0"/>
    <n v="0"/>
    <n v="0"/>
    <x v="0"/>
  </r>
  <r>
    <x v="0"/>
    <s v="河沼郡柳津町"/>
    <x v="30"/>
    <x v="13"/>
    <n v="3"/>
    <n v="2.5"/>
    <n v="0"/>
    <n v="0"/>
    <n v="3"/>
    <n v="7.89"/>
    <x v="0"/>
  </r>
  <r>
    <x v="0"/>
    <s v="河沼郡柳津町"/>
    <x v="30"/>
    <x v="14"/>
    <n v="3"/>
    <n v="2.5"/>
    <n v="0"/>
    <n v="0"/>
    <n v="3"/>
    <n v="7.89"/>
    <x v="0"/>
  </r>
  <r>
    <x v="0"/>
    <s v="大沼郡三島町"/>
    <x v="31"/>
    <x v="0"/>
    <n v="0"/>
    <n v="0"/>
    <n v="0"/>
    <n v="0"/>
    <n v="0"/>
    <n v="0"/>
    <x v="0"/>
  </r>
  <r>
    <x v="0"/>
    <s v="大沼郡三島町"/>
    <x v="31"/>
    <x v="1"/>
    <n v="7"/>
    <n v="13.46"/>
    <n v="4"/>
    <n v="14.29"/>
    <n v="3"/>
    <n v="13.04"/>
    <x v="0"/>
  </r>
  <r>
    <x v="0"/>
    <s v="大沼郡三島町"/>
    <x v="31"/>
    <x v="2"/>
    <n v="5"/>
    <n v="9.6199999999999992"/>
    <n v="1"/>
    <n v="3.57"/>
    <n v="4"/>
    <n v="17.39"/>
    <x v="0"/>
  </r>
  <r>
    <x v="0"/>
    <s v="大沼郡三島町"/>
    <x v="31"/>
    <x v="3"/>
    <n v="0"/>
    <n v="0"/>
    <n v="0"/>
    <n v="0"/>
    <n v="0"/>
    <n v="0"/>
    <x v="0"/>
  </r>
  <r>
    <x v="0"/>
    <s v="大沼郡三島町"/>
    <x v="31"/>
    <x v="4"/>
    <n v="1"/>
    <n v="1.92"/>
    <n v="0"/>
    <n v="0"/>
    <n v="1"/>
    <n v="4.3499999999999996"/>
    <x v="0"/>
  </r>
  <r>
    <x v="0"/>
    <s v="大沼郡三島町"/>
    <x v="31"/>
    <x v="5"/>
    <n v="0"/>
    <n v="0"/>
    <n v="0"/>
    <n v="0"/>
    <n v="0"/>
    <n v="0"/>
    <x v="0"/>
  </r>
  <r>
    <x v="0"/>
    <s v="大沼郡三島町"/>
    <x v="31"/>
    <x v="6"/>
    <n v="11"/>
    <n v="21.15"/>
    <n v="6"/>
    <n v="21.43"/>
    <n v="4"/>
    <n v="17.39"/>
    <x v="1"/>
  </r>
  <r>
    <x v="0"/>
    <s v="大沼郡三島町"/>
    <x v="31"/>
    <x v="7"/>
    <n v="1"/>
    <n v="1.92"/>
    <n v="1"/>
    <n v="3.57"/>
    <n v="0"/>
    <n v="0"/>
    <x v="0"/>
  </r>
  <r>
    <x v="0"/>
    <s v="大沼郡三島町"/>
    <x v="31"/>
    <x v="8"/>
    <n v="2"/>
    <n v="3.85"/>
    <n v="0"/>
    <n v="0"/>
    <n v="2"/>
    <n v="8.6999999999999993"/>
    <x v="0"/>
  </r>
  <r>
    <x v="0"/>
    <s v="大沼郡三島町"/>
    <x v="31"/>
    <x v="9"/>
    <n v="1"/>
    <n v="1.92"/>
    <n v="0"/>
    <n v="0"/>
    <n v="1"/>
    <n v="4.3499999999999996"/>
    <x v="0"/>
  </r>
  <r>
    <x v="0"/>
    <s v="大沼郡三島町"/>
    <x v="31"/>
    <x v="10"/>
    <n v="11"/>
    <n v="21.15"/>
    <n v="6"/>
    <n v="21.43"/>
    <n v="5"/>
    <n v="21.74"/>
    <x v="0"/>
  </r>
  <r>
    <x v="0"/>
    <s v="大沼郡三島町"/>
    <x v="31"/>
    <x v="11"/>
    <n v="9"/>
    <n v="17.309999999999999"/>
    <n v="9"/>
    <n v="32.14"/>
    <n v="0"/>
    <n v="0"/>
    <x v="0"/>
  </r>
  <r>
    <x v="0"/>
    <s v="大沼郡三島町"/>
    <x v="31"/>
    <x v="12"/>
    <n v="0"/>
    <n v="0"/>
    <n v="0"/>
    <n v="0"/>
    <n v="0"/>
    <n v="0"/>
    <x v="0"/>
  </r>
  <r>
    <x v="0"/>
    <s v="大沼郡三島町"/>
    <x v="31"/>
    <x v="13"/>
    <n v="2"/>
    <n v="3.85"/>
    <n v="0"/>
    <n v="0"/>
    <n v="2"/>
    <n v="8.6999999999999993"/>
    <x v="0"/>
  </r>
  <r>
    <x v="0"/>
    <s v="大沼郡三島町"/>
    <x v="31"/>
    <x v="14"/>
    <n v="2"/>
    <n v="3.85"/>
    <n v="1"/>
    <n v="3.57"/>
    <n v="1"/>
    <n v="4.3499999999999996"/>
    <x v="0"/>
  </r>
  <r>
    <x v="0"/>
    <s v="大沼郡金山町"/>
    <x v="32"/>
    <x v="0"/>
    <n v="1"/>
    <n v="0.85"/>
    <n v="1"/>
    <n v="1.23"/>
    <n v="0"/>
    <n v="0"/>
    <x v="0"/>
  </r>
  <r>
    <x v="0"/>
    <s v="大沼郡金山町"/>
    <x v="32"/>
    <x v="1"/>
    <n v="16"/>
    <n v="13.68"/>
    <n v="13"/>
    <n v="16.05"/>
    <n v="3"/>
    <n v="8.82"/>
    <x v="0"/>
  </r>
  <r>
    <x v="0"/>
    <s v="大沼郡金山町"/>
    <x v="32"/>
    <x v="2"/>
    <n v="10"/>
    <n v="8.5500000000000007"/>
    <n v="6"/>
    <n v="7.41"/>
    <n v="4"/>
    <n v="11.76"/>
    <x v="0"/>
  </r>
  <r>
    <x v="0"/>
    <s v="大沼郡金山町"/>
    <x v="32"/>
    <x v="3"/>
    <n v="0"/>
    <n v="0"/>
    <n v="0"/>
    <n v="0"/>
    <n v="0"/>
    <n v="0"/>
    <x v="0"/>
  </r>
  <r>
    <x v="0"/>
    <s v="大沼郡金山町"/>
    <x v="32"/>
    <x v="4"/>
    <n v="0"/>
    <n v="0"/>
    <n v="0"/>
    <n v="0"/>
    <n v="0"/>
    <n v="0"/>
    <x v="0"/>
  </r>
  <r>
    <x v="0"/>
    <s v="大沼郡金山町"/>
    <x v="32"/>
    <x v="5"/>
    <n v="4"/>
    <n v="3.42"/>
    <n v="0"/>
    <n v="0"/>
    <n v="4"/>
    <n v="11.76"/>
    <x v="0"/>
  </r>
  <r>
    <x v="0"/>
    <s v="大沼郡金山町"/>
    <x v="32"/>
    <x v="6"/>
    <n v="39"/>
    <n v="33.33"/>
    <n v="28"/>
    <n v="34.57"/>
    <n v="10"/>
    <n v="29.41"/>
    <x v="1"/>
  </r>
  <r>
    <x v="0"/>
    <s v="大沼郡金山町"/>
    <x v="32"/>
    <x v="7"/>
    <n v="0"/>
    <n v="0"/>
    <n v="0"/>
    <n v="0"/>
    <n v="0"/>
    <n v="0"/>
    <x v="0"/>
  </r>
  <r>
    <x v="0"/>
    <s v="大沼郡金山町"/>
    <x v="32"/>
    <x v="8"/>
    <n v="2"/>
    <n v="1.71"/>
    <n v="0"/>
    <n v="0"/>
    <n v="2"/>
    <n v="5.88"/>
    <x v="0"/>
  </r>
  <r>
    <x v="0"/>
    <s v="大沼郡金山町"/>
    <x v="32"/>
    <x v="9"/>
    <n v="1"/>
    <n v="0.85"/>
    <n v="0"/>
    <n v="0"/>
    <n v="1"/>
    <n v="2.94"/>
    <x v="0"/>
  </r>
  <r>
    <x v="0"/>
    <s v="大沼郡金山町"/>
    <x v="32"/>
    <x v="10"/>
    <n v="20"/>
    <n v="17.09"/>
    <n v="15"/>
    <n v="18.52"/>
    <n v="5"/>
    <n v="14.71"/>
    <x v="0"/>
  </r>
  <r>
    <x v="0"/>
    <s v="大沼郡金山町"/>
    <x v="32"/>
    <x v="11"/>
    <n v="16"/>
    <n v="13.68"/>
    <n v="14"/>
    <n v="17.28"/>
    <n v="2"/>
    <n v="5.88"/>
    <x v="0"/>
  </r>
  <r>
    <x v="0"/>
    <s v="大沼郡金山町"/>
    <x v="32"/>
    <x v="12"/>
    <n v="0"/>
    <n v="0"/>
    <n v="0"/>
    <n v="0"/>
    <n v="0"/>
    <n v="0"/>
    <x v="0"/>
  </r>
  <r>
    <x v="0"/>
    <s v="大沼郡金山町"/>
    <x v="32"/>
    <x v="13"/>
    <n v="4"/>
    <n v="3.42"/>
    <n v="1"/>
    <n v="1.23"/>
    <n v="3"/>
    <n v="8.82"/>
    <x v="0"/>
  </r>
  <r>
    <x v="0"/>
    <s v="大沼郡金山町"/>
    <x v="32"/>
    <x v="14"/>
    <n v="4"/>
    <n v="3.42"/>
    <n v="3"/>
    <n v="3.7"/>
    <n v="0"/>
    <n v="0"/>
    <x v="0"/>
  </r>
  <r>
    <x v="0"/>
    <s v="大沼郡昭和村"/>
    <x v="33"/>
    <x v="0"/>
    <n v="0"/>
    <n v="0"/>
    <n v="0"/>
    <n v="0"/>
    <n v="0"/>
    <n v="0"/>
    <x v="0"/>
  </r>
  <r>
    <x v="0"/>
    <s v="大沼郡昭和村"/>
    <x v="33"/>
    <x v="1"/>
    <n v="7"/>
    <n v="12.96"/>
    <n v="5"/>
    <n v="13.89"/>
    <n v="2"/>
    <n v="12.5"/>
    <x v="0"/>
  </r>
  <r>
    <x v="0"/>
    <s v="大沼郡昭和村"/>
    <x v="33"/>
    <x v="2"/>
    <n v="8"/>
    <n v="14.81"/>
    <n v="6"/>
    <n v="16.670000000000002"/>
    <n v="2"/>
    <n v="12.5"/>
    <x v="0"/>
  </r>
  <r>
    <x v="0"/>
    <s v="大沼郡昭和村"/>
    <x v="33"/>
    <x v="3"/>
    <n v="0"/>
    <n v="0"/>
    <n v="0"/>
    <n v="0"/>
    <n v="0"/>
    <n v="0"/>
    <x v="0"/>
  </r>
  <r>
    <x v="0"/>
    <s v="大沼郡昭和村"/>
    <x v="33"/>
    <x v="4"/>
    <n v="0"/>
    <n v="0"/>
    <n v="0"/>
    <n v="0"/>
    <n v="0"/>
    <n v="0"/>
    <x v="0"/>
  </r>
  <r>
    <x v="0"/>
    <s v="大沼郡昭和村"/>
    <x v="33"/>
    <x v="5"/>
    <n v="1"/>
    <n v="1.85"/>
    <n v="0"/>
    <n v="0"/>
    <n v="1"/>
    <n v="6.25"/>
    <x v="0"/>
  </r>
  <r>
    <x v="0"/>
    <s v="大沼郡昭和村"/>
    <x v="33"/>
    <x v="6"/>
    <n v="14"/>
    <n v="25.93"/>
    <n v="7"/>
    <n v="19.440000000000001"/>
    <n v="7"/>
    <n v="43.75"/>
    <x v="0"/>
  </r>
  <r>
    <x v="0"/>
    <s v="大沼郡昭和村"/>
    <x v="33"/>
    <x v="7"/>
    <n v="0"/>
    <n v="0"/>
    <n v="0"/>
    <n v="0"/>
    <n v="0"/>
    <n v="0"/>
    <x v="0"/>
  </r>
  <r>
    <x v="0"/>
    <s v="大沼郡昭和村"/>
    <x v="33"/>
    <x v="8"/>
    <n v="0"/>
    <n v="0"/>
    <n v="0"/>
    <n v="0"/>
    <n v="0"/>
    <n v="0"/>
    <x v="0"/>
  </r>
  <r>
    <x v="0"/>
    <s v="大沼郡昭和村"/>
    <x v="33"/>
    <x v="9"/>
    <n v="0"/>
    <n v="0"/>
    <n v="0"/>
    <n v="0"/>
    <n v="0"/>
    <n v="0"/>
    <x v="0"/>
  </r>
  <r>
    <x v="0"/>
    <s v="大沼郡昭和村"/>
    <x v="33"/>
    <x v="10"/>
    <n v="9"/>
    <n v="16.670000000000002"/>
    <n v="7"/>
    <n v="19.440000000000001"/>
    <n v="2"/>
    <n v="12.5"/>
    <x v="0"/>
  </r>
  <r>
    <x v="0"/>
    <s v="大沼郡昭和村"/>
    <x v="33"/>
    <x v="11"/>
    <n v="9"/>
    <n v="16.670000000000002"/>
    <n v="9"/>
    <n v="25"/>
    <n v="0"/>
    <n v="0"/>
    <x v="0"/>
  </r>
  <r>
    <x v="0"/>
    <s v="大沼郡昭和村"/>
    <x v="33"/>
    <x v="12"/>
    <n v="2"/>
    <n v="3.7"/>
    <n v="0"/>
    <n v="0"/>
    <n v="1"/>
    <n v="6.25"/>
    <x v="0"/>
  </r>
  <r>
    <x v="0"/>
    <s v="大沼郡昭和村"/>
    <x v="33"/>
    <x v="13"/>
    <n v="0"/>
    <n v="0"/>
    <n v="0"/>
    <n v="0"/>
    <n v="0"/>
    <n v="0"/>
    <x v="0"/>
  </r>
  <r>
    <x v="0"/>
    <s v="大沼郡昭和村"/>
    <x v="33"/>
    <x v="14"/>
    <n v="4"/>
    <n v="7.41"/>
    <n v="2"/>
    <n v="5.56"/>
    <n v="1"/>
    <n v="6.25"/>
    <x v="1"/>
  </r>
  <r>
    <x v="0"/>
    <s v="大沼郡会津美里町"/>
    <x v="34"/>
    <x v="0"/>
    <n v="0"/>
    <n v="0"/>
    <n v="0"/>
    <n v="0"/>
    <n v="0"/>
    <n v="0"/>
    <x v="0"/>
  </r>
  <r>
    <x v="0"/>
    <s v="大沼郡会津美里町"/>
    <x v="34"/>
    <x v="1"/>
    <n v="90"/>
    <n v="20.09"/>
    <n v="52"/>
    <n v="17.39"/>
    <n v="38"/>
    <n v="26.57"/>
    <x v="0"/>
  </r>
  <r>
    <x v="0"/>
    <s v="大沼郡会津美里町"/>
    <x v="34"/>
    <x v="2"/>
    <n v="45"/>
    <n v="10.039999999999999"/>
    <n v="23"/>
    <n v="7.69"/>
    <n v="22"/>
    <n v="15.38"/>
    <x v="0"/>
  </r>
  <r>
    <x v="0"/>
    <s v="大沼郡会津美里町"/>
    <x v="34"/>
    <x v="3"/>
    <n v="0"/>
    <n v="0"/>
    <n v="0"/>
    <n v="0"/>
    <n v="0"/>
    <n v="0"/>
    <x v="0"/>
  </r>
  <r>
    <x v="0"/>
    <s v="大沼郡会津美里町"/>
    <x v="34"/>
    <x v="4"/>
    <n v="2"/>
    <n v="0.45"/>
    <n v="0"/>
    <n v="0"/>
    <n v="2"/>
    <n v="1.4"/>
    <x v="0"/>
  </r>
  <r>
    <x v="0"/>
    <s v="大沼郡会津美里町"/>
    <x v="34"/>
    <x v="5"/>
    <n v="6"/>
    <n v="1.34"/>
    <n v="4"/>
    <n v="1.34"/>
    <n v="2"/>
    <n v="1.4"/>
    <x v="0"/>
  </r>
  <r>
    <x v="0"/>
    <s v="大沼郡会津美里町"/>
    <x v="34"/>
    <x v="6"/>
    <n v="130"/>
    <n v="29.02"/>
    <n v="89"/>
    <n v="29.77"/>
    <n v="41"/>
    <n v="28.67"/>
    <x v="0"/>
  </r>
  <r>
    <x v="0"/>
    <s v="大沼郡会津美里町"/>
    <x v="34"/>
    <x v="7"/>
    <n v="0"/>
    <n v="0"/>
    <n v="0"/>
    <n v="0"/>
    <n v="0"/>
    <n v="0"/>
    <x v="0"/>
  </r>
  <r>
    <x v="0"/>
    <s v="大沼郡会津美里町"/>
    <x v="34"/>
    <x v="8"/>
    <n v="10"/>
    <n v="2.23"/>
    <n v="5"/>
    <n v="1.67"/>
    <n v="5"/>
    <n v="3.5"/>
    <x v="0"/>
  </r>
  <r>
    <x v="0"/>
    <s v="大沼郡会津美里町"/>
    <x v="34"/>
    <x v="9"/>
    <n v="16"/>
    <n v="3.57"/>
    <n v="9"/>
    <n v="3.01"/>
    <n v="7"/>
    <n v="4.9000000000000004"/>
    <x v="0"/>
  </r>
  <r>
    <x v="0"/>
    <s v="大沼郡会津美里町"/>
    <x v="34"/>
    <x v="10"/>
    <n v="43"/>
    <n v="9.6"/>
    <n v="36"/>
    <n v="12.04"/>
    <n v="6"/>
    <n v="4.2"/>
    <x v="0"/>
  </r>
  <r>
    <x v="0"/>
    <s v="大沼郡会津美里町"/>
    <x v="34"/>
    <x v="11"/>
    <n v="66"/>
    <n v="14.73"/>
    <n v="60"/>
    <n v="20.07"/>
    <n v="6"/>
    <n v="4.2"/>
    <x v="0"/>
  </r>
  <r>
    <x v="0"/>
    <s v="大沼郡会津美里町"/>
    <x v="34"/>
    <x v="12"/>
    <n v="14"/>
    <n v="3.13"/>
    <n v="8"/>
    <n v="2.68"/>
    <n v="2"/>
    <n v="1.4"/>
    <x v="0"/>
  </r>
  <r>
    <x v="0"/>
    <s v="大沼郡会津美里町"/>
    <x v="34"/>
    <x v="13"/>
    <n v="13"/>
    <n v="2.9"/>
    <n v="7"/>
    <n v="2.34"/>
    <n v="6"/>
    <n v="4.2"/>
    <x v="0"/>
  </r>
  <r>
    <x v="0"/>
    <s v="大沼郡会津美里町"/>
    <x v="34"/>
    <x v="14"/>
    <n v="13"/>
    <n v="2.9"/>
    <n v="6"/>
    <n v="2.0099999999999998"/>
    <n v="6"/>
    <n v="4.2"/>
    <x v="1"/>
  </r>
  <r>
    <x v="0"/>
    <s v="西白河郡西郷村"/>
    <x v="35"/>
    <x v="0"/>
    <n v="0"/>
    <n v="0"/>
    <n v="0"/>
    <n v="0"/>
    <n v="0"/>
    <n v="0"/>
    <x v="0"/>
  </r>
  <r>
    <x v="0"/>
    <s v="西白河郡西郷村"/>
    <x v="35"/>
    <x v="1"/>
    <n v="79"/>
    <n v="19.7"/>
    <n v="28"/>
    <n v="14.29"/>
    <n v="51"/>
    <n v="25.63"/>
    <x v="0"/>
  </r>
  <r>
    <x v="0"/>
    <s v="西白河郡西郷村"/>
    <x v="35"/>
    <x v="2"/>
    <n v="39"/>
    <n v="9.73"/>
    <n v="13"/>
    <n v="6.63"/>
    <n v="26"/>
    <n v="13.07"/>
    <x v="0"/>
  </r>
  <r>
    <x v="0"/>
    <s v="西白河郡西郷村"/>
    <x v="35"/>
    <x v="3"/>
    <n v="0"/>
    <n v="0"/>
    <n v="0"/>
    <n v="0"/>
    <n v="0"/>
    <n v="0"/>
    <x v="0"/>
  </r>
  <r>
    <x v="0"/>
    <s v="西白河郡西郷村"/>
    <x v="35"/>
    <x v="4"/>
    <n v="1"/>
    <n v="0.25"/>
    <n v="0"/>
    <n v="0"/>
    <n v="1"/>
    <n v="0.5"/>
    <x v="0"/>
  </r>
  <r>
    <x v="0"/>
    <s v="西白河郡西郷村"/>
    <x v="35"/>
    <x v="5"/>
    <n v="3"/>
    <n v="0.75"/>
    <n v="2"/>
    <n v="1.02"/>
    <n v="1"/>
    <n v="0.5"/>
    <x v="0"/>
  </r>
  <r>
    <x v="0"/>
    <s v="西白河郡西郷村"/>
    <x v="35"/>
    <x v="6"/>
    <n v="62"/>
    <n v="15.46"/>
    <n v="24"/>
    <n v="12.24"/>
    <n v="38"/>
    <n v="19.100000000000001"/>
    <x v="0"/>
  </r>
  <r>
    <x v="0"/>
    <s v="西白河郡西郷村"/>
    <x v="35"/>
    <x v="7"/>
    <n v="5"/>
    <n v="1.25"/>
    <n v="0"/>
    <n v="0"/>
    <n v="5"/>
    <n v="2.5099999999999998"/>
    <x v="0"/>
  </r>
  <r>
    <x v="0"/>
    <s v="西白河郡西郷村"/>
    <x v="35"/>
    <x v="8"/>
    <n v="37"/>
    <n v="9.23"/>
    <n v="18"/>
    <n v="9.18"/>
    <n v="19"/>
    <n v="9.5500000000000007"/>
    <x v="0"/>
  </r>
  <r>
    <x v="0"/>
    <s v="西白河郡西郷村"/>
    <x v="35"/>
    <x v="9"/>
    <n v="19"/>
    <n v="4.74"/>
    <n v="8"/>
    <n v="4.08"/>
    <n v="11"/>
    <n v="5.53"/>
    <x v="0"/>
  </r>
  <r>
    <x v="0"/>
    <s v="西白河郡西郷村"/>
    <x v="35"/>
    <x v="10"/>
    <n v="48"/>
    <n v="11.97"/>
    <n v="32"/>
    <n v="16.329999999999998"/>
    <n v="14"/>
    <n v="7.04"/>
    <x v="1"/>
  </r>
  <r>
    <x v="0"/>
    <s v="西白河郡西郷村"/>
    <x v="35"/>
    <x v="11"/>
    <n v="49"/>
    <n v="12.22"/>
    <n v="40"/>
    <n v="20.41"/>
    <n v="9"/>
    <n v="4.5199999999999996"/>
    <x v="0"/>
  </r>
  <r>
    <x v="0"/>
    <s v="西白河郡西郷村"/>
    <x v="35"/>
    <x v="12"/>
    <n v="16"/>
    <n v="3.99"/>
    <n v="11"/>
    <n v="5.61"/>
    <n v="4"/>
    <n v="2.0099999999999998"/>
    <x v="1"/>
  </r>
  <r>
    <x v="0"/>
    <s v="西白河郡西郷村"/>
    <x v="35"/>
    <x v="13"/>
    <n v="27"/>
    <n v="6.73"/>
    <n v="13"/>
    <n v="6.63"/>
    <n v="12"/>
    <n v="6.03"/>
    <x v="0"/>
  </r>
  <r>
    <x v="0"/>
    <s v="西白河郡西郷村"/>
    <x v="35"/>
    <x v="14"/>
    <n v="16"/>
    <n v="3.99"/>
    <n v="7"/>
    <n v="3.57"/>
    <n v="8"/>
    <n v="4.0199999999999996"/>
    <x v="0"/>
  </r>
  <r>
    <x v="0"/>
    <s v="西白河郡泉崎村"/>
    <x v="36"/>
    <x v="0"/>
    <n v="0"/>
    <n v="0"/>
    <n v="0"/>
    <n v="0"/>
    <n v="0"/>
    <n v="0"/>
    <x v="0"/>
  </r>
  <r>
    <x v="0"/>
    <s v="西白河郡泉崎村"/>
    <x v="36"/>
    <x v="1"/>
    <n v="21"/>
    <n v="17.5"/>
    <n v="8"/>
    <n v="14.04"/>
    <n v="13"/>
    <n v="22.03"/>
    <x v="0"/>
  </r>
  <r>
    <x v="0"/>
    <s v="西白河郡泉崎村"/>
    <x v="36"/>
    <x v="2"/>
    <n v="17"/>
    <n v="14.17"/>
    <n v="2"/>
    <n v="3.51"/>
    <n v="14"/>
    <n v="23.73"/>
    <x v="1"/>
  </r>
  <r>
    <x v="0"/>
    <s v="西白河郡泉崎村"/>
    <x v="36"/>
    <x v="3"/>
    <n v="1"/>
    <n v="0.83"/>
    <n v="0"/>
    <n v="0"/>
    <n v="1"/>
    <n v="1.69"/>
    <x v="0"/>
  </r>
  <r>
    <x v="0"/>
    <s v="西白河郡泉崎村"/>
    <x v="36"/>
    <x v="4"/>
    <n v="1"/>
    <n v="0.83"/>
    <n v="1"/>
    <n v="1.75"/>
    <n v="0"/>
    <n v="0"/>
    <x v="0"/>
  </r>
  <r>
    <x v="0"/>
    <s v="西白河郡泉崎村"/>
    <x v="36"/>
    <x v="5"/>
    <n v="5"/>
    <n v="4.17"/>
    <n v="0"/>
    <n v="0"/>
    <n v="5"/>
    <n v="8.4700000000000006"/>
    <x v="0"/>
  </r>
  <r>
    <x v="0"/>
    <s v="西白河郡泉崎村"/>
    <x v="36"/>
    <x v="6"/>
    <n v="21"/>
    <n v="17.5"/>
    <n v="12"/>
    <n v="21.05"/>
    <n v="9"/>
    <n v="15.25"/>
    <x v="0"/>
  </r>
  <r>
    <x v="0"/>
    <s v="西白河郡泉崎村"/>
    <x v="36"/>
    <x v="7"/>
    <n v="2"/>
    <n v="1.67"/>
    <n v="0"/>
    <n v="0"/>
    <n v="2"/>
    <n v="3.39"/>
    <x v="0"/>
  </r>
  <r>
    <x v="0"/>
    <s v="西白河郡泉崎村"/>
    <x v="36"/>
    <x v="8"/>
    <n v="1"/>
    <n v="0.83"/>
    <n v="0"/>
    <n v="0"/>
    <n v="1"/>
    <n v="1.69"/>
    <x v="0"/>
  </r>
  <r>
    <x v="0"/>
    <s v="西白河郡泉崎村"/>
    <x v="36"/>
    <x v="9"/>
    <n v="1"/>
    <n v="0.83"/>
    <n v="1"/>
    <n v="1.75"/>
    <n v="0"/>
    <n v="0"/>
    <x v="0"/>
  </r>
  <r>
    <x v="0"/>
    <s v="西白河郡泉崎村"/>
    <x v="36"/>
    <x v="10"/>
    <n v="13"/>
    <n v="10.83"/>
    <n v="9"/>
    <n v="15.79"/>
    <n v="3"/>
    <n v="5.08"/>
    <x v="0"/>
  </r>
  <r>
    <x v="0"/>
    <s v="西白河郡泉崎村"/>
    <x v="36"/>
    <x v="11"/>
    <n v="14"/>
    <n v="11.67"/>
    <n v="13"/>
    <n v="22.81"/>
    <n v="1"/>
    <n v="1.69"/>
    <x v="0"/>
  </r>
  <r>
    <x v="0"/>
    <s v="西白河郡泉崎村"/>
    <x v="36"/>
    <x v="12"/>
    <n v="4"/>
    <n v="3.33"/>
    <n v="2"/>
    <n v="3.51"/>
    <n v="0"/>
    <n v="0"/>
    <x v="0"/>
  </r>
  <r>
    <x v="0"/>
    <s v="西白河郡泉崎村"/>
    <x v="36"/>
    <x v="13"/>
    <n v="8"/>
    <n v="6.67"/>
    <n v="4"/>
    <n v="7.02"/>
    <n v="4"/>
    <n v="6.78"/>
    <x v="0"/>
  </r>
  <r>
    <x v="0"/>
    <s v="西白河郡泉崎村"/>
    <x v="36"/>
    <x v="14"/>
    <n v="11"/>
    <n v="9.17"/>
    <n v="5"/>
    <n v="8.77"/>
    <n v="6"/>
    <n v="10.17"/>
    <x v="0"/>
  </r>
  <r>
    <x v="0"/>
    <s v="西白河郡中島村"/>
    <x v="37"/>
    <x v="0"/>
    <n v="0"/>
    <n v="0"/>
    <n v="0"/>
    <n v="0"/>
    <n v="0"/>
    <n v="0"/>
    <x v="0"/>
  </r>
  <r>
    <x v="0"/>
    <s v="西白河郡中島村"/>
    <x v="37"/>
    <x v="1"/>
    <n v="32"/>
    <n v="32.32"/>
    <n v="13"/>
    <n v="21.31"/>
    <n v="19"/>
    <n v="52.78"/>
    <x v="0"/>
  </r>
  <r>
    <x v="0"/>
    <s v="西白河郡中島村"/>
    <x v="37"/>
    <x v="2"/>
    <n v="15"/>
    <n v="15.15"/>
    <n v="6"/>
    <n v="9.84"/>
    <n v="9"/>
    <n v="25"/>
    <x v="0"/>
  </r>
  <r>
    <x v="0"/>
    <s v="西白河郡中島村"/>
    <x v="37"/>
    <x v="3"/>
    <n v="1"/>
    <n v="1.01"/>
    <n v="0"/>
    <n v="0"/>
    <n v="0"/>
    <n v="0"/>
    <x v="0"/>
  </r>
  <r>
    <x v="0"/>
    <s v="西白河郡中島村"/>
    <x v="37"/>
    <x v="4"/>
    <n v="0"/>
    <n v="0"/>
    <n v="0"/>
    <n v="0"/>
    <n v="0"/>
    <n v="0"/>
    <x v="0"/>
  </r>
  <r>
    <x v="0"/>
    <s v="西白河郡中島村"/>
    <x v="37"/>
    <x v="5"/>
    <n v="2"/>
    <n v="2.02"/>
    <n v="1"/>
    <n v="1.64"/>
    <n v="1"/>
    <n v="2.78"/>
    <x v="0"/>
  </r>
  <r>
    <x v="0"/>
    <s v="西白河郡中島村"/>
    <x v="37"/>
    <x v="6"/>
    <n v="19"/>
    <n v="19.190000000000001"/>
    <n v="13"/>
    <n v="21.31"/>
    <n v="5"/>
    <n v="13.89"/>
    <x v="1"/>
  </r>
  <r>
    <x v="0"/>
    <s v="西白河郡中島村"/>
    <x v="37"/>
    <x v="7"/>
    <n v="0"/>
    <n v="0"/>
    <n v="0"/>
    <n v="0"/>
    <n v="0"/>
    <n v="0"/>
    <x v="0"/>
  </r>
  <r>
    <x v="0"/>
    <s v="西白河郡中島村"/>
    <x v="37"/>
    <x v="8"/>
    <n v="1"/>
    <n v="1.01"/>
    <n v="0"/>
    <n v="0"/>
    <n v="1"/>
    <n v="2.78"/>
    <x v="0"/>
  </r>
  <r>
    <x v="0"/>
    <s v="西白河郡中島村"/>
    <x v="37"/>
    <x v="9"/>
    <n v="1"/>
    <n v="1.01"/>
    <n v="1"/>
    <n v="1.64"/>
    <n v="0"/>
    <n v="0"/>
    <x v="0"/>
  </r>
  <r>
    <x v="0"/>
    <s v="西白河郡中島村"/>
    <x v="37"/>
    <x v="10"/>
    <n v="9"/>
    <n v="9.09"/>
    <n v="8"/>
    <n v="13.11"/>
    <n v="1"/>
    <n v="2.78"/>
    <x v="0"/>
  </r>
  <r>
    <x v="0"/>
    <s v="西白河郡中島村"/>
    <x v="37"/>
    <x v="11"/>
    <n v="10"/>
    <n v="10.1"/>
    <n v="10"/>
    <n v="16.39"/>
    <n v="0"/>
    <n v="0"/>
    <x v="0"/>
  </r>
  <r>
    <x v="0"/>
    <s v="西白河郡中島村"/>
    <x v="37"/>
    <x v="12"/>
    <n v="2"/>
    <n v="2.02"/>
    <n v="2"/>
    <n v="3.28"/>
    <n v="0"/>
    <n v="0"/>
    <x v="0"/>
  </r>
  <r>
    <x v="0"/>
    <s v="西白河郡中島村"/>
    <x v="37"/>
    <x v="13"/>
    <n v="4"/>
    <n v="4.04"/>
    <n v="4"/>
    <n v="6.56"/>
    <n v="0"/>
    <n v="0"/>
    <x v="0"/>
  </r>
  <r>
    <x v="0"/>
    <s v="西白河郡中島村"/>
    <x v="37"/>
    <x v="14"/>
    <n v="3"/>
    <n v="3.03"/>
    <n v="3"/>
    <n v="4.92"/>
    <n v="0"/>
    <n v="0"/>
    <x v="0"/>
  </r>
  <r>
    <x v="0"/>
    <s v="西白河郡矢吹町"/>
    <x v="38"/>
    <x v="0"/>
    <n v="0"/>
    <n v="0"/>
    <n v="0"/>
    <n v="0"/>
    <n v="0"/>
    <n v="0"/>
    <x v="0"/>
  </r>
  <r>
    <x v="0"/>
    <s v="西白河郡矢吹町"/>
    <x v="38"/>
    <x v="1"/>
    <n v="67"/>
    <n v="16.38"/>
    <n v="28"/>
    <n v="11.62"/>
    <n v="39"/>
    <n v="23.78"/>
    <x v="0"/>
  </r>
  <r>
    <x v="0"/>
    <s v="西白河郡矢吹町"/>
    <x v="38"/>
    <x v="2"/>
    <n v="46"/>
    <n v="11.25"/>
    <n v="20"/>
    <n v="8.3000000000000007"/>
    <n v="26"/>
    <n v="15.85"/>
    <x v="0"/>
  </r>
  <r>
    <x v="0"/>
    <s v="西白河郡矢吹町"/>
    <x v="38"/>
    <x v="3"/>
    <n v="1"/>
    <n v="0.24"/>
    <n v="0"/>
    <n v="0"/>
    <n v="1"/>
    <n v="0.61"/>
    <x v="0"/>
  </r>
  <r>
    <x v="0"/>
    <s v="西白河郡矢吹町"/>
    <x v="38"/>
    <x v="4"/>
    <n v="0"/>
    <n v="0"/>
    <n v="0"/>
    <n v="0"/>
    <n v="0"/>
    <n v="0"/>
    <x v="0"/>
  </r>
  <r>
    <x v="0"/>
    <s v="西白河郡矢吹町"/>
    <x v="38"/>
    <x v="5"/>
    <n v="4"/>
    <n v="0.98"/>
    <n v="1"/>
    <n v="0.41"/>
    <n v="3"/>
    <n v="1.83"/>
    <x v="0"/>
  </r>
  <r>
    <x v="0"/>
    <s v="西白河郡矢吹町"/>
    <x v="38"/>
    <x v="6"/>
    <n v="93"/>
    <n v="22.74"/>
    <n v="61"/>
    <n v="25.31"/>
    <n v="32"/>
    <n v="19.510000000000002"/>
    <x v="0"/>
  </r>
  <r>
    <x v="0"/>
    <s v="西白河郡矢吹町"/>
    <x v="38"/>
    <x v="7"/>
    <n v="7"/>
    <n v="1.71"/>
    <n v="1"/>
    <n v="0.41"/>
    <n v="6"/>
    <n v="3.66"/>
    <x v="0"/>
  </r>
  <r>
    <x v="0"/>
    <s v="西白河郡矢吹町"/>
    <x v="38"/>
    <x v="8"/>
    <n v="16"/>
    <n v="3.91"/>
    <n v="6"/>
    <n v="2.4900000000000002"/>
    <n v="10"/>
    <n v="6.1"/>
    <x v="0"/>
  </r>
  <r>
    <x v="0"/>
    <s v="西白河郡矢吹町"/>
    <x v="38"/>
    <x v="9"/>
    <n v="21"/>
    <n v="5.13"/>
    <n v="9"/>
    <n v="3.73"/>
    <n v="11"/>
    <n v="6.71"/>
    <x v="0"/>
  </r>
  <r>
    <x v="0"/>
    <s v="西白河郡矢吹町"/>
    <x v="38"/>
    <x v="10"/>
    <n v="46"/>
    <n v="11.25"/>
    <n v="35"/>
    <n v="14.52"/>
    <n v="11"/>
    <n v="6.71"/>
    <x v="0"/>
  </r>
  <r>
    <x v="0"/>
    <s v="西白河郡矢吹町"/>
    <x v="38"/>
    <x v="11"/>
    <n v="61"/>
    <n v="14.91"/>
    <n v="50"/>
    <n v="20.75"/>
    <n v="11"/>
    <n v="6.71"/>
    <x v="0"/>
  </r>
  <r>
    <x v="0"/>
    <s v="西白河郡矢吹町"/>
    <x v="38"/>
    <x v="12"/>
    <n v="15"/>
    <n v="3.67"/>
    <n v="10"/>
    <n v="4.1500000000000004"/>
    <n v="3"/>
    <n v="1.83"/>
    <x v="0"/>
  </r>
  <r>
    <x v="0"/>
    <s v="西白河郡矢吹町"/>
    <x v="38"/>
    <x v="13"/>
    <n v="17"/>
    <n v="4.16"/>
    <n v="9"/>
    <n v="3.73"/>
    <n v="8"/>
    <n v="4.88"/>
    <x v="0"/>
  </r>
  <r>
    <x v="0"/>
    <s v="西白河郡矢吹町"/>
    <x v="38"/>
    <x v="14"/>
    <n v="15"/>
    <n v="3.67"/>
    <n v="11"/>
    <n v="4.5599999999999996"/>
    <n v="3"/>
    <n v="1.83"/>
    <x v="0"/>
  </r>
  <r>
    <x v="0"/>
    <s v="東白川郡棚倉町"/>
    <x v="39"/>
    <x v="0"/>
    <n v="0"/>
    <n v="0"/>
    <n v="0"/>
    <n v="0"/>
    <n v="0"/>
    <n v="0"/>
    <x v="0"/>
  </r>
  <r>
    <x v="0"/>
    <s v="東白川郡棚倉町"/>
    <x v="39"/>
    <x v="1"/>
    <n v="73"/>
    <n v="16.37"/>
    <n v="37"/>
    <n v="12.5"/>
    <n v="36"/>
    <n v="24.83"/>
    <x v="0"/>
  </r>
  <r>
    <x v="0"/>
    <s v="東白川郡棚倉町"/>
    <x v="39"/>
    <x v="2"/>
    <n v="46"/>
    <n v="10.31"/>
    <n v="18"/>
    <n v="6.08"/>
    <n v="28"/>
    <n v="19.309999999999999"/>
    <x v="0"/>
  </r>
  <r>
    <x v="0"/>
    <s v="東白川郡棚倉町"/>
    <x v="39"/>
    <x v="3"/>
    <n v="4"/>
    <n v="0.9"/>
    <n v="1"/>
    <n v="0.34"/>
    <n v="3"/>
    <n v="2.0699999999999998"/>
    <x v="0"/>
  </r>
  <r>
    <x v="0"/>
    <s v="東白川郡棚倉町"/>
    <x v="39"/>
    <x v="4"/>
    <n v="4"/>
    <n v="0.9"/>
    <n v="1"/>
    <n v="0.34"/>
    <n v="3"/>
    <n v="2.0699999999999998"/>
    <x v="0"/>
  </r>
  <r>
    <x v="0"/>
    <s v="東白川郡棚倉町"/>
    <x v="39"/>
    <x v="5"/>
    <n v="4"/>
    <n v="0.9"/>
    <n v="1"/>
    <n v="0.34"/>
    <n v="3"/>
    <n v="2.0699999999999998"/>
    <x v="0"/>
  </r>
  <r>
    <x v="0"/>
    <s v="東白川郡棚倉町"/>
    <x v="39"/>
    <x v="6"/>
    <n v="106"/>
    <n v="23.77"/>
    <n v="69"/>
    <n v="23.31"/>
    <n v="36"/>
    <n v="24.83"/>
    <x v="1"/>
  </r>
  <r>
    <x v="0"/>
    <s v="東白川郡棚倉町"/>
    <x v="39"/>
    <x v="7"/>
    <n v="3"/>
    <n v="0.67"/>
    <n v="0"/>
    <n v="0"/>
    <n v="3"/>
    <n v="2.0699999999999998"/>
    <x v="0"/>
  </r>
  <r>
    <x v="0"/>
    <s v="東白川郡棚倉町"/>
    <x v="39"/>
    <x v="8"/>
    <n v="32"/>
    <n v="7.17"/>
    <n v="24"/>
    <n v="8.11"/>
    <n v="8"/>
    <n v="5.52"/>
    <x v="0"/>
  </r>
  <r>
    <x v="0"/>
    <s v="東白川郡棚倉町"/>
    <x v="39"/>
    <x v="9"/>
    <n v="8"/>
    <n v="1.79"/>
    <n v="6"/>
    <n v="2.0299999999999998"/>
    <n v="2"/>
    <n v="1.38"/>
    <x v="0"/>
  </r>
  <r>
    <x v="0"/>
    <s v="東白川郡棚倉町"/>
    <x v="39"/>
    <x v="10"/>
    <n v="67"/>
    <n v="15.02"/>
    <n v="58"/>
    <n v="19.59"/>
    <n v="8"/>
    <n v="5.52"/>
    <x v="0"/>
  </r>
  <r>
    <x v="0"/>
    <s v="東白川郡棚倉町"/>
    <x v="39"/>
    <x v="11"/>
    <n v="64"/>
    <n v="14.35"/>
    <n v="55"/>
    <n v="18.579999999999998"/>
    <n v="7"/>
    <n v="4.83"/>
    <x v="0"/>
  </r>
  <r>
    <x v="0"/>
    <s v="東白川郡棚倉町"/>
    <x v="39"/>
    <x v="12"/>
    <n v="11"/>
    <n v="2.4700000000000002"/>
    <n v="7"/>
    <n v="2.36"/>
    <n v="4"/>
    <n v="2.76"/>
    <x v="0"/>
  </r>
  <r>
    <x v="0"/>
    <s v="東白川郡棚倉町"/>
    <x v="39"/>
    <x v="13"/>
    <n v="14"/>
    <n v="3.14"/>
    <n v="11"/>
    <n v="3.72"/>
    <n v="2"/>
    <n v="1.38"/>
    <x v="0"/>
  </r>
  <r>
    <x v="0"/>
    <s v="東白川郡棚倉町"/>
    <x v="39"/>
    <x v="14"/>
    <n v="10"/>
    <n v="2.2400000000000002"/>
    <n v="8"/>
    <n v="2.7"/>
    <n v="2"/>
    <n v="1.38"/>
    <x v="0"/>
  </r>
  <r>
    <x v="0"/>
    <s v="東白川郡矢祭町"/>
    <x v="40"/>
    <x v="0"/>
    <n v="0"/>
    <n v="0"/>
    <n v="0"/>
    <n v="0"/>
    <n v="0"/>
    <n v="0"/>
    <x v="0"/>
  </r>
  <r>
    <x v="0"/>
    <s v="東白川郡矢祭町"/>
    <x v="40"/>
    <x v="1"/>
    <n v="57"/>
    <n v="28.93"/>
    <n v="44"/>
    <n v="30.34"/>
    <n v="13"/>
    <n v="28.26"/>
    <x v="0"/>
  </r>
  <r>
    <x v="0"/>
    <s v="東白川郡矢祭町"/>
    <x v="40"/>
    <x v="2"/>
    <n v="23"/>
    <n v="11.68"/>
    <n v="11"/>
    <n v="7.59"/>
    <n v="12"/>
    <n v="26.09"/>
    <x v="0"/>
  </r>
  <r>
    <x v="0"/>
    <s v="東白川郡矢祭町"/>
    <x v="40"/>
    <x v="3"/>
    <n v="1"/>
    <n v="0.51"/>
    <n v="0"/>
    <n v="0"/>
    <n v="0"/>
    <n v="0"/>
    <x v="0"/>
  </r>
  <r>
    <x v="0"/>
    <s v="東白川郡矢祭町"/>
    <x v="40"/>
    <x v="4"/>
    <n v="1"/>
    <n v="0.51"/>
    <n v="1"/>
    <n v="0.69"/>
    <n v="0"/>
    <n v="0"/>
    <x v="0"/>
  </r>
  <r>
    <x v="0"/>
    <s v="東白川郡矢祭町"/>
    <x v="40"/>
    <x v="5"/>
    <n v="3"/>
    <n v="1.52"/>
    <n v="1"/>
    <n v="0.69"/>
    <n v="1"/>
    <n v="2.17"/>
    <x v="1"/>
  </r>
  <r>
    <x v="0"/>
    <s v="東白川郡矢祭町"/>
    <x v="40"/>
    <x v="6"/>
    <n v="43"/>
    <n v="21.83"/>
    <n v="29"/>
    <n v="20"/>
    <n v="13"/>
    <n v="28.26"/>
    <x v="1"/>
  </r>
  <r>
    <x v="0"/>
    <s v="東白川郡矢祭町"/>
    <x v="40"/>
    <x v="7"/>
    <n v="0"/>
    <n v="0"/>
    <n v="0"/>
    <n v="0"/>
    <n v="0"/>
    <n v="0"/>
    <x v="0"/>
  </r>
  <r>
    <x v="0"/>
    <s v="東白川郡矢祭町"/>
    <x v="40"/>
    <x v="8"/>
    <n v="4"/>
    <n v="2.0299999999999998"/>
    <n v="4"/>
    <n v="2.76"/>
    <n v="0"/>
    <n v="0"/>
    <x v="0"/>
  </r>
  <r>
    <x v="0"/>
    <s v="東白川郡矢祭町"/>
    <x v="40"/>
    <x v="9"/>
    <n v="3"/>
    <n v="1.52"/>
    <n v="3"/>
    <n v="2.0699999999999998"/>
    <n v="0"/>
    <n v="0"/>
    <x v="0"/>
  </r>
  <r>
    <x v="0"/>
    <s v="東白川郡矢祭町"/>
    <x v="40"/>
    <x v="10"/>
    <n v="22"/>
    <n v="11.17"/>
    <n v="20"/>
    <n v="13.79"/>
    <n v="2"/>
    <n v="4.3499999999999996"/>
    <x v="0"/>
  </r>
  <r>
    <x v="0"/>
    <s v="東白川郡矢祭町"/>
    <x v="40"/>
    <x v="11"/>
    <n v="23"/>
    <n v="11.68"/>
    <n v="22"/>
    <n v="15.17"/>
    <n v="0"/>
    <n v="0"/>
    <x v="0"/>
  </r>
  <r>
    <x v="0"/>
    <s v="東白川郡矢祭町"/>
    <x v="40"/>
    <x v="12"/>
    <n v="3"/>
    <n v="1.52"/>
    <n v="2"/>
    <n v="1.38"/>
    <n v="0"/>
    <n v="0"/>
    <x v="0"/>
  </r>
  <r>
    <x v="0"/>
    <s v="東白川郡矢祭町"/>
    <x v="40"/>
    <x v="13"/>
    <n v="9"/>
    <n v="4.57"/>
    <n v="5"/>
    <n v="3.45"/>
    <n v="4"/>
    <n v="8.6999999999999993"/>
    <x v="0"/>
  </r>
  <r>
    <x v="0"/>
    <s v="東白川郡矢祭町"/>
    <x v="40"/>
    <x v="14"/>
    <n v="5"/>
    <n v="2.54"/>
    <n v="3"/>
    <n v="2.0699999999999998"/>
    <n v="1"/>
    <n v="2.17"/>
    <x v="0"/>
  </r>
  <r>
    <x v="0"/>
    <s v="東白川郡塙町"/>
    <x v="41"/>
    <x v="0"/>
    <n v="0"/>
    <n v="0"/>
    <n v="0"/>
    <n v="0"/>
    <n v="0"/>
    <n v="0"/>
    <x v="0"/>
  </r>
  <r>
    <x v="0"/>
    <s v="東白川郡塙町"/>
    <x v="41"/>
    <x v="1"/>
    <n v="53"/>
    <n v="15.73"/>
    <n v="37"/>
    <n v="14.86"/>
    <n v="16"/>
    <n v="19.510000000000002"/>
    <x v="0"/>
  </r>
  <r>
    <x v="0"/>
    <s v="東白川郡塙町"/>
    <x v="41"/>
    <x v="2"/>
    <n v="27"/>
    <n v="8.01"/>
    <n v="15"/>
    <n v="6.02"/>
    <n v="12"/>
    <n v="14.63"/>
    <x v="0"/>
  </r>
  <r>
    <x v="0"/>
    <s v="東白川郡塙町"/>
    <x v="41"/>
    <x v="3"/>
    <n v="1"/>
    <n v="0.3"/>
    <n v="0"/>
    <n v="0"/>
    <n v="0"/>
    <n v="0"/>
    <x v="0"/>
  </r>
  <r>
    <x v="0"/>
    <s v="東白川郡塙町"/>
    <x v="41"/>
    <x v="4"/>
    <n v="1"/>
    <n v="0.3"/>
    <n v="1"/>
    <n v="0.4"/>
    <n v="0"/>
    <n v="0"/>
    <x v="0"/>
  </r>
  <r>
    <x v="0"/>
    <s v="東白川郡塙町"/>
    <x v="41"/>
    <x v="5"/>
    <n v="7"/>
    <n v="2.08"/>
    <n v="2"/>
    <n v="0.8"/>
    <n v="5"/>
    <n v="6.1"/>
    <x v="0"/>
  </r>
  <r>
    <x v="0"/>
    <s v="東白川郡塙町"/>
    <x v="41"/>
    <x v="6"/>
    <n v="96"/>
    <n v="28.49"/>
    <n v="71"/>
    <n v="28.51"/>
    <n v="24"/>
    <n v="29.27"/>
    <x v="1"/>
  </r>
  <r>
    <x v="0"/>
    <s v="東白川郡塙町"/>
    <x v="41"/>
    <x v="7"/>
    <n v="3"/>
    <n v="0.89"/>
    <n v="1"/>
    <n v="0.4"/>
    <n v="2"/>
    <n v="2.44"/>
    <x v="0"/>
  </r>
  <r>
    <x v="0"/>
    <s v="東白川郡塙町"/>
    <x v="41"/>
    <x v="8"/>
    <n v="30"/>
    <n v="8.9"/>
    <n v="25"/>
    <n v="10.039999999999999"/>
    <n v="5"/>
    <n v="6.1"/>
    <x v="0"/>
  </r>
  <r>
    <x v="0"/>
    <s v="東白川郡塙町"/>
    <x v="41"/>
    <x v="9"/>
    <n v="9"/>
    <n v="2.67"/>
    <n v="5"/>
    <n v="2.0099999999999998"/>
    <n v="4"/>
    <n v="4.88"/>
    <x v="0"/>
  </r>
  <r>
    <x v="0"/>
    <s v="東白川郡塙町"/>
    <x v="41"/>
    <x v="10"/>
    <n v="39"/>
    <n v="11.57"/>
    <n v="33"/>
    <n v="13.25"/>
    <n v="5"/>
    <n v="6.1"/>
    <x v="0"/>
  </r>
  <r>
    <x v="0"/>
    <s v="東白川郡塙町"/>
    <x v="41"/>
    <x v="11"/>
    <n v="44"/>
    <n v="13.06"/>
    <n v="40"/>
    <n v="16.059999999999999"/>
    <n v="4"/>
    <n v="4.88"/>
    <x v="0"/>
  </r>
  <r>
    <x v="0"/>
    <s v="東白川郡塙町"/>
    <x v="41"/>
    <x v="12"/>
    <n v="12"/>
    <n v="3.56"/>
    <n v="9"/>
    <n v="3.61"/>
    <n v="1"/>
    <n v="1.22"/>
    <x v="0"/>
  </r>
  <r>
    <x v="0"/>
    <s v="東白川郡塙町"/>
    <x v="41"/>
    <x v="13"/>
    <n v="9"/>
    <n v="2.67"/>
    <n v="7"/>
    <n v="2.81"/>
    <n v="2"/>
    <n v="2.44"/>
    <x v="0"/>
  </r>
  <r>
    <x v="0"/>
    <s v="東白川郡塙町"/>
    <x v="41"/>
    <x v="14"/>
    <n v="6"/>
    <n v="1.78"/>
    <n v="3"/>
    <n v="1.2"/>
    <n v="2"/>
    <n v="2.44"/>
    <x v="1"/>
  </r>
  <r>
    <x v="0"/>
    <s v="東白川郡鮫川村"/>
    <x v="42"/>
    <x v="0"/>
    <n v="0"/>
    <n v="0"/>
    <n v="0"/>
    <n v="0"/>
    <n v="0"/>
    <n v="0"/>
    <x v="0"/>
  </r>
  <r>
    <x v="0"/>
    <s v="東白川郡鮫川村"/>
    <x v="42"/>
    <x v="1"/>
    <n v="33"/>
    <n v="35.869999999999997"/>
    <n v="26"/>
    <n v="37.68"/>
    <n v="7"/>
    <n v="31.82"/>
    <x v="0"/>
  </r>
  <r>
    <x v="0"/>
    <s v="東白川郡鮫川村"/>
    <x v="42"/>
    <x v="2"/>
    <n v="7"/>
    <n v="7.61"/>
    <n v="3"/>
    <n v="4.3499999999999996"/>
    <n v="4"/>
    <n v="18.18"/>
    <x v="0"/>
  </r>
  <r>
    <x v="0"/>
    <s v="東白川郡鮫川村"/>
    <x v="42"/>
    <x v="3"/>
    <n v="0"/>
    <n v="0"/>
    <n v="0"/>
    <n v="0"/>
    <n v="0"/>
    <n v="0"/>
    <x v="0"/>
  </r>
  <r>
    <x v="0"/>
    <s v="東白川郡鮫川村"/>
    <x v="42"/>
    <x v="4"/>
    <n v="0"/>
    <n v="0"/>
    <n v="0"/>
    <n v="0"/>
    <n v="0"/>
    <n v="0"/>
    <x v="0"/>
  </r>
  <r>
    <x v="0"/>
    <s v="東白川郡鮫川村"/>
    <x v="42"/>
    <x v="5"/>
    <n v="0"/>
    <n v="0"/>
    <n v="0"/>
    <n v="0"/>
    <n v="0"/>
    <n v="0"/>
    <x v="0"/>
  </r>
  <r>
    <x v="0"/>
    <s v="東白川郡鮫川村"/>
    <x v="42"/>
    <x v="6"/>
    <n v="24"/>
    <n v="26.09"/>
    <n v="21"/>
    <n v="30.43"/>
    <n v="3"/>
    <n v="13.64"/>
    <x v="0"/>
  </r>
  <r>
    <x v="0"/>
    <s v="東白川郡鮫川村"/>
    <x v="42"/>
    <x v="7"/>
    <n v="1"/>
    <n v="1.0900000000000001"/>
    <n v="0"/>
    <n v="0"/>
    <n v="1"/>
    <n v="4.55"/>
    <x v="0"/>
  </r>
  <r>
    <x v="0"/>
    <s v="東白川郡鮫川村"/>
    <x v="42"/>
    <x v="8"/>
    <n v="2"/>
    <n v="2.17"/>
    <n v="0"/>
    <n v="0"/>
    <n v="2"/>
    <n v="9.09"/>
    <x v="0"/>
  </r>
  <r>
    <x v="0"/>
    <s v="東白川郡鮫川村"/>
    <x v="42"/>
    <x v="9"/>
    <n v="4"/>
    <n v="4.3499999999999996"/>
    <n v="2"/>
    <n v="2.9"/>
    <n v="2"/>
    <n v="9.09"/>
    <x v="0"/>
  </r>
  <r>
    <x v="0"/>
    <s v="東白川郡鮫川村"/>
    <x v="42"/>
    <x v="10"/>
    <n v="7"/>
    <n v="7.61"/>
    <n v="5"/>
    <n v="7.25"/>
    <n v="2"/>
    <n v="9.09"/>
    <x v="0"/>
  </r>
  <r>
    <x v="0"/>
    <s v="東白川郡鮫川村"/>
    <x v="42"/>
    <x v="11"/>
    <n v="9"/>
    <n v="9.7799999999999994"/>
    <n v="8"/>
    <n v="11.59"/>
    <n v="1"/>
    <n v="4.55"/>
    <x v="0"/>
  </r>
  <r>
    <x v="0"/>
    <s v="東白川郡鮫川村"/>
    <x v="42"/>
    <x v="12"/>
    <n v="3"/>
    <n v="3.26"/>
    <n v="2"/>
    <n v="2.9"/>
    <n v="0"/>
    <n v="0"/>
    <x v="0"/>
  </r>
  <r>
    <x v="0"/>
    <s v="東白川郡鮫川村"/>
    <x v="42"/>
    <x v="13"/>
    <n v="1"/>
    <n v="1.0900000000000001"/>
    <n v="1"/>
    <n v="1.45"/>
    <n v="0"/>
    <n v="0"/>
    <x v="0"/>
  </r>
  <r>
    <x v="0"/>
    <s v="東白川郡鮫川村"/>
    <x v="42"/>
    <x v="14"/>
    <n v="1"/>
    <n v="1.0900000000000001"/>
    <n v="1"/>
    <n v="1.45"/>
    <n v="0"/>
    <n v="0"/>
    <x v="0"/>
  </r>
  <r>
    <x v="0"/>
    <s v="石川郡石川町"/>
    <x v="43"/>
    <x v="0"/>
    <n v="0"/>
    <n v="0"/>
    <n v="0"/>
    <n v="0"/>
    <n v="0"/>
    <n v="0"/>
    <x v="0"/>
  </r>
  <r>
    <x v="0"/>
    <s v="石川郡石川町"/>
    <x v="43"/>
    <x v="1"/>
    <n v="88"/>
    <n v="17.43"/>
    <n v="46"/>
    <n v="15.08"/>
    <n v="42"/>
    <n v="22.22"/>
    <x v="0"/>
  </r>
  <r>
    <x v="0"/>
    <s v="石川郡石川町"/>
    <x v="43"/>
    <x v="2"/>
    <n v="60"/>
    <n v="11.88"/>
    <n v="34"/>
    <n v="11.15"/>
    <n v="26"/>
    <n v="13.76"/>
    <x v="0"/>
  </r>
  <r>
    <x v="0"/>
    <s v="石川郡石川町"/>
    <x v="43"/>
    <x v="3"/>
    <n v="0"/>
    <n v="0"/>
    <n v="0"/>
    <n v="0"/>
    <n v="0"/>
    <n v="0"/>
    <x v="0"/>
  </r>
  <r>
    <x v="0"/>
    <s v="石川郡石川町"/>
    <x v="43"/>
    <x v="4"/>
    <n v="2"/>
    <n v="0.4"/>
    <n v="0"/>
    <n v="0"/>
    <n v="2"/>
    <n v="1.06"/>
    <x v="0"/>
  </r>
  <r>
    <x v="0"/>
    <s v="石川郡石川町"/>
    <x v="43"/>
    <x v="5"/>
    <n v="3"/>
    <n v="0.59"/>
    <n v="2"/>
    <n v="0.66"/>
    <n v="1"/>
    <n v="0.53"/>
    <x v="0"/>
  </r>
  <r>
    <x v="0"/>
    <s v="石川郡石川町"/>
    <x v="43"/>
    <x v="6"/>
    <n v="126"/>
    <n v="24.95"/>
    <n v="72"/>
    <n v="23.61"/>
    <n v="54"/>
    <n v="28.57"/>
    <x v="0"/>
  </r>
  <r>
    <x v="0"/>
    <s v="石川郡石川町"/>
    <x v="43"/>
    <x v="7"/>
    <n v="0"/>
    <n v="0"/>
    <n v="0"/>
    <n v="0"/>
    <n v="0"/>
    <n v="0"/>
    <x v="0"/>
  </r>
  <r>
    <x v="0"/>
    <s v="石川郡石川町"/>
    <x v="43"/>
    <x v="8"/>
    <n v="28"/>
    <n v="5.54"/>
    <n v="18"/>
    <n v="5.9"/>
    <n v="9"/>
    <n v="4.76"/>
    <x v="0"/>
  </r>
  <r>
    <x v="0"/>
    <s v="石川郡石川町"/>
    <x v="43"/>
    <x v="9"/>
    <n v="18"/>
    <n v="3.56"/>
    <n v="9"/>
    <n v="2.95"/>
    <n v="9"/>
    <n v="4.76"/>
    <x v="0"/>
  </r>
  <r>
    <x v="0"/>
    <s v="石川郡石川町"/>
    <x v="43"/>
    <x v="10"/>
    <n v="56"/>
    <n v="11.09"/>
    <n v="37"/>
    <n v="12.13"/>
    <n v="19"/>
    <n v="10.050000000000001"/>
    <x v="0"/>
  </r>
  <r>
    <x v="0"/>
    <s v="石川郡石川町"/>
    <x v="43"/>
    <x v="11"/>
    <n v="71"/>
    <n v="14.06"/>
    <n v="60"/>
    <n v="19.670000000000002"/>
    <n v="11"/>
    <n v="5.82"/>
    <x v="0"/>
  </r>
  <r>
    <x v="0"/>
    <s v="石川郡石川町"/>
    <x v="43"/>
    <x v="12"/>
    <n v="12"/>
    <n v="2.38"/>
    <n v="3"/>
    <n v="0.98"/>
    <n v="2"/>
    <n v="1.06"/>
    <x v="0"/>
  </r>
  <r>
    <x v="0"/>
    <s v="石川郡石川町"/>
    <x v="43"/>
    <x v="13"/>
    <n v="23"/>
    <n v="4.55"/>
    <n v="15"/>
    <n v="4.92"/>
    <n v="6"/>
    <n v="3.17"/>
    <x v="0"/>
  </r>
  <r>
    <x v="0"/>
    <s v="石川郡石川町"/>
    <x v="43"/>
    <x v="14"/>
    <n v="18"/>
    <n v="3.56"/>
    <n v="9"/>
    <n v="2.95"/>
    <n v="8"/>
    <n v="4.2300000000000004"/>
    <x v="0"/>
  </r>
  <r>
    <x v="0"/>
    <s v="石川郡玉川村"/>
    <x v="44"/>
    <x v="0"/>
    <n v="0"/>
    <n v="0"/>
    <n v="0"/>
    <n v="0"/>
    <n v="0"/>
    <n v="0"/>
    <x v="0"/>
  </r>
  <r>
    <x v="0"/>
    <s v="石川郡玉川村"/>
    <x v="44"/>
    <x v="1"/>
    <n v="57"/>
    <n v="28.93"/>
    <n v="35"/>
    <n v="28.23"/>
    <n v="22"/>
    <n v="34.92"/>
    <x v="0"/>
  </r>
  <r>
    <x v="0"/>
    <s v="石川郡玉川村"/>
    <x v="44"/>
    <x v="2"/>
    <n v="24"/>
    <n v="12.18"/>
    <n v="11"/>
    <n v="8.8699999999999992"/>
    <n v="13"/>
    <n v="20.63"/>
    <x v="0"/>
  </r>
  <r>
    <x v="0"/>
    <s v="石川郡玉川村"/>
    <x v="44"/>
    <x v="3"/>
    <n v="2"/>
    <n v="1.02"/>
    <n v="0"/>
    <n v="0"/>
    <n v="0"/>
    <n v="0"/>
    <x v="0"/>
  </r>
  <r>
    <x v="0"/>
    <s v="石川郡玉川村"/>
    <x v="44"/>
    <x v="4"/>
    <n v="1"/>
    <n v="0.51"/>
    <n v="0"/>
    <n v="0"/>
    <n v="1"/>
    <n v="1.59"/>
    <x v="0"/>
  </r>
  <r>
    <x v="0"/>
    <s v="石川郡玉川村"/>
    <x v="44"/>
    <x v="5"/>
    <n v="4"/>
    <n v="2.0299999999999998"/>
    <n v="0"/>
    <n v="0"/>
    <n v="3"/>
    <n v="4.76"/>
    <x v="0"/>
  </r>
  <r>
    <x v="0"/>
    <s v="石川郡玉川村"/>
    <x v="44"/>
    <x v="6"/>
    <n v="34"/>
    <n v="17.260000000000002"/>
    <n v="25"/>
    <n v="20.16"/>
    <n v="9"/>
    <n v="14.29"/>
    <x v="0"/>
  </r>
  <r>
    <x v="0"/>
    <s v="石川郡玉川村"/>
    <x v="44"/>
    <x v="7"/>
    <n v="0"/>
    <n v="0"/>
    <n v="0"/>
    <n v="0"/>
    <n v="0"/>
    <n v="0"/>
    <x v="0"/>
  </r>
  <r>
    <x v="0"/>
    <s v="石川郡玉川村"/>
    <x v="44"/>
    <x v="8"/>
    <n v="5"/>
    <n v="2.54"/>
    <n v="2"/>
    <n v="1.61"/>
    <n v="3"/>
    <n v="4.76"/>
    <x v="0"/>
  </r>
  <r>
    <x v="0"/>
    <s v="石川郡玉川村"/>
    <x v="44"/>
    <x v="9"/>
    <n v="8"/>
    <n v="4.0599999999999996"/>
    <n v="4"/>
    <n v="3.23"/>
    <n v="3"/>
    <n v="4.76"/>
    <x v="1"/>
  </r>
  <r>
    <x v="0"/>
    <s v="石川郡玉川村"/>
    <x v="44"/>
    <x v="10"/>
    <n v="14"/>
    <n v="7.11"/>
    <n v="10"/>
    <n v="8.06"/>
    <n v="3"/>
    <n v="4.76"/>
    <x v="0"/>
  </r>
  <r>
    <x v="0"/>
    <s v="石川郡玉川村"/>
    <x v="44"/>
    <x v="11"/>
    <n v="21"/>
    <n v="10.66"/>
    <n v="18"/>
    <n v="14.52"/>
    <n v="3"/>
    <n v="4.76"/>
    <x v="0"/>
  </r>
  <r>
    <x v="0"/>
    <s v="石川郡玉川村"/>
    <x v="44"/>
    <x v="12"/>
    <n v="9"/>
    <n v="4.57"/>
    <n v="7"/>
    <n v="5.65"/>
    <n v="1"/>
    <n v="1.59"/>
    <x v="0"/>
  </r>
  <r>
    <x v="0"/>
    <s v="石川郡玉川村"/>
    <x v="44"/>
    <x v="13"/>
    <n v="8"/>
    <n v="4.0599999999999996"/>
    <n v="6"/>
    <n v="4.84"/>
    <n v="0"/>
    <n v="0"/>
    <x v="0"/>
  </r>
  <r>
    <x v="0"/>
    <s v="石川郡玉川村"/>
    <x v="44"/>
    <x v="14"/>
    <n v="10"/>
    <n v="5.08"/>
    <n v="6"/>
    <n v="4.84"/>
    <n v="2"/>
    <n v="3.17"/>
    <x v="0"/>
  </r>
  <r>
    <x v="0"/>
    <s v="石川郡平田村"/>
    <x v="45"/>
    <x v="0"/>
    <n v="0"/>
    <n v="0"/>
    <n v="0"/>
    <n v="0"/>
    <n v="0"/>
    <n v="0"/>
    <x v="0"/>
  </r>
  <r>
    <x v="0"/>
    <s v="石川郡平田村"/>
    <x v="45"/>
    <x v="1"/>
    <n v="41"/>
    <n v="24.7"/>
    <n v="16"/>
    <n v="16.670000000000002"/>
    <n v="25"/>
    <n v="38.46"/>
    <x v="0"/>
  </r>
  <r>
    <x v="0"/>
    <s v="石川郡平田村"/>
    <x v="45"/>
    <x v="2"/>
    <n v="22"/>
    <n v="13.25"/>
    <n v="8"/>
    <n v="8.33"/>
    <n v="14"/>
    <n v="21.54"/>
    <x v="0"/>
  </r>
  <r>
    <x v="0"/>
    <s v="石川郡平田村"/>
    <x v="45"/>
    <x v="3"/>
    <n v="3"/>
    <n v="1.81"/>
    <n v="0"/>
    <n v="0"/>
    <n v="0"/>
    <n v="0"/>
    <x v="0"/>
  </r>
  <r>
    <x v="0"/>
    <s v="石川郡平田村"/>
    <x v="45"/>
    <x v="4"/>
    <n v="1"/>
    <n v="0.6"/>
    <n v="0"/>
    <n v="0"/>
    <n v="1"/>
    <n v="1.54"/>
    <x v="0"/>
  </r>
  <r>
    <x v="0"/>
    <s v="石川郡平田村"/>
    <x v="45"/>
    <x v="5"/>
    <n v="1"/>
    <n v="0.6"/>
    <n v="0"/>
    <n v="0"/>
    <n v="1"/>
    <n v="1.54"/>
    <x v="0"/>
  </r>
  <r>
    <x v="0"/>
    <s v="石川郡平田村"/>
    <x v="45"/>
    <x v="6"/>
    <n v="37"/>
    <n v="22.29"/>
    <n v="30"/>
    <n v="31.25"/>
    <n v="7"/>
    <n v="10.77"/>
    <x v="0"/>
  </r>
  <r>
    <x v="0"/>
    <s v="石川郡平田村"/>
    <x v="45"/>
    <x v="7"/>
    <n v="1"/>
    <n v="0.6"/>
    <n v="0"/>
    <n v="0"/>
    <n v="1"/>
    <n v="1.54"/>
    <x v="0"/>
  </r>
  <r>
    <x v="0"/>
    <s v="石川郡平田村"/>
    <x v="45"/>
    <x v="8"/>
    <n v="2"/>
    <n v="1.2"/>
    <n v="1"/>
    <n v="1.04"/>
    <n v="1"/>
    <n v="1.54"/>
    <x v="0"/>
  </r>
  <r>
    <x v="0"/>
    <s v="石川郡平田村"/>
    <x v="45"/>
    <x v="9"/>
    <n v="5"/>
    <n v="3.01"/>
    <n v="3"/>
    <n v="3.13"/>
    <n v="1"/>
    <n v="1.54"/>
    <x v="0"/>
  </r>
  <r>
    <x v="0"/>
    <s v="石川郡平田村"/>
    <x v="45"/>
    <x v="10"/>
    <n v="18"/>
    <n v="10.84"/>
    <n v="13"/>
    <n v="13.54"/>
    <n v="4"/>
    <n v="6.15"/>
    <x v="0"/>
  </r>
  <r>
    <x v="0"/>
    <s v="石川郡平田村"/>
    <x v="45"/>
    <x v="11"/>
    <n v="21"/>
    <n v="12.65"/>
    <n v="19"/>
    <n v="19.79"/>
    <n v="2"/>
    <n v="3.08"/>
    <x v="0"/>
  </r>
  <r>
    <x v="0"/>
    <s v="石川郡平田村"/>
    <x v="45"/>
    <x v="12"/>
    <n v="1"/>
    <n v="0.6"/>
    <n v="1"/>
    <n v="1.04"/>
    <n v="0"/>
    <n v="0"/>
    <x v="0"/>
  </r>
  <r>
    <x v="0"/>
    <s v="石川郡平田村"/>
    <x v="45"/>
    <x v="13"/>
    <n v="3"/>
    <n v="1.81"/>
    <n v="2"/>
    <n v="2.08"/>
    <n v="1"/>
    <n v="1.54"/>
    <x v="0"/>
  </r>
  <r>
    <x v="0"/>
    <s v="石川郡平田村"/>
    <x v="45"/>
    <x v="14"/>
    <n v="10"/>
    <n v="6.02"/>
    <n v="3"/>
    <n v="3.13"/>
    <n v="7"/>
    <n v="10.77"/>
    <x v="0"/>
  </r>
  <r>
    <x v="0"/>
    <s v="石川郡浅川町"/>
    <x v="46"/>
    <x v="0"/>
    <n v="0"/>
    <n v="0"/>
    <n v="0"/>
    <n v="0"/>
    <n v="0"/>
    <n v="0"/>
    <x v="0"/>
  </r>
  <r>
    <x v="0"/>
    <s v="石川郡浅川町"/>
    <x v="46"/>
    <x v="1"/>
    <n v="40"/>
    <n v="20.83"/>
    <n v="27"/>
    <n v="19.29"/>
    <n v="13"/>
    <n v="26.53"/>
    <x v="0"/>
  </r>
  <r>
    <x v="0"/>
    <s v="石川郡浅川町"/>
    <x v="46"/>
    <x v="2"/>
    <n v="35"/>
    <n v="18.23"/>
    <n v="22"/>
    <n v="15.71"/>
    <n v="13"/>
    <n v="26.53"/>
    <x v="0"/>
  </r>
  <r>
    <x v="0"/>
    <s v="石川郡浅川町"/>
    <x v="46"/>
    <x v="3"/>
    <n v="1"/>
    <n v="0.52"/>
    <n v="0"/>
    <n v="0"/>
    <n v="1"/>
    <n v="2.04"/>
    <x v="0"/>
  </r>
  <r>
    <x v="0"/>
    <s v="石川郡浅川町"/>
    <x v="46"/>
    <x v="4"/>
    <n v="0"/>
    <n v="0"/>
    <n v="0"/>
    <n v="0"/>
    <n v="0"/>
    <n v="0"/>
    <x v="0"/>
  </r>
  <r>
    <x v="0"/>
    <s v="石川郡浅川町"/>
    <x v="46"/>
    <x v="5"/>
    <n v="4"/>
    <n v="2.08"/>
    <n v="0"/>
    <n v="0"/>
    <n v="4"/>
    <n v="8.16"/>
    <x v="0"/>
  </r>
  <r>
    <x v="0"/>
    <s v="石川郡浅川町"/>
    <x v="46"/>
    <x v="6"/>
    <n v="38"/>
    <n v="19.79"/>
    <n v="29"/>
    <n v="20.71"/>
    <n v="9"/>
    <n v="18.37"/>
    <x v="0"/>
  </r>
  <r>
    <x v="0"/>
    <s v="石川郡浅川町"/>
    <x v="46"/>
    <x v="7"/>
    <n v="2"/>
    <n v="1.04"/>
    <n v="1"/>
    <n v="0.71"/>
    <n v="1"/>
    <n v="2.04"/>
    <x v="0"/>
  </r>
  <r>
    <x v="0"/>
    <s v="石川郡浅川町"/>
    <x v="46"/>
    <x v="8"/>
    <n v="7"/>
    <n v="3.65"/>
    <n v="6"/>
    <n v="4.29"/>
    <n v="1"/>
    <n v="2.04"/>
    <x v="0"/>
  </r>
  <r>
    <x v="0"/>
    <s v="石川郡浅川町"/>
    <x v="46"/>
    <x v="9"/>
    <n v="5"/>
    <n v="2.6"/>
    <n v="4"/>
    <n v="2.86"/>
    <n v="1"/>
    <n v="2.04"/>
    <x v="0"/>
  </r>
  <r>
    <x v="0"/>
    <s v="石川郡浅川町"/>
    <x v="46"/>
    <x v="10"/>
    <n v="17"/>
    <n v="8.85"/>
    <n v="14"/>
    <n v="10"/>
    <n v="3"/>
    <n v="6.12"/>
    <x v="0"/>
  </r>
  <r>
    <x v="0"/>
    <s v="石川郡浅川町"/>
    <x v="46"/>
    <x v="11"/>
    <n v="26"/>
    <n v="13.54"/>
    <n v="24"/>
    <n v="17.14"/>
    <n v="1"/>
    <n v="2.04"/>
    <x v="0"/>
  </r>
  <r>
    <x v="0"/>
    <s v="石川郡浅川町"/>
    <x v="46"/>
    <x v="12"/>
    <n v="5"/>
    <n v="2.6"/>
    <n v="4"/>
    <n v="2.86"/>
    <n v="0"/>
    <n v="0"/>
    <x v="0"/>
  </r>
  <r>
    <x v="0"/>
    <s v="石川郡浅川町"/>
    <x v="46"/>
    <x v="13"/>
    <n v="8"/>
    <n v="4.17"/>
    <n v="5"/>
    <n v="3.57"/>
    <n v="2"/>
    <n v="4.08"/>
    <x v="0"/>
  </r>
  <r>
    <x v="0"/>
    <s v="石川郡浅川町"/>
    <x v="46"/>
    <x v="14"/>
    <n v="4"/>
    <n v="2.08"/>
    <n v="4"/>
    <n v="2.86"/>
    <n v="0"/>
    <n v="0"/>
    <x v="0"/>
  </r>
  <r>
    <x v="0"/>
    <s v="石川郡古殿町"/>
    <x v="47"/>
    <x v="0"/>
    <n v="0"/>
    <n v="0"/>
    <n v="0"/>
    <n v="0"/>
    <n v="0"/>
    <n v="0"/>
    <x v="0"/>
  </r>
  <r>
    <x v="0"/>
    <s v="石川郡古殿町"/>
    <x v="47"/>
    <x v="1"/>
    <n v="51"/>
    <n v="28.81"/>
    <n v="34"/>
    <n v="25.56"/>
    <n v="17"/>
    <n v="38.64"/>
    <x v="0"/>
  </r>
  <r>
    <x v="0"/>
    <s v="石川郡古殿町"/>
    <x v="47"/>
    <x v="2"/>
    <n v="26"/>
    <n v="14.69"/>
    <n v="18"/>
    <n v="13.53"/>
    <n v="8"/>
    <n v="18.18"/>
    <x v="0"/>
  </r>
  <r>
    <x v="0"/>
    <s v="石川郡古殿町"/>
    <x v="47"/>
    <x v="3"/>
    <n v="0"/>
    <n v="0"/>
    <n v="0"/>
    <n v="0"/>
    <n v="0"/>
    <n v="0"/>
    <x v="0"/>
  </r>
  <r>
    <x v="0"/>
    <s v="石川郡古殿町"/>
    <x v="47"/>
    <x v="4"/>
    <n v="0"/>
    <n v="0"/>
    <n v="0"/>
    <n v="0"/>
    <n v="0"/>
    <n v="0"/>
    <x v="0"/>
  </r>
  <r>
    <x v="0"/>
    <s v="石川郡古殿町"/>
    <x v="47"/>
    <x v="5"/>
    <n v="3"/>
    <n v="1.69"/>
    <n v="1"/>
    <n v="0.75"/>
    <n v="2"/>
    <n v="4.55"/>
    <x v="0"/>
  </r>
  <r>
    <x v="0"/>
    <s v="石川郡古殿町"/>
    <x v="47"/>
    <x v="6"/>
    <n v="43"/>
    <n v="24.29"/>
    <n v="35"/>
    <n v="26.32"/>
    <n v="8"/>
    <n v="18.18"/>
    <x v="0"/>
  </r>
  <r>
    <x v="0"/>
    <s v="石川郡古殿町"/>
    <x v="47"/>
    <x v="7"/>
    <n v="1"/>
    <n v="0.56000000000000005"/>
    <n v="0"/>
    <n v="0"/>
    <n v="1"/>
    <n v="2.27"/>
    <x v="0"/>
  </r>
  <r>
    <x v="0"/>
    <s v="石川郡古殿町"/>
    <x v="47"/>
    <x v="8"/>
    <n v="2"/>
    <n v="1.1299999999999999"/>
    <n v="0"/>
    <n v="0"/>
    <n v="2"/>
    <n v="4.55"/>
    <x v="0"/>
  </r>
  <r>
    <x v="0"/>
    <s v="石川郡古殿町"/>
    <x v="47"/>
    <x v="9"/>
    <n v="2"/>
    <n v="1.1299999999999999"/>
    <n v="2"/>
    <n v="1.5"/>
    <n v="0"/>
    <n v="0"/>
    <x v="0"/>
  </r>
  <r>
    <x v="0"/>
    <s v="石川郡古殿町"/>
    <x v="47"/>
    <x v="10"/>
    <n v="14"/>
    <n v="7.91"/>
    <n v="13"/>
    <n v="9.77"/>
    <n v="1"/>
    <n v="2.27"/>
    <x v="0"/>
  </r>
  <r>
    <x v="0"/>
    <s v="石川郡古殿町"/>
    <x v="47"/>
    <x v="11"/>
    <n v="22"/>
    <n v="12.43"/>
    <n v="21"/>
    <n v="15.79"/>
    <n v="1"/>
    <n v="2.27"/>
    <x v="0"/>
  </r>
  <r>
    <x v="0"/>
    <s v="石川郡古殿町"/>
    <x v="47"/>
    <x v="12"/>
    <n v="0"/>
    <n v="0"/>
    <n v="0"/>
    <n v="0"/>
    <n v="0"/>
    <n v="0"/>
    <x v="0"/>
  </r>
  <r>
    <x v="0"/>
    <s v="石川郡古殿町"/>
    <x v="47"/>
    <x v="13"/>
    <n v="3"/>
    <n v="1.69"/>
    <n v="3"/>
    <n v="2.2599999999999998"/>
    <n v="0"/>
    <n v="0"/>
    <x v="0"/>
  </r>
  <r>
    <x v="0"/>
    <s v="石川郡古殿町"/>
    <x v="47"/>
    <x v="14"/>
    <n v="10"/>
    <n v="5.65"/>
    <n v="6"/>
    <n v="4.51"/>
    <n v="4"/>
    <n v="9.09"/>
    <x v="0"/>
  </r>
  <r>
    <x v="0"/>
    <s v="田村郡三春町"/>
    <x v="48"/>
    <x v="0"/>
    <n v="0"/>
    <n v="0"/>
    <n v="0"/>
    <n v="0"/>
    <n v="0"/>
    <n v="0"/>
    <x v="0"/>
  </r>
  <r>
    <x v="0"/>
    <s v="田村郡三春町"/>
    <x v="48"/>
    <x v="1"/>
    <n v="82"/>
    <n v="21.24"/>
    <n v="24"/>
    <n v="11.76"/>
    <n v="58"/>
    <n v="33.33"/>
    <x v="0"/>
  </r>
  <r>
    <x v="0"/>
    <s v="田村郡三春町"/>
    <x v="48"/>
    <x v="2"/>
    <n v="27"/>
    <n v="6.99"/>
    <n v="10"/>
    <n v="4.9000000000000004"/>
    <n v="17"/>
    <n v="9.77"/>
    <x v="0"/>
  </r>
  <r>
    <x v="0"/>
    <s v="田村郡三春町"/>
    <x v="48"/>
    <x v="3"/>
    <n v="0"/>
    <n v="0"/>
    <n v="0"/>
    <n v="0"/>
    <n v="0"/>
    <n v="0"/>
    <x v="0"/>
  </r>
  <r>
    <x v="0"/>
    <s v="田村郡三春町"/>
    <x v="48"/>
    <x v="4"/>
    <n v="2"/>
    <n v="0.52"/>
    <n v="0"/>
    <n v="0"/>
    <n v="2"/>
    <n v="1.1499999999999999"/>
    <x v="0"/>
  </r>
  <r>
    <x v="0"/>
    <s v="田村郡三春町"/>
    <x v="48"/>
    <x v="5"/>
    <n v="4"/>
    <n v="1.04"/>
    <n v="1"/>
    <n v="0.49"/>
    <n v="3"/>
    <n v="1.72"/>
    <x v="0"/>
  </r>
  <r>
    <x v="0"/>
    <s v="田村郡三春町"/>
    <x v="48"/>
    <x v="6"/>
    <n v="96"/>
    <n v="24.87"/>
    <n v="50"/>
    <n v="24.51"/>
    <n v="45"/>
    <n v="25.86"/>
    <x v="1"/>
  </r>
  <r>
    <x v="0"/>
    <s v="田村郡三春町"/>
    <x v="48"/>
    <x v="7"/>
    <n v="1"/>
    <n v="0.26"/>
    <n v="0"/>
    <n v="0"/>
    <n v="1"/>
    <n v="0.56999999999999995"/>
    <x v="0"/>
  </r>
  <r>
    <x v="0"/>
    <s v="田村郡三春町"/>
    <x v="48"/>
    <x v="8"/>
    <n v="20"/>
    <n v="5.18"/>
    <n v="11"/>
    <n v="5.39"/>
    <n v="9"/>
    <n v="5.17"/>
    <x v="0"/>
  </r>
  <r>
    <x v="0"/>
    <s v="田村郡三春町"/>
    <x v="48"/>
    <x v="9"/>
    <n v="19"/>
    <n v="4.92"/>
    <n v="9"/>
    <n v="4.41"/>
    <n v="10"/>
    <n v="5.75"/>
    <x v="0"/>
  </r>
  <r>
    <x v="0"/>
    <s v="田村郡三春町"/>
    <x v="48"/>
    <x v="10"/>
    <n v="46"/>
    <n v="11.92"/>
    <n v="33"/>
    <n v="16.18"/>
    <n v="13"/>
    <n v="7.47"/>
    <x v="0"/>
  </r>
  <r>
    <x v="0"/>
    <s v="田村郡三春町"/>
    <x v="48"/>
    <x v="11"/>
    <n v="47"/>
    <n v="12.18"/>
    <n v="41"/>
    <n v="20.100000000000001"/>
    <n v="5"/>
    <n v="2.87"/>
    <x v="0"/>
  </r>
  <r>
    <x v="0"/>
    <s v="田村郡三春町"/>
    <x v="48"/>
    <x v="12"/>
    <n v="5"/>
    <n v="1.3"/>
    <n v="4"/>
    <n v="1.96"/>
    <n v="1"/>
    <n v="0.56999999999999995"/>
    <x v="0"/>
  </r>
  <r>
    <x v="0"/>
    <s v="田村郡三春町"/>
    <x v="48"/>
    <x v="13"/>
    <n v="24"/>
    <n v="6.22"/>
    <n v="16"/>
    <n v="7.84"/>
    <n v="3"/>
    <n v="1.72"/>
    <x v="0"/>
  </r>
  <r>
    <x v="0"/>
    <s v="田村郡三春町"/>
    <x v="48"/>
    <x v="14"/>
    <n v="13"/>
    <n v="3.37"/>
    <n v="5"/>
    <n v="2.4500000000000002"/>
    <n v="7"/>
    <n v="4.0199999999999996"/>
    <x v="0"/>
  </r>
  <r>
    <x v="0"/>
    <s v="田村郡小野町"/>
    <x v="49"/>
    <x v="0"/>
    <n v="0"/>
    <n v="0"/>
    <n v="0"/>
    <n v="0"/>
    <n v="0"/>
    <n v="0"/>
    <x v="0"/>
  </r>
  <r>
    <x v="0"/>
    <s v="田村郡小野町"/>
    <x v="49"/>
    <x v="1"/>
    <n v="53"/>
    <n v="17.79"/>
    <n v="28"/>
    <n v="15.3"/>
    <n v="25"/>
    <n v="22.94"/>
    <x v="0"/>
  </r>
  <r>
    <x v="0"/>
    <s v="田村郡小野町"/>
    <x v="49"/>
    <x v="2"/>
    <n v="32"/>
    <n v="10.74"/>
    <n v="14"/>
    <n v="7.65"/>
    <n v="18"/>
    <n v="16.510000000000002"/>
    <x v="0"/>
  </r>
  <r>
    <x v="0"/>
    <s v="田村郡小野町"/>
    <x v="49"/>
    <x v="3"/>
    <n v="1"/>
    <n v="0.34"/>
    <n v="0"/>
    <n v="0"/>
    <n v="0"/>
    <n v="0"/>
    <x v="0"/>
  </r>
  <r>
    <x v="0"/>
    <s v="田村郡小野町"/>
    <x v="49"/>
    <x v="4"/>
    <n v="0"/>
    <n v="0"/>
    <n v="0"/>
    <n v="0"/>
    <n v="0"/>
    <n v="0"/>
    <x v="0"/>
  </r>
  <r>
    <x v="0"/>
    <s v="田村郡小野町"/>
    <x v="49"/>
    <x v="5"/>
    <n v="2"/>
    <n v="0.67"/>
    <n v="0"/>
    <n v="0"/>
    <n v="2"/>
    <n v="1.83"/>
    <x v="0"/>
  </r>
  <r>
    <x v="0"/>
    <s v="田村郡小野町"/>
    <x v="49"/>
    <x v="6"/>
    <n v="84"/>
    <n v="28.19"/>
    <n v="51"/>
    <n v="27.87"/>
    <n v="31"/>
    <n v="28.44"/>
    <x v="2"/>
  </r>
  <r>
    <x v="0"/>
    <s v="田村郡小野町"/>
    <x v="49"/>
    <x v="7"/>
    <n v="1"/>
    <n v="0.34"/>
    <n v="0"/>
    <n v="0"/>
    <n v="1"/>
    <n v="0.92"/>
    <x v="0"/>
  </r>
  <r>
    <x v="0"/>
    <s v="田村郡小野町"/>
    <x v="49"/>
    <x v="8"/>
    <n v="10"/>
    <n v="3.36"/>
    <n v="4"/>
    <n v="2.19"/>
    <n v="6"/>
    <n v="5.5"/>
    <x v="0"/>
  </r>
  <r>
    <x v="0"/>
    <s v="田村郡小野町"/>
    <x v="49"/>
    <x v="9"/>
    <n v="4"/>
    <n v="1.34"/>
    <n v="2"/>
    <n v="1.0900000000000001"/>
    <n v="2"/>
    <n v="1.83"/>
    <x v="0"/>
  </r>
  <r>
    <x v="0"/>
    <s v="田村郡小野町"/>
    <x v="49"/>
    <x v="10"/>
    <n v="35"/>
    <n v="11.74"/>
    <n v="24"/>
    <n v="13.11"/>
    <n v="11"/>
    <n v="10.09"/>
    <x v="0"/>
  </r>
  <r>
    <x v="0"/>
    <s v="田村郡小野町"/>
    <x v="49"/>
    <x v="11"/>
    <n v="46"/>
    <n v="15.44"/>
    <n v="40"/>
    <n v="21.86"/>
    <n v="5"/>
    <n v="4.59"/>
    <x v="0"/>
  </r>
  <r>
    <x v="0"/>
    <s v="田村郡小野町"/>
    <x v="49"/>
    <x v="12"/>
    <n v="9"/>
    <n v="3.02"/>
    <n v="6"/>
    <n v="3.28"/>
    <n v="1"/>
    <n v="0.92"/>
    <x v="0"/>
  </r>
  <r>
    <x v="0"/>
    <s v="田村郡小野町"/>
    <x v="49"/>
    <x v="13"/>
    <n v="10"/>
    <n v="3.36"/>
    <n v="8"/>
    <n v="4.37"/>
    <n v="2"/>
    <n v="1.83"/>
    <x v="0"/>
  </r>
  <r>
    <x v="0"/>
    <s v="田村郡小野町"/>
    <x v="49"/>
    <x v="14"/>
    <n v="11"/>
    <n v="3.69"/>
    <n v="6"/>
    <n v="3.28"/>
    <n v="5"/>
    <n v="4.59"/>
    <x v="0"/>
  </r>
  <r>
    <x v="0"/>
    <s v="双葉郡広野町"/>
    <x v="50"/>
    <x v="0"/>
    <n v="1"/>
    <n v="0.83"/>
    <n v="0"/>
    <n v="0"/>
    <n v="1"/>
    <n v="1.33"/>
    <x v="0"/>
  </r>
  <r>
    <x v="0"/>
    <s v="双葉郡広野町"/>
    <x v="50"/>
    <x v="1"/>
    <n v="35"/>
    <n v="28.93"/>
    <n v="5"/>
    <n v="11.36"/>
    <n v="30"/>
    <n v="40"/>
    <x v="0"/>
  </r>
  <r>
    <x v="0"/>
    <s v="双葉郡広野町"/>
    <x v="50"/>
    <x v="2"/>
    <n v="9"/>
    <n v="7.44"/>
    <n v="4"/>
    <n v="9.09"/>
    <n v="5"/>
    <n v="6.67"/>
    <x v="0"/>
  </r>
  <r>
    <x v="0"/>
    <s v="双葉郡広野町"/>
    <x v="50"/>
    <x v="3"/>
    <n v="1"/>
    <n v="0.83"/>
    <n v="0"/>
    <n v="0"/>
    <n v="1"/>
    <n v="1.33"/>
    <x v="0"/>
  </r>
  <r>
    <x v="0"/>
    <s v="双葉郡広野町"/>
    <x v="50"/>
    <x v="4"/>
    <n v="0"/>
    <n v="0"/>
    <n v="0"/>
    <n v="0"/>
    <n v="0"/>
    <n v="0"/>
    <x v="0"/>
  </r>
  <r>
    <x v="0"/>
    <s v="双葉郡広野町"/>
    <x v="50"/>
    <x v="5"/>
    <n v="2"/>
    <n v="1.65"/>
    <n v="0"/>
    <n v="0"/>
    <n v="2"/>
    <n v="2.67"/>
    <x v="0"/>
  </r>
  <r>
    <x v="0"/>
    <s v="双葉郡広野町"/>
    <x v="50"/>
    <x v="6"/>
    <n v="24"/>
    <n v="19.829999999999998"/>
    <n v="14"/>
    <n v="31.82"/>
    <n v="9"/>
    <n v="12"/>
    <x v="1"/>
  </r>
  <r>
    <x v="0"/>
    <s v="双葉郡広野町"/>
    <x v="50"/>
    <x v="7"/>
    <n v="0"/>
    <n v="0"/>
    <n v="0"/>
    <n v="0"/>
    <n v="0"/>
    <n v="0"/>
    <x v="0"/>
  </r>
  <r>
    <x v="0"/>
    <s v="双葉郡広野町"/>
    <x v="50"/>
    <x v="8"/>
    <n v="2"/>
    <n v="1.65"/>
    <n v="0"/>
    <n v="0"/>
    <n v="2"/>
    <n v="2.67"/>
    <x v="0"/>
  </r>
  <r>
    <x v="0"/>
    <s v="双葉郡広野町"/>
    <x v="50"/>
    <x v="9"/>
    <n v="2"/>
    <n v="1.65"/>
    <n v="0"/>
    <n v="0"/>
    <n v="2"/>
    <n v="2.67"/>
    <x v="0"/>
  </r>
  <r>
    <x v="0"/>
    <s v="双葉郡広野町"/>
    <x v="50"/>
    <x v="10"/>
    <n v="21"/>
    <n v="17.36"/>
    <n v="9"/>
    <n v="20.45"/>
    <n v="12"/>
    <n v="16"/>
    <x v="0"/>
  </r>
  <r>
    <x v="0"/>
    <s v="双葉郡広野町"/>
    <x v="50"/>
    <x v="11"/>
    <n v="13"/>
    <n v="10.74"/>
    <n v="9"/>
    <n v="20.45"/>
    <n v="4"/>
    <n v="5.33"/>
    <x v="0"/>
  </r>
  <r>
    <x v="0"/>
    <s v="双葉郡広野町"/>
    <x v="50"/>
    <x v="12"/>
    <n v="3"/>
    <n v="2.48"/>
    <n v="2"/>
    <n v="4.55"/>
    <n v="0"/>
    <n v="0"/>
    <x v="0"/>
  </r>
  <r>
    <x v="0"/>
    <s v="双葉郡広野町"/>
    <x v="50"/>
    <x v="13"/>
    <n v="0"/>
    <n v="0"/>
    <n v="0"/>
    <n v="0"/>
    <n v="0"/>
    <n v="0"/>
    <x v="0"/>
  </r>
  <r>
    <x v="0"/>
    <s v="双葉郡広野町"/>
    <x v="50"/>
    <x v="14"/>
    <n v="8"/>
    <n v="6.61"/>
    <n v="1"/>
    <n v="2.27"/>
    <n v="7"/>
    <n v="9.33"/>
    <x v="0"/>
  </r>
  <r>
    <x v="0"/>
    <s v="双葉郡楢葉町"/>
    <x v="51"/>
    <x v="0"/>
    <n v="0"/>
    <n v="0"/>
    <n v="0"/>
    <n v="0"/>
    <n v="0"/>
    <n v="0"/>
    <x v="0"/>
  </r>
  <r>
    <x v="0"/>
    <s v="双葉郡楢葉町"/>
    <x v="51"/>
    <x v="1"/>
    <n v="24"/>
    <n v="23.08"/>
    <n v="6"/>
    <n v="13.64"/>
    <n v="18"/>
    <n v="30.51"/>
    <x v="0"/>
  </r>
  <r>
    <x v="0"/>
    <s v="双葉郡楢葉町"/>
    <x v="51"/>
    <x v="2"/>
    <n v="15"/>
    <n v="14.42"/>
    <n v="5"/>
    <n v="11.36"/>
    <n v="10"/>
    <n v="16.95"/>
    <x v="0"/>
  </r>
  <r>
    <x v="0"/>
    <s v="双葉郡楢葉町"/>
    <x v="51"/>
    <x v="3"/>
    <n v="0"/>
    <n v="0"/>
    <n v="0"/>
    <n v="0"/>
    <n v="0"/>
    <n v="0"/>
    <x v="0"/>
  </r>
  <r>
    <x v="0"/>
    <s v="双葉郡楢葉町"/>
    <x v="51"/>
    <x v="4"/>
    <n v="1"/>
    <n v="0.96"/>
    <n v="0"/>
    <n v="0"/>
    <n v="1"/>
    <n v="1.69"/>
    <x v="0"/>
  </r>
  <r>
    <x v="0"/>
    <s v="双葉郡楢葉町"/>
    <x v="51"/>
    <x v="5"/>
    <n v="0"/>
    <n v="0"/>
    <n v="0"/>
    <n v="0"/>
    <n v="0"/>
    <n v="0"/>
    <x v="0"/>
  </r>
  <r>
    <x v="0"/>
    <s v="双葉郡楢葉町"/>
    <x v="51"/>
    <x v="6"/>
    <n v="26"/>
    <n v="25"/>
    <n v="12"/>
    <n v="27.27"/>
    <n v="14"/>
    <n v="23.73"/>
    <x v="0"/>
  </r>
  <r>
    <x v="0"/>
    <s v="双葉郡楢葉町"/>
    <x v="51"/>
    <x v="7"/>
    <n v="0"/>
    <n v="0"/>
    <n v="0"/>
    <n v="0"/>
    <n v="0"/>
    <n v="0"/>
    <x v="0"/>
  </r>
  <r>
    <x v="0"/>
    <s v="双葉郡楢葉町"/>
    <x v="51"/>
    <x v="8"/>
    <n v="8"/>
    <n v="7.69"/>
    <n v="0"/>
    <n v="0"/>
    <n v="8"/>
    <n v="13.56"/>
    <x v="0"/>
  </r>
  <r>
    <x v="0"/>
    <s v="双葉郡楢葉町"/>
    <x v="51"/>
    <x v="9"/>
    <n v="4"/>
    <n v="3.85"/>
    <n v="1"/>
    <n v="2.27"/>
    <n v="3"/>
    <n v="5.08"/>
    <x v="0"/>
  </r>
  <r>
    <x v="0"/>
    <s v="双葉郡楢葉町"/>
    <x v="51"/>
    <x v="10"/>
    <n v="8"/>
    <n v="7.69"/>
    <n v="7"/>
    <n v="15.91"/>
    <n v="1"/>
    <n v="1.69"/>
    <x v="0"/>
  </r>
  <r>
    <x v="0"/>
    <s v="双葉郡楢葉町"/>
    <x v="51"/>
    <x v="11"/>
    <n v="13"/>
    <n v="12.5"/>
    <n v="12"/>
    <n v="27.27"/>
    <n v="1"/>
    <n v="1.69"/>
    <x v="0"/>
  </r>
  <r>
    <x v="0"/>
    <s v="双葉郡楢葉町"/>
    <x v="51"/>
    <x v="12"/>
    <n v="0"/>
    <n v="0"/>
    <n v="0"/>
    <n v="0"/>
    <n v="0"/>
    <n v="0"/>
    <x v="0"/>
  </r>
  <r>
    <x v="0"/>
    <s v="双葉郡楢葉町"/>
    <x v="51"/>
    <x v="13"/>
    <n v="1"/>
    <n v="0.96"/>
    <n v="1"/>
    <n v="2.27"/>
    <n v="0"/>
    <n v="0"/>
    <x v="0"/>
  </r>
  <r>
    <x v="0"/>
    <s v="双葉郡楢葉町"/>
    <x v="51"/>
    <x v="14"/>
    <n v="4"/>
    <n v="3.85"/>
    <n v="0"/>
    <n v="0"/>
    <n v="3"/>
    <n v="5.08"/>
    <x v="0"/>
  </r>
  <r>
    <x v="0"/>
    <s v="双葉郡富岡町"/>
    <x v="52"/>
    <x v="0"/>
    <n v="0"/>
    <n v="0"/>
    <n v="0"/>
    <n v="0"/>
    <n v="0"/>
    <n v="0"/>
    <x v="0"/>
  </r>
  <r>
    <x v="0"/>
    <s v="双葉郡富岡町"/>
    <x v="52"/>
    <x v="1"/>
    <n v="26"/>
    <n v="39.39"/>
    <n v="1"/>
    <n v="14.29"/>
    <n v="24"/>
    <n v="42.11"/>
    <x v="1"/>
  </r>
  <r>
    <x v="0"/>
    <s v="双葉郡富岡町"/>
    <x v="52"/>
    <x v="2"/>
    <n v="3"/>
    <n v="4.55"/>
    <n v="0"/>
    <n v="0"/>
    <n v="3"/>
    <n v="5.26"/>
    <x v="0"/>
  </r>
  <r>
    <x v="0"/>
    <s v="双葉郡富岡町"/>
    <x v="52"/>
    <x v="3"/>
    <n v="1"/>
    <n v="1.52"/>
    <n v="0"/>
    <n v="0"/>
    <n v="1"/>
    <n v="1.75"/>
    <x v="0"/>
  </r>
  <r>
    <x v="0"/>
    <s v="双葉郡富岡町"/>
    <x v="52"/>
    <x v="4"/>
    <n v="2"/>
    <n v="3.03"/>
    <n v="0"/>
    <n v="0"/>
    <n v="2"/>
    <n v="3.51"/>
    <x v="0"/>
  </r>
  <r>
    <x v="0"/>
    <s v="双葉郡富岡町"/>
    <x v="52"/>
    <x v="5"/>
    <n v="2"/>
    <n v="3.03"/>
    <n v="0"/>
    <n v="0"/>
    <n v="2"/>
    <n v="3.51"/>
    <x v="0"/>
  </r>
  <r>
    <x v="0"/>
    <s v="双葉郡富岡町"/>
    <x v="52"/>
    <x v="6"/>
    <n v="8"/>
    <n v="12.12"/>
    <n v="0"/>
    <n v="0"/>
    <n v="8"/>
    <n v="14.04"/>
    <x v="0"/>
  </r>
  <r>
    <x v="0"/>
    <s v="双葉郡富岡町"/>
    <x v="52"/>
    <x v="7"/>
    <n v="0"/>
    <n v="0"/>
    <n v="0"/>
    <n v="0"/>
    <n v="0"/>
    <n v="0"/>
    <x v="0"/>
  </r>
  <r>
    <x v="0"/>
    <s v="双葉郡富岡町"/>
    <x v="52"/>
    <x v="8"/>
    <n v="3"/>
    <n v="4.55"/>
    <n v="0"/>
    <n v="0"/>
    <n v="3"/>
    <n v="5.26"/>
    <x v="0"/>
  </r>
  <r>
    <x v="0"/>
    <s v="双葉郡富岡町"/>
    <x v="52"/>
    <x v="9"/>
    <n v="6"/>
    <n v="9.09"/>
    <n v="1"/>
    <n v="14.29"/>
    <n v="5"/>
    <n v="8.77"/>
    <x v="0"/>
  </r>
  <r>
    <x v="0"/>
    <s v="双葉郡富岡町"/>
    <x v="52"/>
    <x v="10"/>
    <n v="3"/>
    <n v="4.55"/>
    <n v="2"/>
    <n v="28.57"/>
    <n v="1"/>
    <n v="1.75"/>
    <x v="0"/>
  </r>
  <r>
    <x v="0"/>
    <s v="双葉郡富岡町"/>
    <x v="52"/>
    <x v="11"/>
    <n v="3"/>
    <n v="4.55"/>
    <n v="1"/>
    <n v="14.29"/>
    <n v="2"/>
    <n v="3.51"/>
    <x v="0"/>
  </r>
  <r>
    <x v="0"/>
    <s v="双葉郡富岡町"/>
    <x v="52"/>
    <x v="12"/>
    <n v="2"/>
    <n v="3.03"/>
    <n v="0"/>
    <n v="0"/>
    <n v="1"/>
    <n v="1.75"/>
    <x v="0"/>
  </r>
  <r>
    <x v="0"/>
    <s v="双葉郡富岡町"/>
    <x v="52"/>
    <x v="13"/>
    <n v="2"/>
    <n v="3.03"/>
    <n v="2"/>
    <n v="28.57"/>
    <n v="0"/>
    <n v="0"/>
    <x v="0"/>
  </r>
  <r>
    <x v="0"/>
    <s v="双葉郡富岡町"/>
    <x v="52"/>
    <x v="14"/>
    <n v="5"/>
    <n v="7.58"/>
    <n v="0"/>
    <n v="0"/>
    <n v="5"/>
    <n v="8.77"/>
    <x v="0"/>
  </r>
  <r>
    <x v="0"/>
    <s v="双葉郡川内村"/>
    <x v="53"/>
    <x v="0"/>
    <n v="0"/>
    <n v="0"/>
    <n v="0"/>
    <n v="0"/>
    <n v="0"/>
    <n v="0"/>
    <x v="0"/>
  </r>
  <r>
    <x v="0"/>
    <s v="双葉郡川内村"/>
    <x v="53"/>
    <x v="1"/>
    <n v="12"/>
    <n v="26.67"/>
    <n v="6"/>
    <n v="25"/>
    <n v="6"/>
    <n v="30"/>
    <x v="0"/>
  </r>
  <r>
    <x v="0"/>
    <s v="双葉郡川内村"/>
    <x v="53"/>
    <x v="2"/>
    <n v="8"/>
    <n v="17.78"/>
    <n v="3"/>
    <n v="12.5"/>
    <n v="5"/>
    <n v="25"/>
    <x v="0"/>
  </r>
  <r>
    <x v="0"/>
    <s v="双葉郡川内村"/>
    <x v="53"/>
    <x v="3"/>
    <n v="0"/>
    <n v="0"/>
    <n v="0"/>
    <n v="0"/>
    <n v="0"/>
    <n v="0"/>
    <x v="0"/>
  </r>
  <r>
    <x v="0"/>
    <s v="双葉郡川内村"/>
    <x v="53"/>
    <x v="4"/>
    <n v="0"/>
    <n v="0"/>
    <n v="0"/>
    <n v="0"/>
    <n v="0"/>
    <n v="0"/>
    <x v="0"/>
  </r>
  <r>
    <x v="0"/>
    <s v="双葉郡川内村"/>
    <x v="53"/>
    <x v="5"/>
    <n v="0"/>
    <n v="0"/>
    <n v="0"/>
    <n v="0"/>
    <n v="0"/>
    <n v="0"/>
    <x v="0"/>
  </r>
  <r>
    <x v="0"/>
    <s v="双葉郡川内村"/>
    <x v="53"/>
    <x v="6"/>
    <n v="14"/>
    <n v="31.11"/>
    <n v="9"/>
    <n v="37.5"/>
    <n v="5"/>
    <n v="25"/>
    <x v="0"/>
  </r>
  <r>
    <x v="0"/>
    <s v="双葉郡川内村"/>
    <x v="53"/>
    <x v="7"/>
    <n v="0"/>
    <n v="0"/>
    <n v="0"/>
    <n v="0"/>
    <n v="0"/>
    <n v="0"/>
    <x v="0"/>
  </r>
  <r>
    <x v="0"/>
    <s v="双葉郡川内村"/>
    <x v="53"/>
    <x v="8"/>
    <n v="0"/>
    <n v="0"/>
    <n v="0"/>
    <n v="0"/>
    <n v="0"/>
    <n v="0"/>
    <x v="0"/>
  </r>
  <r>
    <x v="0"/>
    <s v="双葉郡川内村"/>
    <x v="53"/>
    <x v="9"/>
    <n v="0"/>
    <n v="0"/>
    <n v="0"/>
    <n v="0"/>
    <n v="0"/>
    <n v="0"/>
    <x v="0"/>
  </r>
  <r>
    <x v="0"/>
    <s v="双葉郡川内村"/>
    <x v="53"/>
    <x v="10"/>
    <n v="6"/>
    <n v="13.33"/>
    <n v="5"/>
    <n v="20.83"/>
    <n v="1"/>
    <n v="5"/>
    <x v="0"/>
  </r>
  <r>
    <x v="0"/>
    <s v="双葉郡川内村"/>
    <x v="53"/>
    <x v="11"/>
    <n v="2"/>
    <n v="4.4400000000000004"/>
    <n v="1"/>
    <n v="4.17"/>
    <n v="1"/>
    <n v="5"/>
    <x v="0"/>
  </r>
  <r>
    <x v="0"/>
    <s v="双葉郡川内村"/>
    <x v="53"/>
    <x v="12"/>
    <n v="0"/>
    <n v="0"/>
    <n v="0"/>
    <n v="0"/>
    <n v="0"/>
    <n v="0"/>
    <x v="0"/>
  </r>
  <r>
    <x v="0"/>
    <s v="双葉郡川内村"/>
    <x v="53"/>
    <x v="13"/>
    <n v="1"/>
    <n v="2.2200000000000002"/>
    <n v="0"/>
    <n v="0"/>
    <n v="1"/>
    <n v="5"/>
    <x v="0"/>
  </r>
  <r>
    <x v="0"/>
    <s v="双葉郡川内村"/>
    <x v="53"/>
    <x v="14"/>
    <n v="2"/>
    <n v="4.4400000000000004"/>
    <n v="0"/>
    <n v="0"/>
    <n v="1"/>
    <n v="5"/>
    <x v="1"/>
  </r>
  <r>
    <x v="0"/>
    <s v="双葉郡大熊町"/>
    <x v="54"/>
    <x v="0"/>
    <n v="0"/>
    <n v="0"/>
    <n v="0"/>
    <n v="0"/>
    <n v="0"/>
    <n v="0"/>
    <x v="0"/>
  </r>
  <r>
    <x v="0"/>
    <s v="双葉郡大熊町"/>
    <x v="54"/>
    <x v="1"/>
    <n v="2"/>
    <n v="22.22"/>
    <n v="0"/>
    <n v="0"/>
    <n v="2"/>
    <n v="40"/>
    <x v="0"/>
  </r>
  <r>
    <x v="0"/>
    <s v="双葉郡大熊町"/>
    <x v="54"/>
    <x v="2"/>
    <n v="1"/>
    <n v="11.11"/>
    <n v="0"/>
    <n v="0"/>
    <n v="1"/>
    <n v="20"/>
    <x v="0"/>
  </r>
  <r>
    <x v="0"/>
    <s v="双葉郡大熊町"/>
    <x v="54"/>
    <x v="3"/>
    <n v="0"/>
    <n v="0"/>
    <n v="0"/>
    <n v="0"/>
    <n v="0"/>
    <n v="0"/>
    <x v="0"/>
  </r>
  <r>
    <x v="0"/>
    <s v="双葉郡大熊町"/>
    <x v="54"/>
    <x v="4"/>
    <n v="0"/>
    <n v="0"/>
    <n v="0"/>
    <n v="0"/>
    <n v="0"/>
    <n v="0"/>
    <x v="0"/>
  </r>
  <r>
    <x v="0"/>
    <s v="双葉郡大熊町"/>
    <x v="54"/>
    <x v="5"/>
    <n v="0"/>
    <n v="0"/>
    <n v="0"/>
    <n v="0"/>
    <n v="0"/>
    <n v="0"/>
    <x v="0"/>
  </r>
  <r>
    <x v="0"/>
    <s v="双葉郡大熊町"/>
    <x v="54"/>
    <x v="6"/>
    <n v="3"/>
    <n v="33.33"/>
    <n v="1"/>
    <n v="33.33"/>
    <n v="2"/>
    <n v="40"/>
    <x v="0"/>
  </r>
  <r>
    <x v="0"/>
    <s v="双葉郡大熊町"/>
    <x v="54"/>
    <x v="7"/>
    <n v="0"/>
    <n v="0"/>
    <n v="0"/>
    <n v="0"/>
    <n v="0"/>
    <n v="0"/>
    <x v="0"/>
  </r>
  <r>
    <x v="0"/>
    <s v="双葉郡大熊町"/>
    <x v="54"/>
    <x v="8"/>
    <n v="0"/>
    <n v="0"/>
    <n v="0"/>
    <n v="0"/>
    <n v="0"/>
    <n v="0"/>
    <x v="0"/>
  </r>
  <r>
    <x v="0"/>
    <s v="双葉郡大熊町"/>
    <x v="54"/>
    <x v="9"/>
    <n v="0"/>
    <n v="0"/>
    <n v="0"/>
    <n v="0"/>
    <n v="0"/>
    <n v="0"/>
    <x v="0"/>
  </r>
  <r>
    <x v="0"/>
    <s v="双葉郡大熊町"/>
    <x v="54"/>
    <x v="10"/>
    <n v="2"/>
    <n v="22.22"/>
    <n v="2"/>
    <n v="66.67"/>
    <n v="0"/>
    <n v="0"/>
    <x v="0"/>
  </r>
  <r>
    <x v="0"/>
    <s v="双葉郡大熊町"/>
    <x v="54"/>
    <x v="11"/>
    <n v="0"/>
    <n v="0"/>
    <n v="0"/>
    <n v="0"/>
    <n v="0"/>
    <n v="0"/>
    <x v="0"/>
  </r>
  <r>
    <x v="0"/>
    <s v="双葉郡大熊町"/>
    <x v="54"/>
    <x v="12"/>
    <n v="0"/>
    <n v="0"/>
    <n v="0"/>
    <n v="0"/>
    <n v="0"/>
    <n v="0"/>
    <x v="0"/>
  </r>
  <r>
    <x v="0"/>
    <s v="双葉郡大熊町"/>
    <x v="54"/>
    <x v="13"/>
    <n v="1"/>
    <n v="11.11"/>
    <n v="0"/>
    <n v="0"/>
    <n v="0"/>
    <n v="0"/>
    <x v="0"/>
  </r>
  <r>
    <x v="0"/>
    <s v="双葉郡大熊町"/>
    <x v="54"/>
    <x v="14"/>
    <n v="0"/>
    <n v="0"/>
    <n v="0"/>
    <n v="0"/>
    <n v="0"/>
    <n v="0"/>
    <x v="0"/>
  </r>
  <r>
    <x v="0"/>
    <s v="双葉郡双葉町"/>
    <x v="55"/>
    <x v="0"/>
    <n v="0"/>
    <n v="0"/>
    <n v="0"/>
    <m/>
    <n v="0"/>
    <n v="0"/>
    <x v="0"/>
  </r>
  <r>
    <x v="0"/>
    <s v="双葉郡双葉町"/>
    <x v="55"/>
    <x v="1"/>
    <n v="2"/>
    <n v="66.67"/>
    <n v="0"/>
    <m/>
    <n v="2"/>
    <n v="66.67"/>
    <x v="0"/>
  </r>
  <r>
    <x v="0"/>
    <s v="双葉郡双葉町"/>
    <x v="55"/>
    <x v="2"/>
    <n v="1"/>
    <n v="33.33"/>
    <n v="0"/>
    <m/>
    <n v="1"/>
    <n v="33.33"/>
    <x v="0"/>
  </r>
  <r>
    <x v="0"/>
    <s v="双葉郡双葉町"/>
    <x v="55"/>
    <x v="3"/>
    <n v="0"/>
    <n v="0"/>
    <n v="0"/>
    <m/>
    <n v="0"/>
    <n v="0"/>
    <x v="0"/>
  </r>
  <r>
    <x v="0"/>
    <s v="双葉郡双葉町"/>
    <x v="55"/>
    <x v="4"/>
    <n v="0"/>
    <n v="0"/>
    <n v="0"/>
    <m/>
    <n v="0"/>
    <n v="0"/>
    <x v="0"/>
  </r>
  <r>
    <x v="0"/>
    <s v="双葉郡双葉町"/>
    <x v="55"/>
    <x v="5"/>
    <n v="0"/>
    <n v="0"/>
    <n v="0"/>
    <m/>
    <n v="0"/>
    <n v="0"/>
    <x v="0"/>
  </r>
  <r>
    <x v="0"/>
    <s v="双葉郡双葉町"/>
    <x v="55"/>
    <x v="6"/>
    <n v="0"/>
    <n v="0"/>
    <n v="0"/>
    <m/>
    <n v="0"/>
    <n v="0"/>
    <x v="0"/>
  </r>
  <r>
    <x v="0"/>
    <s v="双葉郡双葉町"/>
    <x v="55"/>
    <x v="7"/>
    <n v="0"/>
    <n v="0"/>
    <n v="0"/>
    <m/>
    <n v="0"/>
    <n v="0"/>
    <x v="0"/>
  </r>
  <r>
    <x v="0"/>
    <s v="双葉郡双葉町"/>
    <x v="55"/>
    <x v="8"/>
    <n v="0"/>
    <n v="0"/>
    <n v="0"/>
    <m/>
    <n v="0"/>
    <n v="0"/>
    <x v="0"/>
  </r>
  <r>
    <x v="0"/>
    <s v="双葉郡双葉町"/>
    <x v="55"/>
    <x v="9"/>
    <n v="0"/>
    <n v="0"/>
    <n v="0"/>
    <m/>
    <n v="0"/>
    <n v="0"/>
    <x v="0"/>
  </r>
  <r>
    <x v="0"/>
    <s v="双葉郡双葉町"/>
    <x v="55"/>
    <x v="10"/>
    <n v="0"/>
    <n v="0"/>
    <n v="0"/>
    <m/>
    <n v="0"/>
    <n v="0"/>
    <x v="0"/>
  </r>
  <r>
    <x v="0"/>
    <s v="双葉郡双葉町"/>
    <x v="55"/>
    <x v="11"/>
    <n v="0"/>
    <n v="0"/>
    <n v="0"/>
    <m/>
    <n v="0"/>
    <n v="0"/>
    <x v="0"/>
  </r>
  <r>
    <x v="0"/>
    <s v="双葉郡双葉町"/>
    <x v="55"/>
    <x v="12"/>
    <n v="0"/>
    <n v="0"/>
    <n v="0"/>
    <m/>
    <n v="0"/>
    <n v="0"/>
    <x v="0"/>
  </r>
  <r>
    <x v="0"/>
    <s v="双葉郡双葉町"/>
    <x v="55"/>
    <x v="13"/>
    <n v="0"/>
    <n v="0"/>
    <n v="0"/>
    <m/>
    <n v="0"/>
    <n v="0"/>
    <x v="0"/>
  </r>
  <r>
    <x v="0"/>
    <s v="双葉郡双葉町"/>
    <x v="55"/>
    <x v="14"/>
    <n v="0"/>
    <n v="0"/>
    <n v="0"/>
    <m/>
    <n v="0"/>
    <n v="0"/>
    <x v="0"/>
  </r>
  <r>
    <x v="0"/>
    <s v="双葉郡浪江町"/>
    <x v="56"/>
    <x v="0"/>
    <n v="0"/>
    <n v="0"/>
    <n v="0"/>
    <n v="0"/>
    <n v="0"/>
    <n v="0"/>
    <x v="0"/>
  </r>
  <r>
    <x v="0"/>
    <s v="双葉郡浪江町"/>
    <x v="56"/>
    <x v="1"/>
    <n v="14"/>
    <n v="31.11"/>
    <n v="1"/>
    <n v="7.14"/>
    <n v="13"/>
    <n v="41.94"/>
    <x v="0"/>
  </r>
  <r>
    <x v="0"/>
    <s v="双葉郡浪江町"/>
    <x v="56"/>
    <x v="2"/>
    <n v="5"/>
    <n v="11.11"/>
    <n v="0"/>
    <n v="0"/>
    <n v="5"/>
    <n v="16.13"/>
    <x v="0"/>
  </r>
  <r>
    <x v="0"/>
    <s v="双葉郡浪江町"/>
    <x v="56"/>
    <x v="3"/>
    <n v="0"/>
    <n v="0"/>
    <n v="0"/>
    <n v="0"/>
    <n v="0"/>
    <n v="0"/>
    <x v="0"/>
  </r>
  <r>
    <x v="0"/>
    <s v="双葉郡浪江町"/>
    <x v="56"/>
    <x v="4"/>
    <n v="2"/>
    <n v="4.4400000000000004"/>
    <n v="0"/>
    <n v="0"/>
    <n v="2"/>
    <n v="6.45"/>
    <x v="0"/>
  </r>
  <r>
    <x v="0"/>
    <s v="双葉郡浪江町"/>
    <x v="56"/>
    <x v="5"/>
    <n v="0"/>
    <n v="0"/>
    <n v="0"/>
    <n v="0"/>
    <n v="0"/>
    <n v="0"/>
    <x v="0"/>
  </r>
  <r>
    <x v="0"/>
    <s v="双葉郡浪江町"/>
    <x v="56"/>
    <x v="6"/>
    <n v="7"/>
    <n v="15.56"/>
    <n v="4"/>
    <n v="28.57"/>
    <n v="3"/>
    <n v="9.68"/>
    <x v="0"/>
  </r>
  <r>
    <x v="0"/>
    <s v="双葉郡浪江町"/>
    <x v="56"/>
    <x v="7"/>
    <n v="0"/>
    <n v="0"/>
    <n v="0"/>
    <n v="0"/>
    <n v="0"/>
    <n v="0"/>
    <x v="0"/>
  </r>
  <r>
    <x v="0"/>
    <s v="双葉郡浪江町"/>
    <x v="56"/>
    <x v="8"/>
    <n v="1"/>
    <n v="2.2200000000000002"/>
    <n v="0"/>
    <n v="0"/>
    <n v="1"/>
    <n v="3.23"/>
    <x v="0"/>
  </r>
  <r>
    <x v="0"/>
    <s v="双葉郡浪江町"/>
    <x v="56"/>
    <x v="9"/>
    <n v="1"/>
    <n v="2.2200000000000002"/>
    <n v="0"/>
    <n v="0"/>
    <n v="1"/>
    <n v="3.23"/>
    <x v="0"/>
  </r>
  <r>
    <x v="0"/>
    <s v="双葉郡浪江町"/>
    <x v="56"/>
    <x v="10"/>
    <n v="8"/>
    <n v="17.78"/>
    <n v="6"/>
    <n v="42.86"/>
    <n v="2"/>
    <n v="6.45"/>
    <x v="0"/>
  </r>
  <r>
    <x v="0"/>
    <s v="双葉郡浪江町"/>
    <x v="56"/>
    <x v="11"/>
    <n v="1"/>
    <n v="2.2200000000000002"/>
    <n v="0"/>
    <n v="0"/>
    <n v="1"/>
    <n v="3.23"/>
    <x v="0"/>
  </r>
  <r>
    <x v="0"/>
    <s v="双葉郡浪江町"/>
    <x v="56"/>
    <x v="12"/>
    <n v="0"/>
    <n v="0"/>
    <n v="0"/>
    <n v="0"/>
    <n v="0"/>
    <n v="0"/>
    <x v="0"/>
  </r>
  <r>
    <x v="0"/>
    <s v="双葉郡浪江町"/>
    <x v="56"/>
    <x v="13"/>
    <n v="1"/>
    <n v="2.2200000000000002"/>
    <n v="1"/>
    <n v="7.14"/>
    <n v="0"/>
    <n v="0"/>
    <x v="0"/>
  </r>
  <r>
    <x v="0"/>
    <s v="双葉郡浪江町"/>
    <x v="56"/>
    <x v="14"/>
    <n v="5"/>
    <n v="11.11"/>
    <n v="2"/>
    <n v="14.29"/>
    <n v="3"/>
    <n v="9.68"/>
    <x v="0"/>
  </r>
  <r>
    <x v="0"/>
    <s v="双葉郡葛尾村"/>
    <x v="57"/>
    <x v="0"/>
    <n v="0"/>
    <n v="0"/>
    <n v="0"/>
    <n v="0"/>
    <n v="0"/>
    <n v="0"/>
    <x v="0"/>
  </r>
  <r>
    <x v="0"/>
    <s v="双葉郡葛尾村"/>
    <x v="57"/>
    <x v="1"/>
    <n v="4"/>
    <n v="33.33"/>
    <n v="0"/>
    <n v="0"/>
    <n v="4"/>
    <n v="50"/>
    <x v="0"/>
  </r>
  <r>
    <x v="0"/>
    <s v="双葉郡葛尾村"/>
    <x v="57"/>
    <x v="2"/>
    <n v="2"/>
    <n v="16.670000000000002"/>
    <n v="0"/>
    <n v="0"/>
    <n v="2"/>
    <n v="25"/>
    <x v="0"/>
  </r>
  <r>
    <x v="0"/>
    <s v="双葉郡葛尾村"/>
    <x v="57"/>
    <x v="3"/>
    <n v="0"/>
    <n v="0"/>
    <n v="0"/>
    <n v="0"/>
    <n v="0"/>
    <n v="0"/>
    <x v="0"/>
  </r>
  <r>
    <x v="0"/>
    <s v="双葉郡葛尾村"/>
    <x v="57"/>
    <x v="4"/>
    <n v="0"/>
    <n v="0"/>
    <n v="0"/>
    <n v="0"/>
    <n v="0"/>
    <n v="0"/>
    <x v="0"/>
  </r>
  <r>
    <x v="0"/>
    <s v="双葉郡葛尾村"/>
    <x v="57"/>
    <x v="5"/>
    <n v="0"/>
    <n v="0"/>
    <n v="0"/>
    <n v="0"/>
    <n v="0"/>
    <n v="0"/>
    <x v="0"/>
  </r>
  <r>
    <x v="0"/>
    <s v="双葉郡葛尾村"/>
    <x v="57"/>
    <x v="6"/>
    <n v="3"/>
    <n v="25"/>
    <n v="2"/>
    <n v="66.67"/>
    <n v="1"/>
    <n v="12.5"/>
    <x v="0"/>
  </r>
  <r>
    <x v="0"/>
    <s v="双葉郡葛尾村"/>
    <x v="57"/>
    <x v="7"/>
    <n v="0"/>
    <n v="0"/>
    <n v="0"/>
    <n v="0"/>
    <n v="0"/>
    <n v="0"/>
    <x v="0"/>
  </r>
  <r>
    <x v="0"/>
    <s v="双葉郡葛尾村"/>
    <x v="57"/>
    <x v="8"/>
    <n v="0"/>
    <n v="0"/>
    <n v="0"/>
    <n v="0"/>
    <n v="0"/>
    <n v="0"/>
    <x v="0"/>
  </r>
  <r>
    <x v="0"/>
    <s v="双葉郡葛尾村"/>
    <x v="57"/>
    <x v="9"/>
    <n v="1"/>
    <n v="8.33"/>
    <n v="0"/>
    <n v="0"/>
    <n v="1"/>
    <n v="12.5"/>
    <x v="0"/>
  </r>
  <r>
    <x v="0"/>
    <s v="双葉郡葛尾村"/>
    <x v="57"/>
    <x v="10"/>
    <n v="0"/>
    <n v="0"/>
    <n v="0"/>
    <n v="0"/>
    <n v="0"/>
    <n v="0"/>
    <x v="0"/>
  </r>
  <r>
    <x v="0"/>
    <s v="双葉郡葛尾村"/>
    <x v="57"/>
    <x v="11"/>
    <n v="0"/>
    <n v="0"/>
    <n v="0"/>
    <n v="0"/>
    <n v="0"/>
    <n v="0"/>
    <x v="0"/>
  </r>
  <r>
    <x v="0"/>
    <s v="双葉郡葛尾村"/>
    <x v="57"/>
    <x v="12"/>
    <n v="1"/>
    <n v="8.33"/>
    <n v="0"/>
    <n v="0"/>
    <n v="0"/>
    <n v="0"/>
    <x v="0"/>
  </r>
  <r>
    <x v="0"/>
    <s v="双葉郡葛尾村"/>
    <x v="57"/>
    <x v="13"/>
    <n v="1"/>
    <n v="8.33"/>
    <n v="1"/>
    <n v="33.33"/>
    <n v="0"/>
    <n v="0"/>
    <x v="0"/>
  </r>
  <r>
    <x v="0"/>
    <s v="双葉郡葛尾村"/>
    <x v="57"/>
    <x v="14"/>
    <n v="0"/>
    <n v="0"/>
    <n v="0"/>
    <n v="0"/>
    <n v="0"/>
    <n v="0"/>
    <x v="0"/>
  </r>
  <r>
    <x v="0"/>
    <s v="相馬郡新地町"/>
    <x v="58"/>
    <x v="0"/>
    <n v="0"/>
    <n v="0"/>
    <n v="0"/>
    <n v="0"/>
    <n v="0"/>
    <n v="0"/>
    <x v="0"/>
  </r>
  <r>
    <x v="0"/>
    <s v="相馬郡新地町"/>
    <x v="58"/>
    <x v="1"/>
    <n v="43"/>
    <n v="23.12"/>
    <n v="10"/>
    <n v="10.64"/>
    <n v="33"/>
    <n v="38.82"/>
    <x v="0"/>
  </r>
  <r>
    <x v="0"/>
    <s v="相馬郡新地町"/>
    <x v="58"/>
    <x v="2"/>
    <n v="26"/>
    <n v="13.98"/>
    <n v="9"/>
    <n v="9.57"/>
    <n v="17"/>
    <n v="20"/>
    <x v="0"/>
  </r>
  <r>
    <x v="0"/>
    <s v="相馬郡新地町"/>
    <x v="58"/>
    <x v="3"/>
    <n v="3"/>
    <n v="1.61"/>
    <n v="0"/>
    <n v="0"/>
    <n v="2"/>
    <n v="2.35"/>
    <x v="0"/>
  </r>
  <r>
    <x v="0"/>
    <s v="相馬郡新地町"/>
    <x v="58"/>
    <x v="4"/>
    <n v="1"/>
    <n v="0.54"/>
    <n v="1"/>
    <n v="1.06"/>
    <n v="0"/>
    <n v="0"/>
    <x v="0"/>
  </r>
  <r>
    <x v="0"/>
    <s v="相馬郡新地町"/>
    <x v="58"/>
    <x v="5"/>
    <n v="4"/>
    <n v="2.15"/>
    <n v="0"/>
    <n v="0"/>
    <n v="3"/>
    <n v="3.53"/>
    <x v="1"/>
  </r>
  <r>
    <x v="0"/>
    <s v="相馬郡新地町"/>
    <x v="58"/>
    <x v="6"/>
    <n v="35"/>
    <n v="18.82"/>
    <n v="21"/>
    <n v="22.34"/>
    <n v="14"/>
    <n v="16.47"/>
    <x v="0"/>
  </r>
  <r>
    <x v="0"/>
    <s v="相馬郡新地町"/>
    <x v="58"/>
    <x v="7"/>
    <n v="0"/>
    <n v="0"/>
    <n v="0"/>
    <n v="0"/>
    <n v="0"/>
    <n v="0"/>
    <x v="0"/>
  </r>
  <r>
    <x v="0"/>
    <s v="相馬郡新地町"/>
    <x v="58"/>
    <x v="8"/>
    <n v="1"/>
    <n v="0.54"/>
    <n v="0"/>
    <n v="0"/>
    <n v="1"/>
    <n v="1.18"/>
    <x v="0"/>
  </r>
  <r>
    <x v="0"/>
    <s v="相馬郡新地町"/>
    <x v="58"/>
    <x v="9"/>
    <n v="6"/>
    <n v="3.23"/>
    <n v="3"/>
    <n v="3.19"/>
    <n v="3"/>
    <n v="3.53"/>
    <x v="0"/>
  </r>
  <r>
    <x v="0"/>
    <s v="相馬郡新地町"/>
    <x v="58"/>
    <x v="10"/>
    <n v="16"/>
    <n v="8.6"/>
    <n v="13"/>
    <n v="13.83"/>
    <n v="3"/>
    <n v="3.53"/>
    <x v="0"/>
  </r>
  <r>
    <x v="0"/>
    <s v="相馬郡新地町"/>
    <x v="58"/>
    <x v="11"/>
    <n v="27"/>
    <n v="14.52"/>
    <n v="24"/>
    <n v="25.53"/>
    <n v="2"/>
    <n v="2.35"/>
    <x v="0"/>
  </r>
  <r>
    <x v="0"/>
    <s v="相馬郡新地町"/>
    <x v="58"/>
    <x v="12"/>
    <n v="5"/>
    <n v="2.69"/>
    <n v="3"/>
    <n v="3.19"/>
    <n v="0"/>
    <n v="0"/>
    <x v="0"/>
  </r>
  <r>
    <x v="0"/>
    <s v="相馬郡新地町"/>
    <x v="58"/>
    <x v="13"/>
    <n v="9"/>
    <n v="4.84"/>
    <n v="5"/>
    <n v="5.32"/>
    <n v="3"/>
    <n v="3.53"/>
    <x v="0"/>
  </r>
  <r>
    <x v="0"/>
    <s v="相馬郡新地町"/>
    <x v="58"/>
    <x v="14"/>
    <n v="10"/>
    <n v="5.38"/>
    <n v="5"/>
    <n v="5.32"/>
    <n v="4"/>
    <n v="4.71"/>
    <x v="0"/>
  </r>
  <r>
    <x v="0"/>
    <s v="相馬郡飯舘村"/>
    <x v="59"/>
    <x v="0"/>
    <n v="0"/>
    <n v="0"/>
    <n v="0"/>
    <n v="0"/>
    <n v="0"/>
    <n v="0"/>
    <x v="0"/>
  </r>
  <r>
    <x v="0"/>
    <s v="相馬郡飯舘村"/>
    <x v="59"/>
    <x v="1"/>
    <n v="13"/>
    <n v="43.33"/>
    <n v="7"/>
    <n v="53.85"/>
    <n v="6"/>
    <n v="37.5"/>
    <x v="0"/>
  </r>
  <r>
    <x v="0"/>
    <s v="相馬郡飯舘村"/>
    <x v="59"/>
    <x v="2"/>
    <n v="5"/>
    <n v="16.670000000000002"/>
    <n v="1"/>
    <n v="7.69"/>
    <n v="4"/>
    <n v="25"/>
    <x v="0"/>
  </r>
  <r>
    <x v="0"/>
    <s v="相馬郡飯舘村"/>
    <x v="59"/>
    <x v="3"/>
    <n v="0"/>
    <n v="0"/>
    <n v="0"/>
    <n v="0"/>
    <n v="0"/>
    <n v="0"/>
    <x v="0"/>
  </r>
  <r>
    <x v="0"/>
    <s v="相馬郡飯舘村"/>
    <x v="59"/>
    <x v="4"/>
    <n v="0"/>
    <n v="0"/>
    <n v="0"/>
    <n v="0"/>
    <n v="0"/>
    <n v="0"/>
    <x v="0"/>
  </r>
  <r>
    <x v="0"/>
    <s v="相馬郡飯舘村"/>
    <x v="59"/>
    <x v="5"/>
    <n v="0"/>
    <n v="0"/>
    <n v="0"/>
    <n v="0"/>
    <n v="0"/>
    <n v="0"/>
    <x v="0"/>
  </r>
  <r>
    <x v="0"/>
    <s v="相馬郡飯舘村"/>
    <x v="59"/>
    <x v="6"/>
    <n v="7"/>
    <n v="23.33"/>
    <n v="2"/>
    <n v="15.38"/>
    <n v="5"/>
    <n v="31.25"/>
    <x v="0"/>
  </r>
  <r>
    <x v="0"/>
    <s v="相馬郡飯舘村"/>
    <x v="59"/>
    <x v="7"/>
    <n v="0"/>
    <n v="0"/>
    <n v="0"/>
    <n v="0"/>
    <n v="0"/>
    <n v="0"/>
    <x v="0"/>
  </r>
  <r>
    <x v="0"/>
    <s v="相馬郡飯舘村"/>
    <x v="59"/>
    <x v="8"/>
    <n v="0"/>
    <n v="0"/>
    <n v="0"/>
    <n v="0"/>
    <n v="0"/>
    <n v="0"/>
    <x v="0"/>
  </r>
  <r>
    <x v="0"/>
    <s v="相馬郡飯舘村"/>
    <x v="59"/>
    <x v="9"/>
    <n v="0"/>
    <n v="0"/>
    <n v="0"/>
    <n v="0"/>
    <n v="0"/>
    <n v="0"/>
    <x v="0"/>
  </r>
  <r>
    <x v="0"/>
    <s v="相馬郡飯舘村"/>
    <x v="59"/>
    <x v="10"/>
    <n v="0"/>
    <n v="0"/>
    <n v="0"/>
    <n v="0"/>
    <n v="0"/>
    <n v="0"/>
    <x v="0"/>
  </r>
  <r>
    <x v="0"/>
    <s v="相馬郡飯舘村"/>
    <x v="59"/>
    <x v="11"/>
    <n v="1"/>
    <n v="3.33"/>
    <n v="1"/>
    <n v="7.69"/>
    <n v="0"/>
    <n v="0"/>
    <x v="0"/>
  </r>
  <r>
    <x v="0"/>
    <s v="相馬郡飯舘村"/>
    <x v="59"/>
    <x v="12"/>
    <n v="0"/>
    <n v="0"/>
    <n v="0"/>
    <n v="0"/>
    <n v="0"/>
    <n v="0"/>
    <x v="0"/>
  </r>
  <r>
    <x v="0"/>
    <s v="相馬郡飯舘村"/>
    <x v="59"/>
    <x v="13"/>
    <n v="2"/>
    <n v="6.67"/>
    <n v="1"/>
    <n v="7.69"/>
    <n v="0"/>
    <n v="0"/>
    <x v="0"/>
  </r>
  <r>
    <x v="0"/>
    <s v="相馬郡飯舘村"/>
    <x v="59"/>
    <x v="14"/>
    <n v="2"/>
    <n v="6.67"/>
    <n v="1"/>
    <n v="7.69"/>
    <n v="1"/>
    <n v="6.2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5"/>
    <x v="0"/>
  </r>
  <r>
    <x v="0"/>
    <x v="0"/>
    <x v="0"/>
    <x v="8"/>
    <x v="8"/>
    <x v="8"/>
    <x v="8"/>
    <x v="8"/>
    <x v="8"/>
    <x v="8"/>
    <x v="8"/>
    <x v="8"/>
    <x v="7"/>
    <x v="6"/>
  </r>
  <r>
    <x v="0"/>
    <x v="0"/>
    <x v="0"/>
    <x v="9"/>
    <x v="9"/>
    <x v="9"/>
    <x v="9"/>
    <x v="9"/>
    <x v="9"/>
    <x v="9"/>
    <x v="9"/>
    <x v="9"/>
    <x v="8"/>
    <x v="0"/>
  </r>
  <r>
    <x v="0"/>
    <x v="0"/>
    <x v="0"/>
    <x v="10"/>
    <x v="10"/>
    <x v="10"/>
    <x v="10"/>
    <x v="10"/>
    <x v="10"/>
    <x v="10"/>
    <x v="10"/>
    <x v="10"/>
    <x v="9"/>
    <x v="4"/>
  </r>
  <r>
    <x v="0"/>
    <x v="0"/>
    <x v="0"/>
    <x v="11"/>
    <x v="11"/>
    <x v="11"/>
    <x v="11"/>
    <x v="11"/>
    <x v="11"/>
    <x v="11"/>
    <x v="11"/>
    <x v="11"/>
    <x v="10"/>
    <x v="4"/>
  </r>
  <r>
    <x v="0"/>
    <x v="0"/>
    <x v="0"/>
    <x v="12"/>
    <x v="12"/>
    <x v="12"/>
    <x v="12"/>
    <x v="12"/>
    <x v="12"/>
    <x v="12"/>
    <x v="12"/>
    <x v="12"/>
    <x v="11"/>
    <x v="7"/>
  </r>
  <r>
    <x v="0"/>
    <x v="0"/>
    <x v="0"/>
    <x v="13"/>
    <x v="13"/>
    <x v="13"/>
    <x v="13"/>
    <x v="13"/>
    <x v="13"/>
    <x v="13"/>
    <x v="13"/>
    <x v="13"/>
    <x v="12"/>
    <x v="0"/>
  </r>
  <r>
    <x v="0"/>
    <x v="0"/>
    <x v="0"/>
    <x v="14"/>
    <x v="14"/>
    <x v="14"/>
    <x v="14"/>
    <x v="14"/>
    <x v="14"/>
    <x v="14"/>
    <x v="14"/>
    <x v="14"/>
    <x v="13"/>
    <x v="0"/>
  </r>
  <r>
    <x v="0"/>
    <x v="0"/>
    <x v="0"/>
    <x v="15"/>
    <x v="15"/>
    <x v="15"/>
    <x v="15"/>
    <x v="15"/>
    <x v="15"/>
    <x v="15"/>
    <x v="15"/>
    <x v="15"/>
    <x v="14"/>
    <x v="3"/>
  </r>
  <r>
    <x v="0"/>
    <x v="0"/>
    <x v="0"/>
    <x v="16"/>
    <x v="16"/>
    <x v="16"/>
    <x v="16"/>
    <x v="16"/>
    <x v="16"/>
    <x v="16"/>
    <x v="16"/>
    <x v="16"/>
    <x v="15"/>
    <x v="1"/>
  </r>
  <r>
    <x v="0"/>
    <x v="0"/>
    <x v="0"/>
    <x v="17"/>
    <x v="17"/>
    <x v="17"/>
    <x v="17"/>
    <x v="17"/>
    <x v="17"/>
    <x v="17"/>
    <x v="17"/>
    <x v="17"/>
    <x v="16"/>
    <x v="0"/>
  </r>
  <r>
    <x v="0"/>
    <x v="0"/>
    <x v="0"/>
    <x v="18"/>
    <x v="18"/>
    <x v="18"/>
    <x v="18"/>
    <x v="18"/>
    <x v="18"/>
    <x v="18"/>
    <x v="18"/>
    <x v="18"/>
    <x v="17"/>
    <x v="0"/>
  </r>
  <r>
    <x v="0"/>
    <x v="0"/>
    <x v="0"/>
    <x v="19"/>
    <x v="19"/>
    <x v="19"/>
    <x v="19"/>
    <x v="19"/>
    <x v="18"/>
    <x v="19"/>
    <x v="19"/>
    <x v="19"/>
    <x v="18"/>
    <x v="4"/>
  </r>
  <r>
    <x v="0"/>
    <x v="1"/>
    <x v="1"/>
    <x v="3"/>
    <x v="3"/>
    <x v="3"/>
    <x v="0"/>
    <x v="20"/>
    <x v="19"/>
    <x v="20"/>
    <x v="20"/>
    <x v="20"/>
    <x v="19"/>
    <x v="4"/>
  </r>
  <r>
    <x v="0"/>
    <x v="1"/>
    <x v="1"/>
    <x v="0"/>
    <x v="0"/>
    <x v="0"/>
    <x v="1"/>
    <x v="21"/>
    <x v="20"/>
    <x v="21"/>
    <x v="21"/>
    <x v="21"/>
    <x v="20"/>
    <x v="0"/>
  </r>
  <r>
    <x v="0"/>
    <x v="1"/>
    <x v="1"/>
    <x v="1"/>
    <x v="1"/>
    <x v="1"/>
    <x v="2"/>
    <x v="22"/>
    <x v="21"/>
    <x v="22"/>
    <x v="22"/>
    <x v="22"/>
    <x v="21"/>
    <x v="0"/>
  </r>
  <r>
    <x v="0"/>
    <x v="1"/>
    <x v="1"/>
    <x v="2"/>
    <x v="2"/>
    <x v="2"/>
    <x v="3"/>
    <x v="23"/>
    <x v="22"/>
    <x v="23"/>
    <x v="23"/>
    <x v="23"/>
    <x v="22"/>
    <x v="1"/>
  </r>
  <r>
    <x v="0"/>
    <x v="1"/>
    <x v="1"/>
    <x v="4"/>
    <x v="4"/>
    <x v="4"/>
    <x v="4"/>
    <x v="24"/>
    <x v="23"/>
    <x v="24"/>
    <x v="24"/>
    <x v="24"/>
    <x v="23"/>
    <x v="0"/>
  </r>
  <r>
    <x v="0"/>
    <x v="1"/>
    <x v="1"/>
    <x v="6"/>
    <x v="6"/>
    <x v="6"/>
    <x v="5"/>
    <x v="25"/>
    <x v="24"/>
    <x v="25"/>
    <x v="25"/>
    <x v="25"/>
    <x v="24"/>
    <x v="4"/>
  </r>
  <r>
    <x v="0"/>
    <x v="1"/>
    <x v="1"/>
    <x v="5"/>
    <x v="5"/>
    <x v="5"/>
    <x v="6"/>
    <x v="26"/>
    <x v="25"/>
    <x v="26"/>
    <x v="26"/>
    <x v="26"/>
    <x v="25"/>
    <x v="0"/>
  </r>
  <r>
    <x v="0"/>
    <x v="1"/>
    <x v="1"/>
    <x v="10"/>
    <x v="10"/>
    <x v="10"/>
    <x v="7"/>
    <x v="27"/>
    <x v="26"/>
    <x v="27"/>
    <x v="27"/>
    <x v="27"/>
    <x v="26"/>
    <x v="0"/>
  </r>
  <r>
    <x v="0"/>
    <x v="1"/>
    <x v="1"/>
    <x v="7"/>
    <x v="7"/>
    <x v="7"/>
    <x v="8"/>
    <x v="28"/>
    <x v="27"/>
    <x v="28"/>
    <x v="28"/>
    <x v="28"/>
    <x v="27"/>
    <x v="0"/>
  </r>
  <r>
    <x v="0"/>
    <x v="1"/>
    <x v="1"/>
    <x v="9"/>
    <x v="9"/>
    <x v="9"/>
    <x v="9"/>
    <x v="29"/>
    <x v="28"/>
    <x v="29"/>
    <x v="29"/>
    <x v="29"/>
    <x v="28"/>
    <x v="0"/>
  </r>
  <r>
    <x v="0"/>
    <x v="1"/>
    <x v="1"/>
    <x v="8"/>
    <x v="8"/>
    <x v="8"/>
    <x v="10"/>
    <x v="30"/>
    <x v="29"/>
    <x v="30"/>
    <x v="30"/>
    <x v="30"/>
    <x v="29"/>
    <x v="0"/>
  </r>
  <r>
    <x v="0"/>
    <x v="1"/>
    <x v="1"/>
    <x v="13"/>
    <x v="13"/>
    <x v="13"/>
    <x v="11"/>
    <x v="31"/>
    <x v="30"/>
    <x v="31"/>
    <x v="31"/>
    <x v="31"/>
    <x v="30"/>
    <x v="0"/>
  </r>
  <r>
    <x v="0"/>
    <x v="1"/>
    <x v="1"/>
    <x v="12"/>
    <x v="12"/>
    <x v="12"/>
    <x v="12"/>
    <x v="32"/>
    <x v="31"/>
    <x v="32"/>
    <x v="32"/>
    <x v="32"/>
    <x v="31"/>
    <x v="0"/>
  </r>
  <r>
    <x v="0"/>
    <x v="1"/>
    <x v="1"/>
    <x v="11"/>
    <x v="11"/>
    <x v="11"/>
    <x v="13"/>
    <x v="33"/>
    <x v="32"/>
    <x v="24"/>
    <x v="24"/>
    <x v="33"/>
    <x v="32"/>
    <x v="0"/>
  </r>
  <r>
    <x v="0"/>
    <x v="1"/>
    <x v="1"/>
    <x v="15"/>
    <x v="15"/>
    <x v="15"/>
    <x v="14"/>
    <x v="34"/>
    <x v="16"/>
    <x v="33"/>
    <x v="33"/>
    <x v="34"/>
    <x v="33"/>
    <x v="7"/>
  </r>
  <r>
    <x v="0"/>
    <x v="1"/>
    <x v="1"/>
    <x v="14"/>
    <x v="14"/>
    <x v="14"/>
    <x v="15"/>
    <x v="35"/>
    <x v="33"/>
    <x v="34"/>
    <x v="34"/>
    <x v="35"/>
    <x v="34"/>
    <x v="0"/>
  </r>
  <r>
    <x v="0"/>
    <x v="1"/>
    <x v="1"/>
    <x v="19"/>
    <x v="19"/>
    <x v="19"/>
    <x v="16"/>
    <x v="36"/>
    <x v="34"/>
    <x v="35"/>
    <x v="35"/>
    <x v="36"/>
    <x v="35"/>
    <x v="0"/>
  </r>
  <r>
    <x v="0"/>
    <x v="1"/>
    <x v="1"/>
    <x v="20"/>
    <x v="20"/>
    <x v="20"/>
    <x v="17"/>
    <x v="37"/>
    <x v="35"/>
    <x v="36"/>
    <x v="36"/>
    <x v="37"/>
    <x v="36"/>
    <x v="0"/>
  </r>
  <r>
    <x v="0"/>
    <x v="1"/>
    <x v="1"/>
    <x v="21"/>
    <x v="21"/>
    <x v="21"/>
    <x v="17"/>
    <x v="37"/>
    <x v="35"/>
    <x v="37"/>
    <x v="37"/>
    <x v="38"/>
    <x v="37"/>
    <x v="0"/>
  </r>
  <r>
    <x v="0"/>
    <x v="1"/>
    <x v="1"/>
    <x v="18"/>
    <x v="18"/>
    <x v="18"/>
    <x v="19"/>
    <x v="38"/>
    <x v="36"/>
    <x v="38"/>
    <x v="38"/>
    <x v="39"/>
    <x v="17"/>
    <x v="0"/>
  </r>
  <r>
    <x v="0"/>
    <x v="2"/>
    <x v="2"/>
    <x v="1"/>
    <x v="1"/>
    <x v="1"/>
    <x v="0"/>
    <x v="39"/>
    <x v="37"/>
    <x v="39"/>
    <x v="39"/>
    <x v="40"/>
    <x v="38"/>
    <x v="0"/>
  </r>
  <r>
    <x v="0"/>
    <x v="2"/>
    <x v="2"/>
    <x v="0"/>
    <x v="0"/>
    <x v="0"/>
    <x v="1"/>
    <x v="40"/>
    <x v="38"/>
    <x v="40"/>
    <x v="40"/>
    <x v="41"/>
    <x v="39"/>
    <x v="0"/>
  </r>
  <r>
    <x v="0"/>
    <x v="2"/>
    <x v="2"/>
    <x v="2"/>
    <x v="2"/>
    <x v="2"/>
    <x v="2"/>
    <x v="41"/>
    <x v="39"/>
    <x v="41"/>
    <x v="41"/>
    <x v="42"/>
    <x v="40"/>
    <x v="0"/>
  </r>
  <r>
    <x v="0"/>
    <x v="2"/>
    <x v="2"/>
    <x v="3"/>
    <x v="3"/>
    <x v="3"/>
    <x v="3"/>
    <x v="42"/>
    <x v="40"/>
    <x v="42"/>
    <x v="23"/>
    <x v="32"/>
    <x v="41"/>
    <x v="1"/>
  </r>
  <r>
    <x v="0"/>
    <x v="2"/>
    <x v="2"/>
    <x v="4"/>
    <x v="4"/>
    <x v="4"/>
    <x v="4"/>
    <x v="28"/>
    <x v="41"/>
    <x v="43"/>
    <x v="10"/>
    <x v="43"/>
    <x v="42"/>
    <x v="0"/>
  </r>
  <r>
    <x v="0"/>
    <x v="2"/>
    <x v="2"/>
    <x v="5"/>
    <x v="5"/>
    <x v="5"/>
    <x v="5"/>
    <x v="43"/>
    <x v="42"/>
    <x v="44"/>
    <x v="42"/>
    <x v="38"/>
    <x v="43"/>
    <x v="0"/>
  </r>
  <r>
    <x v="0"/>
    <x v="2"/>
    <x v="2"/>
    <x v="7"/>
    <x v="7"/>
    <x v="7"/>
    <x v="6"/>
    <x v="44"/>
    <x v="43"/>
    <x v="45"/>
    <x v="43"/>
    <x v="44"/>
    <x v="44"/>
    <x v="0"/>
  </r>
  <r>
    <x v="0"/>
    <x v="2"/>
    <x v="2"/>
    <x v="6"/>
    <x v="6"/>
    <x v="6"/>
    <x v="7"/>
    <x v="45"/>
    <x v="44"/>
    <x v="26"/>
    <x v="44"/>
    <x v="45"/>
    <x v="45"/>
    <x v="1"/>
  </r>
  <r>
    <x v="0"/>
    <x v="2"/>
    <x v="2"/>
    <x v="10"/>
    <x v="10"/>
    <x v="10"/>
    <x v="8"/>
    <x v="46"/>
    <x v="45"/>
    <x v="43"/>
    <x v="10"/>
    <x v="46"/>
    <x v="46"/>
    <x v="0"/>
  </r>
  <r>
    <x v="0"/>
    <x v="2"/>
    <x v="2"/>
    <x v="8"/>
    <x v="8"/>
    <x v="8"/>
    <x v="9"/>
    <x v="47"/>
    <x v="46"/>
    <x v="46"/>
    <x v="45"/>
    <x v="47"/>
    <x v="47"/>
    <x v="0"/>
  </r>
  <r>
    <x v="0"/>
    <x v="2"/>
    <x v="2"/>
    <x v="13"/>
    <x v="13"/>
    <x v="13"/>
    <x v="10"/>
    <x v="48"/>
    <x v="47"/>
    <x v="47"/>
    <x v="46"/>
    <x v="48"/>
    <x v="48"/>
    <x v="0"/>
  </r>
  <r>
    <x v="0"/>
    <x v="2"/>
    <x v="2"/>
    <x v="22"/>
    <x v="22"/>
    <x v="22"/>
    <x v="11"/>
    <x v="34"/>
    <x v="48"/>
    <x v="48"/>
    <x v="47"/>
    <x v="49"/>
    <x v="49"/>
    <x v="0"/>
  </r>
  <r>
    <x v="0"/>
    <x v="2"/>
    <x v="2"/>
    <x v="11"/>
    <x v="11"/>
    <x v="11"/>
    <x v="12"/>
    <x v="49"/>
    <x v="49"/>
    <x v="49"/>
    <x v="48"/>
    <x v="50"/>
    <x v="0"/>
    <x v="0"/>
  </r>
  <r>
    <x v="0"/>
    <x v="2"/>
    <x v="2"/>
    <x v="9"/>
    <x v="9"/>
    <x v="9"/>
    <x v="13"/>
    <x v="50"/>
    <x v="50"/>
    <x v="26"/>
    <x v="44"/>
    <x v="51"/>
    <x v="50"/>
    <x v="0"/>
  </r>
  <r>
    <x v="0"/>
    <x v="2"/>
    <x v="2"/>
    <x v="23"/>
    <x v="23"/>
    <x v="23"/>
    <x v="14"/>
    <x v="51"/>
    <x v="51"/>
    <x v="50"/>
    <x v="49"/>
    <x v="37"/>
    <x v="51"/>
    <x v="0"/>
  </r>
  <r>
    <x v="0"/>
    <x v="2"/>
    <x v="2"/>
    <x v="12"/>
    <x v="12"/>
    <x v="12"/>
    <x v="15"/>
    <x v="52"/>
    <x v="52"/>
    <x v="51"/>
    <x v="50"/>
    <x v="35"/>
    <x v="52"/>
    <x v="0"/>
  </r>
  <r>
    <x v="0"/>
    <x v="2"/>
    <x v="2"/>
    <x v="15"/>
    <x v="15"/>
    <x v="15"/>
    <x v="16"/>
    <x v="53"/>
    <x v="53"/>
    <x v="37"/>
    <x v="18"/>
    <x v="41"/>
    <x v="39"/>
    <x v="4"/>
  </r>
  <r>
    <x v="0"/>
    <x v="2"/>
    <x v="2"/>
    <x v="21"/>
    <x v="21"/>
    <x v="21"/>
    <x v="17"/>
    <x v="54"/>
    <x v="54"/>
    <x v="38"/>
    <x v="51"/>
    <x v="52"/>
    <x v="53"/>
    <x v="0"/>
  </r>
  <r>
    <x v="0"/>
    <x v="2"/>
    <x v="2"/>
    <x v="24"/>
    <x v="24"/>
    <x v="24"/>
    <x v="18"/>
    <x v="55"/>
    <x v="55"/>
    <x v="52"/>
    <x v="52"/>
    <x v="53"/>
    <x v="54"/>
    <x v="0"/>
  </r>
  <r>
    <x v="0"/>
    <x v="2"/>
    <x v="2"/>
    <x v="18"/>
    <x v="18"/>
    <x v="18"/>
    <x v="18"/>
    <x v="55"/>
    <x v="55"/>
    <x v="37"/>
    <x v="18"/>
    <x v="54"/>
    <x v="55"/>
    <x v="0"/>
  </r>
  <r>
    <x v="0"/>
    <x v="3"/>
    <x v="3"/>
    <x v="0"/>
    <x v="0"/>
    <x v="0"/>
    <x v="0"/>
    <x v="56"/>
    <x v="56"/>
    <x v="53"/>
    <x v="53"/>
    <x v="55"/>
    <x v="56"/>
    <x v="0"/>
  </r>
  <r>
    <x v="0"/>
    <x v="3"/>
    <x v="3"/>
    <x v="3"/>
    <x v="3"/>
    <x v="3"/>
    <x v="1"/>
    <x v="57"/>
    <x v="57"/>
    <x v="54"/>
    <x v="54"/>
    <x v="56"/>
    <x v="57"/>
    <x v="4"/>
  </r>
  <r>
    <x v="0"/>
    <x v="3"/>
    <x v="3"/>
    <x v="1"/>
    <x v="1"/>
    <x v="1"/>
    <x v="2"/>
    <x v="58"/>
    <x v="58"/>
    <x v="55"/>
    <x v="55"/>
    <x v="42"/>
    <x v="58"/>
    <x v="0"/>
  </r>
  <r>
    <x v="0"/>
    <x v="3"/>
    <x v="3"/>
    <x v="4"/>
    <x v="4"/>
    <x v="4"/>
    <x v="3"/>
    <x v="59"/>
    <x v="59"/>
    <x v="56"/>
    <x v="56"/>
    <x v="57"/>
    <x v="59"/>
    <x v="0"/>
  </r>
  <r>
    <x v="0"/>
    <x v="3"/>
    <x v="3"/>
    <x v="5"/>
    <x v="5"/>
    <x v="5"/>
    <x v="4"/>
    <x v="60"/>
    <x v="60"/>
    <x v="57"/>
    <x v="57"/>
    <x v="58"/>
    <x v="60"/>
    <x v="0"/>
  </r>
  <r>
    <x v="0"/>
    <x v="3"/>
    <x v="3"/>
    <x v="2"/>
    <x v="2"/>
    <x v="2"/>
    <x v="4"/>
    <x v="60"/>
    <x v="60"/>
    <x v="58"/>
    <x v="58"/>
    <x v="59"/>
    <x v="61"/>
    <x v="1"/>
  </r>
  <r>
    <x v="0"/>
    <x v="3"/>
    <x v="3"/>
    <x v="7"/>
    <x v="7"/>
    <x v="7"/>
    <x v="6"/>
    <x v="61"/>
    <x v="61"/>
    <x v="18"/>
    <x v="59"/>
    <x v="60"/>
    <x v="62"/>
    <x v="0"/>
  </r>
  <r>
    <x v="0"/>
    <x v="3"/>
    <x v="3"/>
    <x v="9"/>
    <x v="9"/>
    <x v="9"/>
    <x v="7"/>
    <x v="62"/>
    <x v="62"/>
    <x v="59"/>
    <x v="60"/>
    <x v="61"/>
    <x v="63"/>
    <x v="0"/>
  </r>
  <r>
    <x v="0"/>
    <x v="3"/>
    <x v="3"/>
    <x v="8"/>
    <x v="8"/>
    <x v="8"/>
    <x v="8"/>
    <x v="63"/>
    <x v="63"/>
    <x v="60"/>
    <x v="61"/>
    <x v="62"/>
    <x v="64"/>
    <x v="7"/>
  </r>
  <r>
    <x v="0"/>
    <x v="3"/>
    <x v="3"/>
    <x v="6"/>
    <x v="6"/>
    <x v="6"/>
    <x v="9"/>
    <x v="64"/>
    <x v="64"/>
    <x v="61"/>
    <x v="62"/>
    <x v="63"/>
    <x v="65"/>
    <x v="8"/>
  </r>
  <r>
    <x v="0"/>
    <x v="3"/>
    <x v="3"/>
    <x v="13"/>
    <x v="13"/>
    <x v="13"/>
    <x v="10"/>
    <x v="65"/>
    <x v="65"/>
    <x v="62"/>
    <x v="8"/>
    <x v="64"/>
    <x v="66"/>
    <x v="0"/>
  </r>
  <r>
    <x v="0"/>
    <x v="3"/>
    <x v="3"/>
    <x v="12"/>
    <x v="12"/>
    <x v="12"/>
    <x v="11"/>
    <x v="66"/>
    <x v="66"/>
    <x v="63"/>
    <x v="63"/>
    <x v="65"/>
    <x v="67"/>
    <x v="0"/>
  </r>
  <r>
    <x v="0"/>
    <x v="3"/>
    <x v="3"/>
    <x v="18"/>
    <x v="18"/>
    <x v="18"/>
    <x v="12"/>
    <x v="67"/>
    <x v="67"/>
    <x v="37"/>
    <x v="64"/>
    <x v="66"/>
    <x v="68"/>
    <x v="0"/>
  </r>
  <r>
    <x v="0"/>
    <x v="3"/>
    <x v="3"/>
    <x v="11"/>
    <x v="11"/>
    <x v="11"/>
    <x v="13"/>
    <x v="68"/>
    <x v="68"/>
    <x v="48"/>
    <x v="65"/>
    <x v="22"/>
    <x v="69"/>
    <x v="0"/>
  </r>
  <r>
    <x v="0"/>
    <x v="3"/>
    <x v="3"/>
    <x v="21"/>
    <x v="21"/>
    <x v="21"/>
    <x v="14"/>
    <x v="69"/>
    <x v="69"/>
    <x v="64"/>
    <x v="66"/>
    <x v="67"/>
    <x v="70"/>
    <x v="0"/>
  </r>
  <r>
    <x v="0"/>
    <x v="3"/>
    <x v="3"/>
    <x v="10"/>
    <x v="10"/>
    <x v="10"/>
    <x v="15"/>
    <x v="70"/>
    <x v="70"/>
    <x v="65"/>
    <x v="67"/>
    <x v="68"/>
    <x v="71"/>
    <x v="0"/>
  </r>
  <r>
    <x v="0"/>
    <x v="3"/>
    <x v="3"/>
    <x v="17"/>
    <x v="17"/>
    <x v="17"/>
    <x v="16"/>
    <x v="71"/>
    <x v="71"/>
    <x v="52"/>
    <x v="68"/>
    <x v="69"/>
    <x v="72"/>
    <x v="0"/>
  </r>
  <r>
    <x v="0"/>
    <x v="3"/>
    <x v="3"/>
    <x v="23"/>
    <x v="23"/>
    <x v="23"/>
    <x v="17"/>
    <x v="72"/>
    <x v="72"/>
    <x v="52"/>
    <x v="68"/>
    <x v="70"/>
    <x v="30"/>
    <x v="0"/>
  </r>
  <r>
    <x v="0"/>
    <x v="3"/>
    <x v="3"/>
    <x v="25"/>
    <x v="25"/>
    <x v="25"/>
    <x v="18"/>
    <x v="73"/>
    <x v="54"/>
    <x v="66"/>
    <x v="69"/>
    <x v="71"/>
    <x v="73"/>
    <x v="8"/>
  </r>
  <r>
    <x v="0"/>
    <x v="3"/>
    <x v="3"/>
    <x v="15"/>
    <x v="15"/>
    <x v="15"/>
    <x v="19"/>
    <x v="74"/>
    <x v="35"/>
    <x v="37"/>
    <x v="64"/>
    <x v="68"/>
    <x v="71"/>
    <x v="0"/>
  </r>
  <r>
    <x v="0"/>
    <x v="4"/>
    <x v="4"/>
    <x v="0"/>
    <x v="0"/>
    <x v="0"/>
    <x v="0"/>
    <x v="75"/>
    <x v="73"/>
    <x v="67"/>
    <x v="70"/>
    <x v="72"/>
    <x v="0"/>
    <x v="0"/>
  </r>
  <r>
    <x v="0"/>
    <x v="4"/>
    <x v="4"/>
    <x v="1"/>
    <x v="1"/>
    <x v="1"/>
    <x v="1"/>
    <x v="76"/>
    <x v="74"/>
    <x v="68"/>
    <x v="71"/>
    <x v="73"/>
    <x v="74"/>
    <x v="0"/>
  </r>
  <r>
    <x v="0"/>
    <x v="4"/>
    <x v="4"/>
    <x v="2"/>
    <x v="2"/>
    <x v="2"/>
    <x v="2"/>
    <x v="77"/>
    <x v="75"/>
    <x v="69"/>
    <x v="72"/>
    <x v="74"/>
    <x v="75"/>
    <x v="4"/>
  </r>
  <r>
    <x v="0"/>
    <x v="4"/>
    <x v="4"/>
    <x v="4"/>
    <x v="4"/>
    <x v="4"/>
    <x v="3"/>
    <x v="78"/>
    <x v="76"/>
    <x v="70"/>
    <x v="73"/>
    <x v="75"/>
    <x v="76"/>
    <x v="0"/>
  </r>
  <r>
    <x v="0"/>
    <x v="4"/>
    <x v="4"/>
    <x v="6"/>
    <x v="6"/>
    <x v="6"/>
    <x v="4"/>
    <x v="79"/>
    <x v="77"/>
    <x v="71"/>
    <x v="74"/>
    <x v="72"/>
    <x v="0"/>
    <x v="1"/>
  </r>
  <r>
    <x v="0"/>
    <x v="4"/>
    <x v="4"/>
    <x v="5"/>
    <x v="5"/>
    <x v="5"/>
    <x v="5"/>
    <x v="80"/>
    <x v="78"/>
    <x v="72"/>
    <x v="10"/>
    <x v="76"/>
    <x v="77"/>
    <x v="0"/>
  </r>
  <r>
    <x v="0"/>
    <x v="4"/>
    <x v="4"/>
    <x v="7"/>
    <x v="7"/>
    <x v="7"/>
    <x v="6"/>
    <x v="81"/>
    <x v="79"/>
    <x v="35"/>
    <x v="75"/>
    <x v="77"/>
    <x v="78"/>
    <x v="0"/>
  </r>
  <r>
    <x v="0"/>
    <x v="4"/>
    <x v="4"/>
    <x v="3"/>
    <x v="3"/>
    <x v="3"/>
    <x v="7"/>
    <x v="82"/>
    <x v="80"/>
    <x v="73"/>
    <x v="35"/>
    <x v="78"/>
    <x v="79"/>
    <x v="0"/>
  </r>
  <r>
    <x v="0"/>
    <x v="4"/>
    <x v="4"/>
    <x v="8"/>
    <x v="8"/>
    <x v="8"/>
    <x v="8"/>
    <x v="83"/>
    <x v="81"/>
    <x v="60"/>
    <x v="76"/>
    <x v="39"/>
    <x v="80"/>
    <x v="0"/>
  </r>
  <r>
    <x v="0"/>
    <x v="4"/>
    <x v="4"/>
    <x v="9"/>
    <x v="9"/>
    <x v="9"/>
    <x v="9"/>
    <x v="84"/>
    <x v="82"/>
    <x v="74"/>
    <x v="77"/>
    <x v="79"/>
    <x v="63"/>
    <x v="0"/>
  </r>
  <r>
    <x v="0"/>
    <x v="4"/>
    <x v="4"/>
    <x v="10"/>
    <x v="10"/>
    <x v="10"/>
    <x v="10"/>
    <x v="85"/>
    <x v="83"/>
    <x v="31"/>
    <x v="78"/>
    <x v="80"/>
    <x v="81"/>
    <x v="0"/>
  </r>
  <r>
    <x v="0"/>
    <x v="4"/>
    <x v="4"/>
    <x v="11"/>
    <x v="11"/>
    <x v="11"/>
    <x v="11"/>
    <x v="86"/>
    <x v="84"/>
    <x v="75"/>
    <x v="79"/>
    <x v="81"/>
    <x v="82"/>
    <x v="0"/>
  </r>
  <r>
    <x v="0"/>
    <x v="4"/>
    <x v="4"/>
    <x v="12"/>
    <x v="12"/>
    <x v="12"/>
    <x v="12"/>
    <x v="32"/>
    <x v="85"/>
    <x v="44"/>
    <x v="80"/>
    <x v="81"/>
    <x v="82"/>
    <x v="0"/>
  </r>
  <r>
    <x v="0"/>
    <x v="4"/>
    <x v="4"/>
    <x v="13"/>
    <x v="13"/>
    <x v="13"/>
    <x v="13"/>
    <x v="87"/>
    <x v="86"/>
    <x v="76"/>
    <x v="67"/>
    <x v="82"/>
    <x v="83"/>
    <x v="0"/>
  </r>
  <r>
    <x v="0"/>
    <x v="4"/>
    <x v="4"/>
    <x v="14"/>
    <x v="14"/>
    <x v="14"/>
    <x v="14"/>
    <x v="88"/>
    <x v="87"/>
    <x v="77"/>
    <x v="81"/>
    <x v="36"/>
    <x v="84"/>
    <x v="0"/>
  </r>
  <r>
    <x v="0"/>
    <x v="4"/>
    <x v="4"/>
    <x v="15"/>
    <x v="15"/>
    <x v="15"/>
    <x v="15"/>
    <x v="89"/>
    <x v="88"/>
    <x v="38"/>
    <x v="82"/>
    <x v="83"/>
    <x v="85"/>
    <x v="4"/>
  </r>
  <r>
    <x v="0"/>
    <x v="4"/>
    <x v="4"/>
    <x v="17"/>
    <x v="17"/>
    <x v="17"/>
    <x v="16"/>
    <x v="72"/>
    <x v="89"/>
    <x v="78"/>
    <x v="83"/>
    <x v="71"/>
    <x v="86"/>
    <x v="0"/>
  </r>
  <r>
    <x v="0"/>
    <x v="4"/>
    <x v="4"/>
    <x v="19"/>
    <x v="19"/>
    <x v="19"/>
    <x v="17"/>
    <x v="74"/>
    <x v="90"/>
    <x v="79"/>
    <x v="84"/>
    <x v="84"/>
    <x v="87"/>
    <x v="0"/>
  </r>
  <r>
    <x v="0"/>
    <x v="4"/>
    <x v="4"/>
    <x v="26"/>
    <x v="26"/>
    <x v="26"/>
    <x v="18"/>
    <x v="90"/>
    <x v="18"/>
    <x v="78"/>
    <x v="83"/>
    <x v="39"/>
    <x v="80"/>
    <x v="0"/>
  </r>
  <r>
    <x v="0"/>
    <x v="4"/>
    <x v="4"/>
    <x v="21"/>
    <x v="21"/>
    <x v="21"/>
    <x v="19"/>
    <x v="91"/>
    <x v="91"/>
    <x v="80"/>
    <x v="51"/>
    <x v="85"/>
    <x v="88"/>
    <x v="0"/>
  </r>
  <r>
    <x v="0"/>
    <x v="5"/>
    <x v="5"/>
    <x v="0"/>
    <x v="0"/>
    <x v="0"/>
    <x v="0"/>
    <x v="31"/>
    <x v="92"/>
    <x v="81"/>
    <x v="85"/>
    <x v="86"/>
    <x v="89"/>
    <x v="0"/>
  </r>
  <r>
    <x v="0"/>
    <x v="5"/>
    <x v="5"/>
    <x v="1"/>
    <x v="1"/>
    <x v="1"/>
    <x v="1"/>
    <x v="92"/>
    <x v="93"/>
    <x v="82"/>
    <x v="86"/>
    <x v="87"/>
    <x v="90"/>
    <x v="0"/>
  </r>
  <r>
    <x v="0"/>
    <x v="5"/>
    <x v="5"/>
    <x v="2"/>
    <x v="2"/>
    <x v="2"/>
    <x v="2"/>
    <x v="93"/>
    <x v="94"/>
    <x v="83"/>
    <x v="87"/>
    <x v="88"/>
    <x v="91"/>
    <x v="4"/>
  </r>
  <r>
    <x v="0"/>
    <x v="5"/>
    <x v="5"/>
    <x v="3"/>
    <x v="3"/>
    <x v="3"/>
    <x v="3"/>
    <x v="35"/>
    <x v="95"/>
    <x v="18"/>
    <x v="88"/>
    <x v="37"/>
    <x v="92"/>
    <x v="0"/>
  </r>
  <r>
    <x v="0"/>
    <x v="5"/>
    <x v="5"/>
    <x v="4"/>
    <x v="4"/>
    <x v="4"/>
    <x v="4"/>
    <x v="94"/>
    <x v="96"/>
    <x v="84"/>
    <x v="89"/>
    <x v="89"/>
    <x v="93"/>
    <x v="0"/>
  </r>
  <r>
    <x v="0"/>
    <x v="5"/>
    <x v="5"/>
    <x v="6"/>
    <x v="6"/>
    <x v="6"/>
    <x v="5"/>
    <x v="95"/>
    <x v="97"/>
    <x v="85"/>
    <x v="90"/>
    <x v="90"/>
    <x v="82"/>
    <x v="7"/>
  </r>
  <r>
    <x v="0"/>
    <x v="5"/>
    <x v="5"/>
    <x v="8"/>
    <x v="8"/>
    <x v="8"/>
    <x v="6"/>
    <x v="96"/>
    <x v="98"/>
    <x v="86"/>
    <x v="91"/>
    <x v="91"/>
    <x v="94"/>
    <x v="0"/>
  </r>
  <r>
    <x v="0"/>
    <x v="5"/>
    <x v="5"/>
    <x v="9"/>
    <x v="9"/>
    <x v="9"/>
    <x v="7"/>
    <x v="97"/>
    <x v="99"/>
    <x v="87"/>
    <x v="92"/>
    <x v="92"/>
    <x v="95"/>
    <x v="0"/>
  </r>
  <r>
    <x v="0"/>
    <x v="5"/>
    <x v="5"/>
    <x v="5"/>
    <x v="5"/>
    <x v="5"/>
    <x v="8"/>
    <x v="53"/>
    <x v="28"/>
    <x v="36"/>
    <x v="93"/>
    <x v="93"/>
    <x v="96"/>
    <x v="0"/>
  </r>
  <r>
    <x v="0"/>
    <x v="5"/>
    <x v="5"/>
    <x v="7"/>
    <x v="7"/>
    <x v="7"/>
    <x v="9"/>
    <x v="98"/>
    <x v="100"/>
    <x v="50"/>
    <x v="94"/>
    <x v="94"/>
    <x v="97"/>
    <x v="0"/>
  </r>
  <r>
    <x v="0"/>
    <x v="5"/>
    <x v="5"/>
    <x v="10"/>
    <x v="10"/>
    <x v="10"/>
    <x v="10"/>
    <x v="99"/>
    <x v="101"/>
    <x v="88"/>
    <x v="95"/>
    <x v="95"/>
    <x v="31"/>
    <x v="0"/>
  </r>
  <r>
    <x v="0"/>
    <x v="5"/>
    <x v="5"/>
    <x v="13"/>
    <x v="13"/>
    <x v="13"/>
    <x v="11"/>
    <x v="100"/>
    <x v="102"/>
    <x v="45"/>
    <x v="96"/>
    <x v="96"/>
    <x v="98"/>
    <x v="0"/>
  </r>
  <r>
    <x v="0"/>
    <x v="5"/>
    <x v="5"/>
    <x v="12"/>
    <x v="12"/>
    <x v="12"/>
    <x v="11"/>
    <x v="100"/>
    <x v="102"/>
    <x v="89"/>
    <x v="97"/>
    <x v="90"/>
    <x v="82"/>
    <x v="0"/>
  </r>
  <r>
    <x v="0"/>
    <x v="5"/>
    <x v="5"/>
    <x v="11"/>
    <x v="11"/>
    <x v="11"/>
    <x v="13"/>
    <x v="101"/>
    <x v="103"/>
    <x v="36"/>
    <x v="93"/>
    <x v="96"/>
    <x v="98"/>
    <x v="0"/>
  </r>
  <r>
    <x v="0"/>
    <x v="5"/>
    <x v="5"/>
    <x v="27"/>
    <x v="27"/>
    <x v="27"/>
    <x v="14"/>
    <x v="102"/>
    <x v="104"/>
    <x v="90"/>
    <x v="98"/>
    <x v="97"/>
    <x v="99"/>
    <x v="0"/>
  </r>
  <r>
    <x v="0"/>
    <x v="5"/>
    <x v="5"/>
    <x v="28"/>
    <x v="28"/>
    <x v="28"/>
    <x v="15"/>
    <x v="103"/>
    <x v="105"/>
    <x v="50"/>
    <x v="94"/>
    <x v="51"/>
    <x v="100"/>
    <x v="0"/>
  </r>
  <r>
    <x v="0"/>
    <x v="5"/>
    <x v="5"/>
    <x v="23"/>
    <x v="23"/>
    <x v="23"/>
    <x v="16"/>
    <x v="104"/>
    <x v="106"/>
    <x v="66"/>
    <x v="99"/>
    <x v="98"/>
    <x v="58"/>
    <x v="0"/>
  </r>
  <r>
    <x v="0"/>
    <x v="5"/>
    <x v="5"/>
    <x v="15"/>
    <x v="15"/>
    <x v="15"/>
    <x v="16"/>
    <x v="104"/>
    <x v="106"/>
    <x v="91"/>
    <x v="100"/>
    <x v="51"/>
    <x v="100"/>
    <x v="0"/>
  </r>
  <r>
    <x v="0"/>
    <x v="5"/>
    <x v="5"/>
    <x v="29"/>
    <x v="29"/>
    <x v="29"/>
    <x v="18"/>
    <x v="105"/>
    <x v="107"/>
    <x v="52"/>
    <x v="35"/>
    <x v="99"/>
    <x v="101"/>
    <x v="0"/>
  </r>
  <r>
    <x v="0"/>
    <x v="5"/>
    <x v="5"/>
    <x v="30"/>
    <x v="30"/>
    <x v="30"/>
    <x v="18"/>
    <x v="105"/>
    <x v="107"/>
    <x v="80"/>
    <x v="101"/>
    <x v="100"/>
    <x v="102"/>
    <x v="0"/>
  </r>
  <r>
    <x v="0"/>
    <x v="5"/>
    <x v="5"/>
    <x v="14"/>
    <x v="14"/>
    <x v="14"/>
    <x v="18"/>
    <x v="105"/>
    <x v="107"/>
    <x v="89"/>
    <x v="97"/>
    <x v="101"/>
    <x v="103"/>
    <x v="0"/>
  </r>
  <r>
    <x v="0"/>
    <x v="6"/>
    <x v="6"/>
    <x v="0"/>
    <x v="0"/>
    <x v="0"/>
    <x v="0"/>
    <x v="29"/>
    <x v="0"/>
    <x v="92"/>
    <x v="102"/>
    <x v="94"/>
    <x v="104"/>
    <x v="0"/>
  </r>
  <r>
    <x v="0"/>
    <x v="6"/>
    <x v="6"/>
    <x v="1"/>
    <x v="1"/>
    <x v="1"/>
    <x v="1"/>
    <x v="30"/>
    <x v="108"/>
    <x v="25"/>
    <x v="103"/>
    <x v="102"/>
    <x v="105"/>
    <x v="0"/>
  </r>
  <r>
    <x v="0"/>
    <x v="6"/>
    <x v="6"/>
    <x v="2"/>
    <x v="2"/>
    <x v="2"/>
    <x v="2"/>
    <x v="44"/>
    <x v="109"/>
    <x v="44"/>
    <x v="104"/>
    <x v="103"/>
    <x v="106"/>
    <x v="0"/>
  </r>
  <r>
    <x v="0"/>
    <x v="6"/>
    <x v="6"/>
    <x v="5"/>
    <x v="5"/>
    <x v="5"/>
    <x v="3"/>
    <x v="72"/>
    <x v="110"/>
    <x v="43"/>
    <x v="105"/>
    <x v="104"/>
    <x v="107"/>
    <x v="0"/>
  </r>
  <r>
    <x v="0"/>
    <x v="6"/>
    <x v="6"/>
    <x v="4"/>
    <x v="4"/>
    <x v="4"/>
    <x v="4"/>
    <x v="106"/>
    <x v="111"/>
    <x v="93"/>
    <x v="106"/>
    <x v="105"/>
    <x v="108"/>
    <x v="0"/>
  </r>
  <r>
    <x v="0"/>
    <x v="6"/>
    <x v="6"/>
    <x v="6"/>
    <x v="6"/>
    <x v="6"/>
    <x v="5"/>
    <x v="35"/>
    <x v="112"/>
    <x v="94"/>
    <x v="3"/>
    <x v="87"/>
    <x v="109"/>
    <x v="0"/>
  </r>
  <r>
    <x v="0"/>
    <x v="6"/>
    <x v="6"/>
    <x v="8"/>
    <x v="8"/>
    <x v="8"/>
    <x v="6"/>
    <x v="107"/>
    <x v="113"/>
    <x v="95"/>
    <x v="23"/>
    <x v="106"/>
    <x v="110"/>
    <x v="0"/>
  </r>
  <r>
    <x v="0"/>
    <x v="6"/>
    <x v="6"/>
    <x v="9"/>
    <x v="9"/>
    <x v="9"/>
    <x v="7"/>
    <x v="108"/>
    <x v="114"/>
    <x v="95"/>
    <x v="23"/>
    <x v="107"/>
    <x v="111"/>
    <x v="0"/>
  </r>
  <r>
    <x v="0"/>
    <x v="6"/>
    <x v="6"/>
    <x v="3"/>
    <x v="3"/>
    <x v="3"/>
    <x v="8"/>
    <x v="109"/>
    <x v="115"/>
    <x v="84"/>
    <x v="107"/>
    <x v="108"/>
    <x v="112"/>
    <x v="4"/>
  </r>
  <r>
    <x v="0"/>
    <x v="6"/>
    <x v="6"/>
    <x v="7"/>
    <x v="7"/>
    <x v="7"/>
    <x v="9"/>
    <x v="110"/>
    <x v="116"/>
    <x v="96"/>
    <x v="108"/>
    <x v="108"/>
    <x v="112"/>
    <x v="0"/>
  </r>
  <r>
    <x v="0"/>
    <x v="6"/>
    <x v="6"/>
    <x v="10"/>
    <x v="10"/>
    <x v="10"/>
    <x v="9"/>
    <x v="110"/>
    <x v="116"/>
    <x v="35"/>
    <x v="109"/>
    <x v="87"/>
    <x v="109"/>
    <x v="0"/>
  </r>
  <r>
    <x v="0"/>
    <x v="6"/>
    <x v="6"/>
    <x v="15"/>
    <x v="15"/>
    <x v="15"/>
    <x v="11"/>
    <x v="111"/>
    <x v="117"/>
    <x v="97"/>
    <x v="110"/>
    <x v="35"/>
    <x v="113"/>
    <x v="0"/>
  </r>
  <r>
    <x v="0"/>
    <x v="6"/>
    <x v="6"/>
    <x v="17"/>
    <x v="17"/>
    <x v="17"/>
    <x v="12"/>
    <x v="55"/>
    <x v="11"/>
    <x v="98"/>
    <x v="111"/>
    <x v="102"/>
    <x v="105"/>
    <x v="0"/>
  </r>
  <r>
    <x v="0"/>
    <x v="6"/>
    <x v="6"/>
    <x v="14"/>
    <x v="14"/>
    <x v="14"/>
    <x v="13"/>
    <x v="112"/>
    <x v="118"/>
    <x v="45"/>
    <x v="27"/>
    <x v="51"/>
    <x v="114"/>
    <x v="0"/>
  </r>
  <r>
    <x v="0"/>
    <x v="6"/>
    <x v="6"/>
    <x v="11"/>
    <x v="11"/>
    <x v="11"/>
    <x v="14"/>
    <x v="113"/>
    <x v="119"/>
    <x v="88"/>
    <x v="112"/>
    <x v="109"/>
    <x v="115"/>
    <x v="4"/>
  </r>
  <r>
    <x v="0"/>
    <x v="6"/>
    <x v="6"/>
    <x v="13"/>
    <x v="13"/>
    <x v="13"/>
    <x v="15"/>
    <x v="101"/>
    <x v="120"/>
    <x v="99"/>
    <x v="113"/>
    <x v="51"/>
    <x v="114"/>
    <x v="0"/>
  </r>
  <r>
    <x v="0"/>
    <x v="6"/>
    <x v="6"/>
    <x v="12"/>
    <x v="12"/>
    <x v="12"/>
    <x v="16"/>
    <x v="114"/>
    <x v="88"/>
    <x v="89"/>
    <x v="32"/>
    <x v="110"/>
    <x v="100"/>
    <x v="0"/>
  </r>
  <r>
    <x v="0"/>
    <x v="6"/>
    <x v="6"/>
    <x v="26"/>
    <x v="26"/>
    <x v="26"/>
    <x v="17"/>
    <x v="104"/>
    <x v="121"/>
    <x v="33"/>
    <x v="114"/>
    <x v="111"/>
    <x v="29"/>
    <x v="0"/>
  </r>
  <r>
    <x v="0"/>
    <x v="6"/>
    <x v="6"/>
    <x v="24"/>
    <x v="24"/>
    <x v="24"/>
    <x v="18"/>
    <x v="115"/>
    <x v="107"/>
    <x v="33"/>
    <x v="114"/>
    <x v="91"/>
    <x v="116"/>
    <x v="0"/>
  </r>
  <r>
    <x v="0"/>
    <x v="6"/>
    <x v="6"/>
    <x v="19"/>
    <x v="19"/>
    <x v="19"/>
    <x v="18"/>
    <x v="115"/>
    <x v="107"/>
    <x v="37"/>
    <x v="115"/>
    <x v="90"/>
    <x v="117"/>
    <x v="0"/>
  </r>
  <r>
    <x v="0"/>
    <x v="7"/>
    <x v="7"/>
    <x v="0"/>
    <x v="0"/>
    <x v="0"/>
    <x v="0"/>
    <x v="116"/>
    <x v="122"/>
    <x v="100"/>
    <x v="116"/>
    <x v="106"/>
    <x v="118"/>
    <x v="0"/>
  </r>
  <r>
    <x v="0"/>
    <x v="7"/>
    <x v="7"/>
    <x v="1"/>
    <x v="1"/>
    <x v="1"/>
    <x v="1"/>
    <x v="93"/>
    <x v="123"/>
    <x v="101"/>
    <x v="117"/>
    <x v="99"/>
    <x v="119"/>
    <x v="0"/>
  </r>
  <r>
    <x v="0"/>
    <x v="7"/>
    <x v="7"/>
    <x v="2"/>
    <x v="2"/>
    <x v="2"/>
    <x v="2"/>
    <x v="117"/>
    <x v="124"/>
    <x v="102"/>
    <x v="118"/>
    <x v="50"/>
    <x v="120"/>
    <x v="0"/>
  </r>
  <r>
    <x v="0"/>
    <x v="7"/>
    <x v="7"/>
    <x v="6"/>
    <x v="6"/>
    <x v="6"/>
    <x v="3"/>
    <x v="118"/>
    <x v="125"/>
    <x v="103"/>
    <x v="119"/>
    <x v="90"/>
    <x v="121"/>
    <x v="0"/>
  </r>
  <r>
    <x v="0"/>
    <x v="7"/>
    <x v="7"/>
    <x v="4"/>
    <x v="4"/>
    <x v="4"/>
    <x v="4"/>
    <x v="119"/>
    <x v="126"/>
    <x v="104"/>
    <x v="120"/>
    <x v="112"/>
    <x v="122"/>
    <x v="0"/>
  </r>
  <r>
    <x v="0"/>
    <x v="7"/>
    <x v="7"/>
    <x v="5"/>
    <x v="5"/>
    <x v="5"/>
    <x v="5"/>
    <x v="120"/>
    <x v="127"/>
    <x v="105"/>
    <x v="121"/>
    <x v="113"/>
    <x v="123"/>
    <x v="0"/>
  </r>
  <r>
    <x v="0"/>
    <x v="7"/>
    <x v="7"/>
    <x v="10"/>
    <x v="10"/>
    <x v="10"/>
    <x v="6"/>
    <x v="121"/>
    <x v="128"/>
    <x v="106"/>
    <x v="122"/>
    <x v="96"/>
    <x v="124"/>
    <x v="0"/>
  </r>
  <r>
    <x v="0"/>
    <x v="7"/>
    <x v="7"/>
    <x v="8"/>
    <x v="8"/>
    <x v="8"/>
    <x v="7"/>
    <x v="122"/>
    <x v="129"/>
    <x v="107"/>
    <x v="123"/>
    <x v="114"/>
    <x v="125"/>
    <x v="0"/>
  </r>
  <r>
    <x v="0"/>
    <x v="7"/>
    <x v="7"/>
    <x v="3"/>
    <x v="3"/>
    <x v="3"/>
    <x v="8"/>
    <x v="53"/>
    <x v="130"/>
    <x v="35"/>
    <x v="124"/>
    <x v="90"/>
    <x v="121"/>
    <x v="0"/>
  </r>
  <r>
    <x v="0"/>
    <x v="7"/>
    <x v="7"/>
    <x v="7"/>
    <x v="7"/>
    <x v="7"/>
    <x v="9"/>
    <x v="123"/>
    <x v="131"/>
    <x v="88"/>
    <x v="125"/>
    <x v="97"/>
    <x v="126"/>
    <x v="0"/>
  </r>
  <r>
    <x v="0"/>
    <x v="7"/>
    <x v="7"/>
    <x v="11"/>
    <x v="11"/>
    <x v="11"/>
    <x v="10"/>
    <x v="101"/>
    <x v="132"/>
    <x v="108"/>
    <x v="112"/>
    <x v="111"/>
    <x v="67"/>
    <x v="0"/>
  </r>
  <r>
    <x v="0"/>
    <x v="7"/>
    <x v="7"/>
    <x v="29"/>
    <x v="29"/>
    <x v="29"/>
    <x v="11"/>
    <x v="124"/>
    <x v="13"/>
    <x v="109"/>
    <x v="126"/>
    <x v="91"/>
    <x v="127"/>
    <x v="0"/>
  </r>
  <r>
    <x v="0"/>
    <x v="7"/>
    <x v="7"/>
    <x v="12"/>
    <x v="12"/>
    <x v="12"/>
    <x v="11"/>
    <x v="124"/>
    <x v="13"/>
    <x v="50"/>
    <x v="127"/>
    <x v="115"/>
    <x v="128"/>
    <x v="0"/>
  </r>
  <r>
    <x v="0"/>
    <x v="7"/>
    <x v="7"/>
    <x v="9"/>
    <x v="9"/>
    <x v="9"/>
    <x v="13"/>
    <x v="102"/>
    <x v="133"/>
    <x v="107"/>
    <x v="123"/>
    <x v="116"/>
    <x v="129"/>
    <x v="0"/>
  </r>
  <r>
    <x v="0"/>
    <x v="7"/>
    <x v="7"/>
    <x v="15"/>
    <x v="15"/>
    <x v="15"/>
    <x v="14"/>
    <x v="125"/>
    <x v="71"/>
    <x v="97"/>
    <x v="110"/>
    <x v="86"/>
    <x v="112"/>
    <x v="0"/>
  </r>
  <r>
    <x v="0"/>
    <x v="7"/>
    <x v="7"/>
    <x v="22"/>
    <x v="22"/>
    <x v="22"/>
    <x v="15"/>
    <x v="104"/>
    <x v="134"/>
    <x v="50"/>
    <x v="127"/>
    <x v="106"/>
    <x v="118"/>
    <x v="0"/>
  </r>
  <r>
    <x v="0"/>
    <x v="7"/>
    <x v="7"/>
    <x v="16"/>
    <x v="16"/>
    <x v="16"/>
    <x v="16"/>
    <x v="126"/>
    <x v="33"/>
    <x v="89"/>
    <x v="128"/>
    <x v="92"/>
    <x v="50"/>
    <x v="0"/>
  </r>
  <r>
    <x v="0"/>
    <x v="7"/>
    <x v="7"/>
    <x v="27"/>
    <x v="27"/>
    <x v="27"/>
    <x v="16"/>
    <x v="126"/>
    <x v="33"/>
    <x v="37"/>
    <x v="129"/>
    <x v="115"/>
    <x v="128"/>
    <x v="0"/>
  </r>
  <r>
    <x v="0"/>
    <x v="7"/>
    <x v="7"/>
    <x v="14"/>
    <x v="14"/>
    <x v="14"/>
    <x v="16"/>
    <x v="126"/>
    <x v="33"/>
    <x v="108"/>
    <x v="112"/>
    <x v="117"/>
    <x v="130"/>
    <x v="0"/>
  </r>
  <r>
    <x v="0"/>
    <x v="7"/>
    <x v="7"/>
    <x v="24"/>
    <x v="24"/>
    <x v="24"/>
    <x v="19"/>
    <x v="127"/>
    <x v="17"/>
    <x v="38"/>
    <x v="130"/>
    <x v="110"/>
    <x v="131"/>
    <x v="0"/>
  </r>
  <r>
    <x v="0"/>
    <x v="8"/>
    <x v="8"/>
    <x v="1"/>
    <x v="1"/>
    <x v="1"/>
    <x v="0"/>
    <x v="128"/>
    <x v="135"/>
    <x v="110"/>
    <x v="71"/>
    <x v="110"/>
    <x v="70"/>
    <x v="0"/>
  </r>
  <r>
    <x v="0"/>
    <x v="8"/>
    <x v="8"/>
    <x v="0"/>
    <x v="0"/>
    <x v="0"/>
    <x v="1"/>
    <x v="106"/>
    <x v="136"/>
    <x v="111"/>
    <x v="131"/>
    <x v="118"/>
    <x v="132"/>
    <x v="0"/>
  </r>
  <r>
    <x v="0"/>
    <x v="8"/>
    <x v="8"/>
    <x v="2"/>
    <x v="2"/>
    <x v="2"/>
    <x v="2"/>
    <x v="129"/>
    <x v="137"/>
    <x v="112"/>
    <x v="132"/>
    <x v="119"/>
    <x v="133"/>
    <x v="4"/>
  </r>
  <r>
    <x v="0"/>
    <x v="8"/>
    <x v="8"/>
    <x v="4"/>
    <x v="4"/>
    <x v="4"/>
    <x v="3"/>
    <x v="130"/>
    <x v="138"/>
    <x v="113"/>
    <x v="133"/>
    <x v="54"/>
    <x v="134"/>
    <x v="0"/>
  </r>
  <r>
    <x v="0"/>
    <x v="8"/>
    <x v="8"/>
    <x v="3"/>
    <x v="3"/>
    <x v="3"/>
    <x v="4"/>
    <x v="131"/>
    <x v="139"/>
    <x v="93"/>
    <x v="134"/>
    <x v="115"/>
    <x v="135"/>
    <x v="0"/>
  </r>
  <r>
    <x v="0"/>
    <x v="8"/>
    <x v="8"/>
    <x v="6"/>
    <x v="6"/>
    <x v="6"/>
    <x v="5"/>
    <x v="99"/>
    <x v="113"/>
    <x v="64"/>
    <x v="135"/>
    <x v="90"/>
    <x v="136"/>
    <x v="0"/>
  </r>
  <r>
    <x v="0"/>
    <x v="8"/>
    <x v="8"/>
    <x v="5"/>
    <x v="5"/>
    <x v="5"/>
    <x v="6"/>
    <x v="132"/>
    <x v="140"/>
    <x v="84"/>
    <x v="106"/>
    <x v="114"/>
    <x v="137"/>
    <x v="0"/>
  </r>
  <r>
    <x v="0"/>
    <x v="8"/>
    <x v="8"/>
    <x v="7"/>
    <x v="7"/>
    <x v="7"/>
    <x v="7"/>
    <x v="133"/>
    <x v="81"/>
    <x v="89"/>
    <x v="136"/>
    <x v="109"/>
    <x v="138"/>
    <x v="0"/>
  </r>
  <r>
    <x v="0"/>
    <x v="8"/>
    <x v="8"/>
    <x v="8"/>
    <x v="8"/>
    <x v="8"/>
    <x v="8"/>
    <x v="134"/>
    <x v="141"/>
    <x v="51"/>
    <x v="137"/>
    <x v="117"/>
    <x v="139"/>
    <x v="0"/>
  </r>
  <r>
    <x v="0"/>
    <x v="8"/>
    <x v="8"/>
    <x v="11"/>
    <x v="11"/>
    <x v="11"/>
    <x v="9"/>
    <x v="124"/>
    <x v="142"/>
    <x v="96"/>
    <x v="138"/>
    <x v="110"/>
    <x v="70"/>
    <x v="0"/>
  </r>
  <r>
    <x v="0"/>
    <x v="8"/>
    <x v="8"/>
    <x v="12"/>
    <x v="12"/>
    <x v="12"/>
    <x v="10"/>
    <x v="125"/>
    <x v="143"/>
    <x v="52"/>
    <x v="63"/>
    <x v="110"/>
    <x v="70"/>
    <x v="0"/>
  </r>
  <r>
    <x v="0"/>
    <x v="8"/>
    <x v="8"/>
    <x v="9"/>
    <x v="9"/>
    <x v="9"/>
    <x v="11"/>
    <x v="104"/>
    <x v="144"/>
    <x v="51"/>
    <x v="137"/>
    <x v="101"/>
    <x v="140"/>
    <x v="0"/>
  </r>
  <r>
    <x v="0"/>
    <x v="8"/>
    <x v="8"/>
    <x v="10"/>
    <x v="10"/>
    <x v="10"/>
    <x v="12"/>
    <x v="115"/>
    <x v="145"/>
    <x v="108"/>
    <x v="139"/>
    <x v="120"/>
    <x v="141"/>
    <x v="0"/>
  </r>
  <r>
    <x v="0"/>
    <x v="8"/>
    <x v="8"/>
    <x v="13"/>
    <x v="13"/>
    <x v="13"/>
    <x v="13"/>
    <x v="135"/>
    <x v="13"/>
    <x v="96"/>
    <x v="138"/>
    <x v="120"/>
    <x v="141"/>
    <x v="0"/>
  </r>
  <r>
    <x v="0"/>
    <x v="8"/>
    <x v="8"/>
    <x v="14"/>
    <x v="14"/>
    <x v="14"/>
    <x v="14"/>
    <x v="105"/>
    <x v="146"/>
    <x v="89"/>
    <x v="136"/>
    <x v="101"/>
    <x v="140"/>
    <x v="0"/>
  </r>
  <r>
    <x v="0"/>
    <x v="8"/>
    <x v="8"/>
    <x v="29"/>
    <x v="29"/>
    <x v="29"/>
    <x v="15"/>
    <x v="136"/>
    <x v="147"/>
    <x v="91"/>
    <x v="129"/>
    <x v="100"/>
    <x v="142"/>
    <x v="0"/>
  </r>
  <r>
    <x v="0"/>
    <x v="8"/>
    <x v="8"/>
    <x v="16"/>
    <x v="16"/>
    <x v="16"/>
    <x v="16"/>
    <x v="137"/>
    <x v="17"/>
    <x v="98"/>
    <x v="140"/>
    <x v="92"/>
    <x v="143"/>
    <x v="0"/>
  </r>
  <r>
    <x v="0"/>
    <x v="8"/>
    <x v="8"/>
    <x v="31"/>
    <x v="31"/>
    <x v="31"/>
    <x v="17"/>
    <x v="138"/>
    <x v="148"/>
    <x v="90"/>
    <x v="141"/>
    <x v="51"/>
    <x v="72"/>
    <x v="0"/>
  </r>
  <r>
    <x v="0"/>
    <x v="8"/>
    <x v="8"/>
    <x v="18"/>
    <x v="18"/>
    <x v="18"/>
    <x v="17"/>
    <x v="138"/>
    <x v="148"/>
    <x v="90"/>
    <x v="141"/>
    <x v="51"/>
    <x v="72"/>
    <x v="0"/>
  </r>
  <r>
    <x v="0"/>
    <x v="8"/>
    <x v="8"/>
    <x v="20"/>
    <x v="20"/>
    <x v="20"/>
    <x v="17"/>
    <x v="138"/>
    <x v="148"/>
    <x v="66"/>
    <x v="142"/>
    <x v="96"/>
    <x v="144"/>
    <x v="0"/>
  </r>
  <r>
    <x v="0"/>
    <x v="9"/>
    <x v="9"/>
    <x v="0"/>
    <x v="0"/>
    <x v="0"/>
    <x v="0"/>
    <x v="139"/>
    <x v="56"/>
    <x v="114"/>
    <x v="143"/>
    <x v="91"/>
    <x v="145"/>
    <x v="0"/>
  </r>
  <r>
    <x v="0"/>
    <x v="9"/>
    <x v="9"/>
    <x v="3"/>
    <x v="3"/>
    <x v="3"/>
    <x v="1"/>
    <x v="140"/>
    <x v="149"/>
    <x v="115"/>
    <x v="144"/>
    <x v="109"/>
    <x v="146"/>
    <x v="0"/>
  </r>
  <r>
    <x v="0"/>
    <x v="9"/>
    <x v="9"/>
    <x v="5"/>
    <x v="5"/>
    <x v="5"/>
    <x v="2"/>
    <x v="141"/>
    <x v="150"/>
    <x v="116"/>
    <x v="145"/>
    <x v="121"/>
    <x v="57"/>
    <x v="0"/>
  </r>
  <r>
    <x v="0"/>
    <x v="9"/>
    <x v="9"/>
    <x v="1"/>
    <x v="1"/>
    <x v="1"/>
    <x v="3"/>
    <x v="72"/>
    <x v="151"/>
    <x v="117"/>
    <x v="146"/>
    <x v="29"/>
    <x v="147"/>
    <x v="0"/>
  </r>
  <r>
    <x v="0"/>
    <x v="9"/>
    <x v="9"/>
    <x v="2"/>
    <x v="2"/>
    <x v="2"/>
    <x v="4"/>
    <x v="46"/>
    <x v="152"/>
    <x v="43"/>
    <x v="23"/>
    <x v="46"/>
    <x v="148"/>
    <x v="0"/>
  </r>
  <r>
    <x v="0"/>
    <x v="9"/>
    <x v="9"/>
    <x v="4"/>
    <x v="4"/>
    <x v="4"/>
    <x v="5"/>
    <x v="34"/>
    <x v="153"/>
    <x v="49"/>
    <x v="147"/>
    <x v="119"/>
    <x v="149"/>
    <x v="0"/>
  </r>
  <r>
    <x v="0"/>
    <x v="9"/>
    <x v="9"/>
    <x v="6"/>
    <x v="6"/>
    <x v="6"/>
    <x v="6"/>
    <x v="49"/>
    <x v="154"/>
    <x v="24"/>
    <x v="148"/>
    <x v="29"/>
    <x v="147"/>
    <x v="0"/>
  </r>
  <r>
    <x v="0"/>
    <x v="9"/>
    <x v="9"/>
    <x v="7"/>
    <x v="7"/>
    <x v="7"/>
    <x v="7"/>
    <x v="98"/>
    <x v="155"/>
    <x v="108"/>
    <x v="149"/>
    <x v="122"/>
    <x v="150"/>
    <x v="0"/>
  </r>
  <r>
    <x v="0"/>
    <x v="9"/>
    <x v="9"/>
    <x v="10"/>
    <x v="10"/>
    <x v="10"/>
    <x v="8"/>
    <x v="123"/>
    <x v="27"/>
    <x v="84"/>
    <x v="93"/>
    <x v="109"/>
    <x v="146"/>
    <x v="0"/>
  </r>
  <r>
    <x v="0"/>
    <x v="9"/>
    <x v="9"/>
    <x v="9"/>
    <x v="9"/>
    <x v="9"/>
    <x v="9"/>
    <x v="100"/>
    <x v="156"/>
    <x v="73"/>
    <x v="150"/>
    <x v="101"/>
    <x v="151"/>
    <x v="0"/>
  </r>
  <r>
    <x v="0"/>
    <x v="9"/>
    <x v="9"/>
    <x v="14"/>
    <x v="14"/>
    <x v="14"/>
    <x v="10"/>
    <x v="142"/>
    <x v="86"/>
    <x v="84"/>
    <x v="93"/>
    <x v="96"/>
    <x v="114"/>
    <x v="0"/>
  </r>
  <r>
    <x v="0"/>
    <x v="9"/>
    <x v="9"/>
    <x v="11"/>
    <x v="11"/>
    <x v="11"/>
    <x v="11"/>
    <x v="114"/>
    <x v="118"/>
    <x v="118"/>
    <x v="151"/>
    <x v="107"/>
    <x v="152"/>
    <x v="0"/>
  </r>
  <r>
    <x v="0"/>
    <x v="9"/>
    <x v="9"/>
    <x v="8"/>
    <x v="8"/>
    <x v="8"/>
    <x v="12"/>
    <x v="124"/>
    <x v="157"/>
    <x v="15"/>
    <x v="152"/>
    <x v="96"/>
    <x v="114"/>
    <x v="0"/>
  </r>
  <r>
    <x v="0"/>
    <x v="9"/>
    <x v="9"/>
    <x v="15"/>
    <x v="15"/>
    <x v="15"/>
    <x v="13"/>
    <x v="135"/>
    <x v="33"/>
    <x v="97"/>
    <x v="110"/>
    <x v="114"/>
    <x v="94"/>
    <x v="0"/>
  </r>
  <r>
    <x v="0"/>
    <x v="9"/>
    <x v="9"/>
    <x v="32"/>
    <x v="32"/>
    <x v="32"/>
    <x v="14"/>
    <x v="126"/>
    <x v="158"/>
    <x v="98"/>
    <x v="59"/>
    <x v="99"/>
    <x v="153"/>
    <x v="0"/>
  </r>
  <r>
    <x v="0"/>
    <x v="9"/>
    <x v="9"/>
    <x v="13"/>
    <x v="13"/>
    <x v="13"/>
    <x v="14"/>
    <x v="126"/>
    <x v="158"/>
    <x v="108"/>
    <x v="149"/>
    <x v="117"/>
    <x v="154"/>
    <x v="0"/>
  </r>
  <r>
    <x v="0"/>
    <x v="9"/>
    <x v="9"/>
    <x v="19"/>
    <x v="19"/>
    <x v="19"/>
    <x v="16"/>
    <x v="127"/>
    <x v="159"/>
    <x v="52"/>
    <x v="153"/>
    <x v="107"/>
    <x v="152"/>
    <x v="0"/>
  </r>
  <r>
    <x v="0"/>
    <x v="9"/>
    <x v="9"/>
    <x v="24"/>
    <x v="24"/>
    <x v="24"/>
    <x v="17"/>
    <x v="143"/>
    <x v="107"/>
    <x v="33"/>
    <x v="154"/>
    <x v="51"/>
    <x v="155"/>
    <x v="0"/>
  </r>
  <r>
    <x v="0"/>
    <x v="9"/>
    <x v="9"/>
    <x v="12"/>
    <x v="12"/>
    <x v="12"/>
    <x v="17"/>
    <x v="143"/>
    <x v="107"/>
    <x v="80"/>
    <x v="155"/>
    <x v="99"/>
    <x v="153"/>
    <x v="0"/>
  </r>
  <r>
    <x v="0"/>
    <x v="9"/>
    <x v="9"/>
    <x v="29"/>
    <x v="29"/>
    <x v="29"/>
    <x v="19"/>
    <x v="144"/>
    <x v="160"/>
    <x v="80"/>
    <x v="155"/>
    <x v="106"/>
    <x v="7"/>
    <x v="0"/>
  </r>
  <r>
    <x v="0"/>
    <x v="9"/>
    <x v="9"/>
    <x v="17"/>
    <x v="17"/>
    <x v="17"/>
    <x v="19"/>
    <x v="144"/>
    <x v="160"/>
    <x v="66"/>
    <x v="156"/>
    <x v="51"/>
    <x v="155"/>
    <x v="0"/>
  </r>
  <r>
    <x v="0"/>
    <x v="10"/>
    <x v="10"/>
    <x v="0"/>
    <x v="0"/>
    <x v="0"/>
    <x v="0"/>
    <x v="73"/>
    <x v="161"/>
    <x v="72"/>
    <x v="21"/>
    <x v="96"/>
    <x v="156"/>
    <x v="0"/>
  </r>
  <r>
    <x v="0"/>
    <x v="10"/>
    <x v="10"/>
    <x v="4"/>
    <x v="4"/>
    <x v="4"/>
    <x v="1"/>
    <x v="129"/>
    <x v="162"/>
    <x v="119"/>
    <x v="157"/>
    <x v="79"/>
    <x v="157"/>
    <x v="0"/>
  </r>
  <r>
    <x v="0"/>
    <x v="10"/>
    <x v="10"/>
    <x v="2"/>
    <x v="2"/>
    <x v="2"/>
    <x v="2"/>
    <x v="145"/>
    <x v="163"/>
    <x v="112"/>
    <x v="158"/>
    <x v="123"/>
    <x v="158"/>
    <x v="0"/>
  </r>
  <r>
    <x v="0"/>
    <x v="10"/>
    <x v="10"/>
    <x v="5"/>
    <x v="5"/>
    <x v="5"/>
    <x v="3"/>
    <x v="146"/>
    <x v="164"/>
    <x v="63"/>
    <x v="159"/>
    <x v="54"/>
    <x v="159"/>
    <x v="0"/>
  </r>
  <r>
    <x v="0"/>
    <x v="10"/>
    <x v="10"/>
    <x v="6"/>
    <x v="6"/>
    <x v="6"/>
    <x v="4"/>
    <x v="147"/>
    <x v="165"/>
    <x v="120"/>
    <x v="160"/>
    <x v="115"/>
    <x v="160"/>
    <x v="0"/>
  </r>
  <r>
    <x v="0"/>
    <x v="10"/>
    <x v="10"/>
    <x v="1"/>
    <x v="1"/>
    <x v="1"/>
    <x v="5"/>
    <x v="148"/>
    <x v="166"/>
    <x v="93"/>
    <x v="161"/>
    <x v="107"/>
    <x v="29"/>
    <x v="0"/>
  </r>
  <r>
    <x v="0"/>
    <x v="10"/>
    <x v="10"/>
    <x v="10"/>
    <x v="10"/>
    <x v="10"/>
    <x v="6"/>
    <x v="132"/>
    <x v="81"/>
    <x v="99"/>
    <x v="162"/>
    <x v="91"/>
    <x v="161"/>
    <x v="0"/>
  </r>
  <r>
    <x v="0"/>
    <x v="10"/>
    <x v="10"/>
    <x v="3"/>
    <x v="3"/>
    <x v="3"/>
    <x v="7"/>
    <x v="149"/>
    <x v="167"/>
    <x v="99"/>
    <x v="162"/>
    <x v="107"/>
    <x v="29"/>
    <x v="0"/>
  </r>
  <r>
    <x v="0"/>
    <x v="10"/>
    <x v="10"/>
    <x v="14"/>
    <x v="14"/>
    <x v="14"/>
    <x v="7"/>
    <x v="149"/>
    <x v="167"/>
    <x v="113"/>
    <x v="163"/>
    <x v="99"/>
    <x v="162"/>
    <x v="0"/>
  </r>
  <r>
    <x v="0"/>
    <x v="10"/>
    <x v="10"/>
    <x v="7"/>
    <x v="7"/>
    <x v="7"/>
    <x v="9"/>
    <x v="124"/>
    <x v="168"/>
    <x v="78"/>
    <x v="65"/>
    <x v="111"/>
    <x v="163"/>
    <x v="0"/>
  </r>
  <r>
    <x v="0"/>
    <x v="10"/>
    <x v="10"/>
    <x v="11"/>
    <x v="11"/>
    <x v="11"/>
    <x v="9"/>
    <x v="124"/>
    <x v="168"/>
    <x v="118"/>
    <x v="164"/>
    <x v="120"/>
    <x v="124"/>
    <x v="0"/>
  </r>
  <r>
    <x v="0"/>
    <x v="10"/>
    <x v="10"/>
    <x v="9"/>
    <x v="9"/>
    <x v="9"/>
    <x v="11"/>
    <x v="115"/>
    <x v="169"/>
    <x v="108"/>
    <x v="165"/>
    <x v="118"/>
    <x v="164"/>
    <x v="0"/>
  </r>
  <r>
    <x v="0"/>
    <x v="10"/>
    <x v="10"/>
    <x v="15"/>
    <x v="15"/>
    <x v="15"/>
    <x v="12"/>
    <x v="135"/>
    <x v="170"/>
    <x v="97"/>
    <x v="110"/>
    <x v="91"/>
    <x v="161"/>
    <x v="0"/>
  </r>
  <r>
    <x v="0"/>
    <x v="10"/>
    <x v="10"/>
    <x v="8"/>
    <x v="8"/>
    <x v="8"/>
    <x v="13"/>
    <x v="126"/>
    <x v="171"/>
    <x v="109"/>
    <x v="166"/>
    <x v="92"/>
    <x v="165"/>
    <x v="0"/>
  </r>
  <r>
    <x v="0"/>
    <x v="10"/>
    <x v="10"/>
    <x v="17"/>
    <x v="17"/>
    <x v="17"/>
    <x v="14"/>
    <x v="143"/>
    <x v="134"/>
    <x v="38"/>
    <x v="167"/>
    <x v="114"/>
    <x v="166"/>
    <x v="0"/>
  </r>
  <r>
    <x v="0"/>
    <x v="10"/>
    <x v="10"/>
    <x v="12"/>
    <x v="12"/>
    <x v="12"/>
    <x v="15"/>
    <x v="144"/>
    <x v="172"/>
    <x v="66"/>
    <x v="168"/>
    <x v="99"/>
    <x v="162"/>
    <x v="4"/>
  </r>
  <r>
    <x v="0"/>
    <x v="10"/>
    <x v="10"/>
    <x v="33"/>
    <x v="33"/>
    <x v="33"/>
    <x v="16"/>
    <x v="150"/>
    <x v="89"/>
    <x v="52"/>
    <x v="169"/>
    <x v="120"/>
    <x v="124"/>
    <x v="0"/>
  </r>
  <r>
    <x v="0"/>
    <x v="10"/>
    <x v="10"/>
    <x v="28"/>
    <x v="28"/>
    <x v="28"/>
    <x v="17"/>
    <x v="136"/>
    <x v="72"/>
    <x v="66"/>
    <x v="168"/>
    <x v="106"/>
    <x v="167"/>
    <x v="0"/>
  </r>
  <r>
    <x v="0"/>
    <x v="10"/>
    <x v="10"/>
    <x v="13"/>
    <x v="13"/>
    <x v="13"/>
    <x v="17"/>
    <x v="136"/>
    <x v="72"/>
    <x v="121"/>
    <x v="170"/>
    <x v="120"/>
    <x v="124"/>
    <x v="0"/>
  </r>
  <r>
    <x v="0"/>
    <x v="10"/>
    <x v="10"/>
    <x v="19"/>
    <x v="19"/>
    <x v="19"/>
    <x v="17"/>
    <x v="136"/>
    <x v="72"/>
    <x v="52"/>
    <x v="169"/>
    <x v="118"/>
    <x v="164"/>
    <x v="0"/>
  </r>
  <r>
    <x v="0"/>
    <x v="11"/>
    <x v="11"/>
    <x v="0"/>
    <x v="0"/>
    <x v="0"/>
    <x v="0"/>
    <x v="151"/>
    <x v="173"/>
    <x v="122"/>
    <x v="171"/>
    <x v="86"/>
    <x v="168"/>
    <x v="0"/>
  </r>
  <r>
    <x v="0"/>
    <x v="11"/>
    <x v="11"/>
    <x v="1"/>
    <x v="1"/>
    <x v="1"/>
    <x v="1"/>
    <x v="128"/>
    <x v="174"/>
    <x v="123"/>
    <x v="172"/>
    <x v="91"/>
    <x v="169"/>
    <x v="0"/>
  </r>
  <r>
    <x v="0"/>
    <x v="11"/>
    <x v="11"/>
    <x v="3"/>
    <x v="3"/>
    <x v="3"/>
    <x v="2"/>
    <x v="152"/>
    <x v="175"/>
    <x v="124"/>
    <x v="173"/>
    <x v="53"/>
    <x v="170"/>
    <x v="0"/>
  </r>
  <r>
    <x v="0"/>
    <x v="11"/>
    <x v="11"/>
    <x v="2"/>
    <x v="2"/>
    <x v="2"/>
    <x v="3"/>
    <x v="153"/>
    <x v="125"/>
    <x v="125"/>
    <x v="174"/>
    <x v="79"/>
    <x v="171"/>
    <x v="0"/>
  </r>
  <r>
    <x v="0"/>
    <x v="11"/>
    <x v="11"/>
    <x v="4"/>
    <x v="4"/>
    <x v="4"/>
    <x v="4"/>
    <x v="48"/>
    <x v="176"/>
    <x v="84"/>
    <x v="123"/>
    <x v="62"/>
    <x v="172"/>
    <x v="0"/>
  </r>
  <r>
    <x v="0"/>
    <x v="11"/>
    <x v="11"/>
    <x v="5"/>
    <x v="5"/>
    <x v="5"/>
    <x v="5"/>
    <x v="96"/>
    <x v="177"/>
    <x v="84"/>
    <x v="123"/>
    <x v="45"/>
    <x v="173"/>
    <x v="0"/>
  </r>
  <r>
    <x v="0"/>
    <x v="11"/>
    <x v="11"/>
    <x v="6"/>
    <x v="6"/>
    <x v="6"/>
    <x v="6"/>
    <x v="120"/>
    <x v="178"/>
    <x v="112"/>
    <x v="175"/>
    <x v="98"/>
    <x v="33"/>
    <x v="4"/>
  </r>
  <r>
    <x v="0"/>
    <x v="11"/>
    <x v="11"/>
    <x v="7"/>
    <x v="7"/>
    <x v="7"/>
    <x v="7"/>
    <x v="154"/>
    <x v="179"/>
    <x v="52"/>
    <x v="176"/>
    <x v="124"/>
    <x v="174"/>
    <x v="0"/>
  </r>
  <r>
    <x v="0"/>
    <x v="11"/>
    <x v="11"/>
    <x v="9"/>
    <x v="9"/>
    <x v="9"/>
    <x v="8"/>
    <x v="155"/>
    <x v="64"/>
    <x v="105"/>
    <x v="177"/>
    <x v="96"/>
    <x v="175"/>
    <x v="0"/>
  </r>
  <r>
    <x v="0"/>
    <x v="11"/>
    <x v="11"/>
    <x v="8"/>
    <x v="8"/>
    <x v="8"/>
    <x v="9"/>
    <x v="148"/>
    <x v="180"/>
    <x v="126"/>
    <x v="178"/>
    <x v="96"/>
    <x v="175"/>
    <x v="4"/>
  </r>
  <r>
    <x v="0"/>
    <x v="11"/>
    <x v="11"/>
    <x v="10"/>
    <x v="10"/>
    <x v="10"/>
    <x v="10"/>
    <x v="123"/>
    <x v="181"/>
    <x v="45"/>
    <x v="47"/>
    <x v="91"/>
    <x v="169"/>
    <x v="0"/>
  </r>
  <r>
    <x v="0"/>
    <x v="11"/>
    <x v="11"/>
    <x v="11"/>
    <x v="11"/>
    <x v="11"/>
    <x v="11"/>
    <x v="99"/>
    <x v="66"/>
    <x v="118"/>
    <x v="79"/>
    <x v="109"/>
    <x v="85"/>
    <x v="0"/>
  </r>
  <r>
    <x v="0"/>
    <x v="11"/>
    <x v="11"/>
    <x v="12"/>
    <x v="12"/>
    <x v="12"/>
    <x v="12"/>
    <x v="133"/>
    <x v="68"/>
    <x v="108"/>
    <x v="179"/>
    <x v="113"/>
    <x v="11"/>
    <x v="0"/>
  </r>
  <r>
    <x v="0"/>
    <x v="11"/>
    <x v="11"/>
    <x v="15"/>
    <x v="15"/>
    <x v="15"/>
    <x v="13"/>
    <x v="100"/>
    <x v="144"/>
    <x v="97"/>
    <x v="110"/>
    <x v="111"/>
    <x v="176"/>
    <x v="0"/>
  </r>
  <r>
    <x v="0"/>
    <x v="11"/>
    <x v="11"/>
    <x v="17"/>
    <x v="17"/>
    <x v="17"/>
    <x v="14"/>
    <x v="114"/>
    <x v="182"/>
    <x v="38"/>
    <x v="180"/>
    <x v="97"/>
    <x v="177"/>
    <x v="0"/>
  </r>
  <r>
    <x v="0"/>
    <x v="11"/>
    <x v="11"/>
    <x v="13"/>
    <x v="13"/>
    <x v="13"/>
    <x v="15"/>
    <x v="149"/>
    <x v="183"/>
    <x v="15"/>
    <x v="181"/>
    <x v="51"/>
    <x v="178"/>
    <x v="0"/>
  </r>
  <r>
    <x v="0"/>
    <x v="11"/>
    <x v="11"/>
    <x v="14"/>
    <x v="14"/>
    <x v="14"/>
    <x v="16"/>
    <x v="102"/>
    <x v="184"/>
    <x v="51"/>
    <x v="182"/>
    <x v="96"/>
    <x v="175"/>
    <x v="0"/>
  </r>
  <r>
    <x v="0"/>
    <x v="11"/>
    <x v="11"/>
    <x v="31"/>
    <x v="31"/>
    <x v="31"/>
    <x v="17"/>
    <x v="156"/>
    <x v="185"/>
    <x v="121"/>
    <x v="183"/>
    <x v="90"/>
    <x v="52"/>
    <x v="0"/>
  </r>
  <r>
    <x v="0"/>
    <x v="11"/>
    <x v="11"/>
    <x v="18"/>
    <x v="18"/>
    <x v="18"/>
    <x v="18"/>
    <x v="135"/>
    <x v="90"/>
    <x v="66"/>
    <x v="184"/>
    <x v="91"/>
    <x v="169"/>
    <x v="0"/>
  </r>
  <r>
    <x v="0"/>
    <x v="11"/>
    <x v="11"/>
    <x v="19"/>
    <x v="19"/>
    <x v="19"/>
    <x v="19"/>
    <x v="126"/>
    <x v="34"/>
    <x v="78"/>
    <x v="126"/>
    <x v="107"/>
    <x v="179"/>
    <x v="0"/>
  </r>
  <r>
    <x v="0"/>
    <x v="12"/>
    <x v="12"/>
    <x v="0"/>
    <x v="0"/>
    <x v="0"/>
    <x v="0"/>
    <x v="157"/>
    <x v="0"/>
    <x v="127"/>
    <x v="185"/>
    <x v="98"/>
    <x v="180"/>
    <x v="0"/>
  </r>
  <r>
    <x v="0"/>
    <x v="12"/>
    <x v="12"/>
    <x v="3"/>
    <x v="3"/>
    <x v="3"/>
    <x v="1"/>
    <x v="158"/>
    <x v="186"/>
    <x v="114"/>
    <x v="186"/>
    <x v="102"/>
    <x v="181"/>
    <x v="0"/>
  </r>
  <r>
    <x v="0"/>
    <x v="12"/>
    <x v="12"/>
    <x v="2"/>
    <x v="2"/>
    <x v="2"/>
    <x v="2"/>
    <x v="159"/>
    <x v="187"/>
    <x v="128"/>
    <x v="187"/>
    <x v="104"/>
    <x v="134"/>
    <x v="1"/>
  </r>
  <r>
    <x v="0"/>
    <x v="12"/>
    <x v="12"/>
    <x v="4"/>
    <x v="4"/>
    <x v="4"/>
    <x v="3"/>
    <x v="160"/>
    <x v="188"/>
    <x v="125"/>
    <x v="188"/>
    <x v="125"/>
    <x v="182"/>
    <x v="0"/>
  </r>
  <r>
    <x v="0"/>
    <x v="12"/>
    <x v="12"/>
    <x v="5"/>
    <x v="5"/>
    <x v="5"/>
    <x v="4"/>
    <x v="161"/>
    <x v="189"/>
    <x v="124"/>
    <x v="189"/>
    <x v="126"/>
    <x v="183"/>
    <x v="0"/>
  </r>
  <r>
    <x v="0"/>
    <x v="12"/>
    <x v="12"/>
    <x v="1"/>
    <x v="1"/>
    <x v="1"/>
    <x v="5"/>
    <x v="153"/>
    <x v="190"/>
    <x v="17"/>
    <x v="190"/>
    <x v="107"/>
    <x v="152"/>
    <x v="0"/>
  </r>
  <r>
    <x v="0"/>
    <x v="12"/>
    <x v="12"/>
    <x v="6"/>
    <x v="6"/>
    <x v="6"/>
    <x v="6"/>
    <x v="146"/>
    <x v="191"/>
    <x v="94"/>
    <x v="191"/>
    <x v="113"/>
    <x v="184"/>
    <x v="4"/>
  </r>
  <r>
    <x v="0"/>
    <x v="12"/>
    <x v="12"/>
    <x v="10"/>
    <x v="10"/>
    <x v="10"/>
    <x v="7"/>
    <x v="162"/>
    <x v="192"/>
    <x v="79"/>
    <x v="192"/>
    <x v="93"/>
    <x v="185"/>
    <x v="0"/>
  </r>
  <r>
    <x v="0"/>
    <x v="12"/>
    <x v="12"/>
    <x v="7"/>
    <x v="7"/>
    <x v="7"/>
    <x v="8"/>
    <x v="111"/>
    <x v="28"/>
    <x v="109"/>
    <x v="193"/>
    <x v="53"/>
    <x v="186"/>
    <x v="0"/>
  </r>
  <r>
    <x v="0"/>
    <x v="12"/>
    <x v="12"/>
    <x v="9"/>
    <x v="9"/>
    <x v="9"/>
    <x v="9"/>
    <x v="163"/>
    <x v="193"/>
    <x v="129"/>
    <x v="163"/>
    <x v="116"/>
    <x v="187"/>
    <x v="0"/>
  </r>
  <r>
    <x v="0"/>
    <x v="12"/>
    <x v="12"/>
    <x v="8"/>
    <x v="8"/>
    <x v="8"/>
    <x v="10"/>
    <x v="114"/>
    <x v="182"/>
    <x v="99"/>
    <x v="194"/>
    <x v="96"/>
    <x v="114"/>
    <x v="1"/>
  </r>
  <r>
    <x v="0"/>
    <x v="12"/>
    <x v="12"/>
    <x v="14"/>
    <x v="14"/>
    <x v="14"/>
    <x v="11"/>
    <x v="124"/>
    <x v="194"/>
    <x v="118"/>
    <x v="11"/>
    <x v="120"/>
    <x v="188"/>
    <x v="0"/>
  </r>
  <r>
    <x v="0"/>
    <x v="12"/>
    <x v="12"/>
    <x v="28"/>
    <x v="28"/>
    <x v="28"/>
    <x v="12"/>
    <x v="102"/>
    <x v="184"/>
    <x v="15"/>
    <x v="195"/>
    <x v="106"/>
    <x v="7"/>
    <x v="0"/>
  </r>
  <r>
    <x v="0"/>
    <x v="12"/>
    <x v="12"/>
    <x v="12"/>
    <x v="12"/>
    <x v="12"/>
    <x v="13"/>
    <x v="135"/>
    <x v="90"/>
    <x v="52"/>
    <x v="196"/>
    <x v="99"/>
    <x v="153"/>
    <x v="4"/>
  </r>
  <r>
    <x v="0"/>
    <x v="12"/>
    <x v="12"/>
    <x v="11"/>
    <x v="11"/>
    <x v="11"/>
    <x v="14"/>
    <x v="126"/>
    <x v="195"/>
    <x v="78"/>
    <x v="197"/>
    <x v="107"/>
    <x v="152"/>
    <x v="0"/>
  </r>
  <r>
    <x v="0"/>
    <x v="12"/>
    <x v="12"/>
    <x v="13"/>
    <x v="13"/>
    <x v="13"/>
    <x v="15"/>
    <x v="127"/>
    <x v="196"/>
    <x v="96"/>
    <x v="43"/>
    <x v="92"/>
    <x v="189"/>
    <x v="0"/>
  </r>
  <r>
    <x v="0"/>
    <x v="12"/>
    <x v="12"/>
    <x v="19"/>
    <x v="19"/>
    <x v="19"/>
    <x v="15"/>
    <x v="127"/>
    <x v="196"/>
    <x v="52"/>
    <x v="196"/>
    <x v="106"/>
    <x v="7"/>
    <x v="0"/>
  </r>
  <r>
    <x v="0"/>
    <x v="12"/>
    <x v="12"/>
    <x v="20"/>
    <x v="20"/>
    <x v="20"/>
    <x v="17"/>
    <x v="143"/>
    <x v="197"/>
    <x v="52"/>
    <x v="196"/>
    <x v="107"/>
    <x v="152"/>
    <x v="0"/>
  </r>
  <r>
    <x v="0"/>
    <x v="12"/>
    <x v="12"/>
    <x v="29"/>
    <x v="29"/>
    <x v="29"/>
    <x v="18"/>
    <x v="150"/>
    <x v="198"/>
    <x v="66"/>
    <x v="198"/>
    <x v="99"/>
    <x v="153"/>
    <x v="0"/>
  </r>
  <r>
    <x v="0"/>
    <x v="12"/>
    <x v="12"/>
    <x v="31"/>
    <x v="31"/>
    <x v="31"/>
    <x v="18"/>
    <x v="150"/>
    <x v="198"/>
    <x v="91"/>
    <x v="51"/>
    <x v="114"/>
    <x v="94"/>
    <x v="0"/>
  </r>
  <r>
    <x v="0"/>
    <x v="13"/>
    <x v="13"/>
    <x v="3"/>
    <x v="3"/>
    <x v="3"/>
    <x v="0"/>
    <x v="107"/>
    <x v="199"/>
    <x v="125"/>
    <x v="199"/>
    <x v="93"/>
    <x v="190"/>
    <x v="0"/>
  </r>
  <r>
    <x v="0"/>
    <x v="13"/>
    <x v="13"/>
    <x v="0"/>
    <x v="0"/>
    <x v="0"/>
    <x v="1"/>
    <x v="164"/>
    <x v="200"/>
    <x v="95"/>
    <x v="200"/>
    <x v="99"/>
    <x v="191"/>
    <x v="0"/>
  </r>
  <r>
    <x v="0"/>
    <x v="13"/>
    <x v="13"/>
    <x v="4"/>
    <x v="4"/>
    <x v="4"/>
    <x v="2"/>
    <x v="165"/>
    <x v="201"/>
    <x v="45"/>
    <x v="201"/>
    <x v="127"/>
    <x v="192"/>
    <x v="0"/>
  </r>
  <r>
    <x v="0"/>
    <x v="13"/>
    <x v="13"/>
    <x v="5"/>
    <x v="5"/>
    <x v="5"/>
    <x v="3"/>
    <x v="166"/>
    <x v="202"/>
    <x v="130"/>
    <x v="202"/>
    <x v="93"/>
    <x v="190"/>
    <x v="0"/>
  </r>
  <r>
    <x v="0"/>
    <x v="13"/>
    <x v="13"/>
    <x v="1"/>
    <x v="1"/>
    <x v="1"/>
    <x v="4"/>
    <x v="155"/>
    <x v="203"/>
    <x v="104"/>
    <x v="203"/>
    <x v="51"/>
    <x v="51"/>
    <x v="0"/>
  </r>
  <r>
    <x v="0"/>
    <x v="13"/>
    <x v="13"/>
    <x v="2"/>
    <x v="2"/>
    <x v="2"/>
    <x v="5"/>
    <x v="132"/>
    <x v="204"/>
    <x v="99"/>
    <x v="204"/>
    <x v="91"/>
    <x v="193"/>
    <x v="0"/>
  </r>
  <r>
    <x v="0"/>
    <x v="13"/>
    <x v="13"/>
    <x v="6"/>
    <x v="6"/>
    <x v="6"/>
    <x v="6"/>
    <x v="133"/>
    <x v="205"/>
    <x v="84"/>
    <x v="205"/>
    <x v="100"/>
    <x v="160"/>
    <x v="0"/>
  </r>
  <r>
    <x v="0"/>
    <x v="13"/>
    <x v="13"/>
    <x v="9"/>
    <x v="9"/>
    <x v="9"/>
    <x v="7"/>
    <x v="103"/>
    <x v="206"/>
    <x v="88"/>
    <x v="206"/>
    <x v="96"/>
    <x v="194"/>
    <x v="0"/>
  </r>
  <r>
    <x v="0"/>
    <x v="13"/>
    <x v="13"/>
    <x v="7"/>
    <x v="7"/>
    <x v="7"/>
    <x v="8"/>
    <x v="104"/>
    <x v="116"/>
    <x v="98"/>
    <x v="207"/>
    <x v="114"/>
    <x v="195"/>
    <x v="0"/>
  </r>
  <r>
    <x v="0"/>
    <x v="13"/>
    <x v="13"/>
    <x v="10"/>
    <x v="10"/>
    <x v="10"/>
    <x v="9"/>
    <x v="105"/>
    <x v="207"/>
    <x v="78"/>
    <x v="79"/>
    <x v="96"/>
    <x v="194"/>
    <x v="0"/>
  </r>
  <r>
    <x v="0"/>
    <x v="13"/>
    <x v="13"/>
    <x v="8"/>
    <x v="8"/>
    <x v="8"/>
    <x v="10"/>
    <x v="127"/>
    <x v="69"/>
    <x v="121"/>
    <x v="208"/>
    <x v="120"/>
    <x v="196"/>
    <x v="0"/>
  </r>
  <r>
    <x v="0"/>
    <x v="13"/>
    <x v="13"/>
    <x v="15"/>
    <x v="15"/>
    <x v="15"/>
    <x v="11"/>
    <x v="144"/>
    <x v="13"/>
    <x v="97"/>
    <x v="110"/>
    <x v="110"/>
    <x v="197"/>
    <x v="0"/>
  </r>
  <r>
    <x v="0"/>
    <x v="13"/>
    <x v="13"/>
    <x v="13"/>
    <x v="13"/>
    <x v="13"/>
    <x v="12"/>
    <x v="136"/>
    <x v="52"/>
    <x v="98"/>
    <x v="207"/>
    <x v="117"/>
    <x v="164"/>
    <x v="0"/>
  </r>
  <r>
    <x v="0"/>
    <x v="13"/>
    <x v="13"/>
    <x v="12"/>
    <x v="12"/>
    <x v="12"/>
    <x v="12"/>
    <x v="136"/>
    <x v="52"/>
    <x v="66"/>
    <x v="209"/>
    <x v="106"/>
    <x v="72"/>
    <x v="0"/>
  </r>
  <r>
    <x v="0"/>
    <x v="13"/>
    <x v="13"/>
    <x v="32"/>
    <x v="32"/>
    <x v="32"/>
    <x v="14"/>
    <x v="137"/>
    <x v="208"/>
    <x v="38"/>
    <x v="210"/>
    <x v="106"/>
    <x v="72"/>
    <x v="0"/>
  </r>
  <r>
    <x v="0"/>
    <x v="13"/>
    <x v="13"/>
    <x v="14"/>
    <x v="14"/>
    <x v="14"/>
    <x v="14"/>
    <x v="137"/>
    <x v="208"/>
    <x v="131"/>
    <x v="211"/>
    <x v="101"/>
    <x v="28"/>
    <x v="0"/>
  </r>
  <r>
    <x v="0"/>
    <x v="13"/>
    <x v="13"/>
    <x v="34"/>
    <x v="34"/>
    <x v="34"/>
    <x v="16"/>
    <x v="167"/>
    <x v="209"/>
    <x v="91"/>
    <x v="52"/>
    <x v="107"/>
    <x v="198"/>
    <x v="0"/>
  </r>
  <r>
    <x v="0"/>
    <x v="13"/>
    <x v="13"/>
    <x v="17"/>
    <x v="17"/>
    <x v="17"/>
    <x v="16"/>
    <x v="167"/>
    <x v="209"/>
    <x v="90"/>
    <x v="212"/>
    <x v="106"/>
    <x v="72"/>
    <x v="0"/>
  </r>
  <r>
    <x v="0"/>
    <x v="13"/>
    <x v="13"/>
    <x v="23"/>
    <x v="23"/>
    <x v="23"/>
    <x v="16"/>
    <x v="167"/>
    <x v="209"/>
    <x v="37"/>
    <x v="66"/>
    <x v="96"/>
    <x v="194"/>
    <x v="0"/>
  </r>
  <r>
    <x v="0"/>
    <x v="13"/>
    <x v="13"/>
    <x v="11"/>
    <x v="11"/>
    <x v="11"/>
    <x v="16"/>
    <x v="167"/>
    <x v="209"/>
    <x v="66"/>
    <x v="209"/>
    <x v="118"/>
    <x v="199"/>
    <x v="0"/>
  </r>
  <r>
    <x v="0"/>
    <x v="14"/>
    <x v="14"/>
    <x v="3"/>
    <x v="3"/>
    <x v="3"/>
    <x v="0"/>
    <x v="156"/>
    <x v="210"/>
    <x v="88"/>
    <x v="213"/>
    <x v="106"/>
    <x v="200"/>
    <x v="0"/>
  </r>
  <r>
    <x v="0"/>
    <x v="14"/>
    <x v="14"/>
    <x v="0"/>
    <x v="0"/>
    <x v="0"/>
    <x v="0"/>
    <x v="156"/>
    <x v="210"/>
    <x v="36"/>
    <x v="214"/>
    <x v="116"/>
    <x v="201"/>
    <x v="0"/>
  </r>
  <r>
    <x v="0"/>
    <x v="14"/>
    <x v="14"/>
    <x v="5"/>
    <x v="5"/>
    <x v="5"/>
    <x v="2"/>
    <x v="125"/>
    <x v="211"/>
    <x v="50"/>
    <x v="215"/>
    <x v="99"/>
    <x v="202"/>
    <x v="0"/>
  </r>
  <r>
    <x v="0"/>
    <x v="14"/>
    <x v="14"/>
    <x v="2"/>
    <x v="2"/>
    <x v="2"/>
    <x v="3"/>
    <x v="105"/>
    <x v="212"/>
    <x v="52"/>
    <x v="216"/>
    <x v="99"/>
    <x v="202"/>
    <x v="0"/>
  </r>
  <r>
    <x v="0"/>
    <x v="14"/>
    <x v="14"/>
    <x v="4"/>
    <x v="4"/>
    <x v="4"/>
    <x v="4"/>
    <x v="143"/>
    <x v="213"/>
    <x v="80"/>
    <x v="217"/>
    <x v="99"/>
    <x v="202"/>
    <x v="0"/>
  </r>
  <r>
    <x v="0"/>
    <x v="14"/>
    <x v="14"/>
    <x v="8"/>
    <x v="8"/>
    <x v="8"/>
    <x v="5"/>
    <x v="144"/>
    <x v="214"/>
    <x v="131"/>
    <x v="6"/>
    <x v="92"/>
    <x v="203"/>
    <x v="0"/>
  </r>
  <r>
    <x v="0"/>
    <x v="14"/>
    <x v="14"/>
    <x v="10"/>
    <x v="10"/>
    <x v="10"/>
    <x v="6"/>
    <x v="150"/>
    <x v="215"/>
    <x v="80"/>
    <x v="217"/>
    <x v="107"/>
    <x v="204"/>
    <x v="0"/>
  </r>
  <r>
    <x v="0"/>
    <x v="14"/>
    <x v="14"/>
    <x v="6"/>
    <x v="6"/>
    <x v="6"/>
    <x v="7"/>
    <x v="168"/>
    <x v="216"/>
    <x v="121"/>
    <x v="218"/>
    <x v="101"/>
    <x v="205"/>
    <x v="4"/>
  </r>
  <r>
    <x v="0"/>
    <x v="14"/>
    <x v="14"/>
    <x v="1"/>
    <x v="1"/>
    <x v="1"/>
    <x v="8"/>
    <x v="169"/>
    <x v="217"/>
    <x v="52"/>
    <x v="216"/>
    <x v="128"/>
    <x v="206"/>
    <x v="0"/>
  </r>
  <r>
    <x v="0"/>
    <x v="14"/>
    <x v="14"/>
    <x v="9"/>
    <x v="9"/>
    <x v="9"/>
    <x v="8"/>
    <x v="169"/>
    <x v="217"/>
    <x v="52"/>
    <x v="216"/>
    <x v="128"/>
    <x v="206"/>
    <x v="0"/>
  </r>
  <r>
    <x v="0"/>
    <x v="14"/>
    <x v="14"/>
    <x v="7"/>
    <x v="7"/>
    <x v="7"/>
    <x v="10"/>
    <x v="170"/>
    <x v="10"/>
    <x v="38"/>
    <x v="219"/>
    <x v="117"/>
    <x v="207"/>
    <x v="0"/>
  </r>
  <r>
    <x v="0"/>
    <x v="14"/>
    <x v="14"/>
    <x v="12"/>
    <x v="12"/>
    <x v="12"/>
    <x v="11"/>
    <x v="171"/>
    <x v="102"/>
    <x v="38"/>
    <x v="219"/>
    <x v="116"/>
    <x v="201"/>
    <x v="0"/>
  </r>
  <r>
    <x v="0"/>
    <x v="14"/>
    <x v="14"/>
    <x v="14"/>
    <x v="14"/>
    <x v="14"/>
    <x v="11"/>
    <x v="171"/>
    <x v="102"/>
    <x v="37"/>
    <x v="220"/>
    <x v="92"/>
    <x v="203"/>
    <x v="0"/>
  </r>
  <r>
    <x v="0"/>
    <x v="14"/>
    <x v="14"/>
    <x v="17"/>
    <x v="17"/>
    <x v="17"/>
    <x v="13"/>
    <x v="172"/>
    <x v="218"/>
    <x v="37"/>
    <x v="220"/>
    <x v="101"/>
    <x v="205"/>
    <x v="0"/>
  </r>
  <r>
    <x v="0"/>
    <x v="14"/>
    <x v="14"/>
    <x v="13"/>
    <x v="13"/>
    <x v="13"/>
    <x v="13"/>
    <x v="172"/>
    <x v="218"/>
    <x v="37"/>
    <x v="220"/>
    <x v="101"/>
    <x v="205"/>
    <x v="0"/>
  </r>
  <r>
    <x v="0"/>
    <x v="14"/>
    <x v="14"/>
    <x v="32"/>
    <x v="32"/>
    <x v="32"/>
    <x v="15"/>
    <x v="173"/>
    <x v="16"/>
    <x v="37"/>
    <x v="220"/>
    <x v="116"/>
    <x v="201"/>
    <x v="0"/>
  </r>
  <r>
    <x v="0"/>
    <x v="14"/>
    <x v="14"/>
    <x v="24"/>
    <x v="24"/>
    <x v="24"/>
    <x v="15"/>
    <x v="173"/>
    <x v="16"/>
    <x v="91"/>
    <x v="221"/>
    <x v="101"/>
    <x v="205"/>
    <x v="0"/>
  </r>
  <r>
    <x v="0"/>
    <x v="14"/>
    <x v="14"/>
    <x v="18"/>
    <x v="18"/>
    <x v="18"/>
    <x v="15"/>
    <x v="173"/>
    <x v="16"/>
    <x v="91"/>
    <x v="221"/>
    <x v="101"/>
    <x v="205"/>
    <x v="0"/>
  </r>
  <r>
    <x v="0"/>
    <x v="14"/>
    <x v="14"/>
    <x v="35"/>
    <x v="35"/>
    <x v="35"/>
    <x v="18"/>
    <x v="174"/>
    <x v="91"/>
    <x v="97"/>
    <x v="110"/>
    <x v="92"/>
    <x v="203"/>
    <x v="0"/>
  </r>
  <r>
    <x v="0"/>
    <x v="14"/>
    <x v="14"/>
    <x v="36"/>
    <x v="36"/>
    <x v="36"/>
    <x v="18"/>
    <x v="174"/>
    <x v="91"/>
    <x v="90"/>
    <x v="184"/>
    <x v="101"/>
    <x v="205"/>
    <x v="0"/>
  </r>
  <r>
    <x v="0"/>
    <x v="14"/>
    <x v="14"/>
    <x v="20"/>
    <x v="20"/>
    <x v="20"/>
    <x v="18"/>
    <x v="174"/>
    <x v="91"/>
    <x v="90"/>
    <x v="184"/>
    <x v="101"/>
    <x v="205"/>
    <x v="0"/>
  </r>
  <r>
    <x v="0"/>
    <x v="14"/>
    <x v="14"/>
    <x v="37"/>
    <x v="37"/>
    <x v="37"/>
    <x v="18"/>
    <x v="174"/>
    <x v="91"/>
    <x v="97"/>
    <x v="110"/>
    <x v="92"/>
    <x v="203"/>
    <x v="0"/>
  </r>
  <r>
    <x v="0"/>
    <x v="15"/>
    <x v="15"/>
    <x v="2"/>
    <x v="2"/>
    <x v="2"/>
    <x v="0"/>
    <x v="104"/>
    <x v="219"/>
    <x v="98"/>
    <x v="222"/>
    <x v="114"/>
    <x v="208"/>
    <x v="0"/>
  </r>
  <r>
    <x v="0"/>
    <x v="15"/>
    <x v="15"/>
    <x v="0"/>
    <x v="0"/>
    <x v="0"/>
    <x v="1"/>
    <x v="126"/>
    <x v="220"/>
    <x v="15"/>
    <x v="223"/>
    <x v="116"/>
    <x v="188"/>
    <x v="0"/>
  </r>
  <r>
    <x v="0"/>
    <x v="15"/>
    <x v="15"/>
    <x v="5"/>
    <x v="5"/>
    <x v="5"/>
    <x v="2"/>
    <x v="127"/>
    <x v="221"/>
    <x v="98"/>
    <x v="222"/>
    <x v="107"/>
    <x v="209"/>
    <x v="0"/>
  </r>
  <r>
    <x v="0"/>
    <x v="15"/>
    <x v="15"/>
    <x v="6"/>
    <x v="6"/>
    <x v="6"/>
    <x v="2"/>
    <x v="127"/>
    <x v="221"/>
    <x v="78"/>
    <x v="224"/>
    <x v="120"/>
    <x v="210"/>
    <x v="0"/>
  </r>
  <r>
    <x v="0"/>
    <x v="15"/>
    <x v="15"/>
    <x v="4"/>
    <x v="4"/>
    <x v="4"/>
    <x v="4"/>
    <x v="143"/>
    <x v="222"/>
    <x v="91"/>
    <x v="225"/>
    <x v="115"/>
    <x v="211"/>
    <x v="0"/>
  </r>
  <r>
    <x v="0"/>
    <x v="15"/>
    <x v="15"/>
    <x v="3"/>
    <x v="3"/>
    <x v="3"/>
    <x v="5"/>
    <x v="167"/>
    <x v="223"/>
    <x v="38"/>
    <x v="226"/>
    <x v="120"/>
    <x v="210"/>
    <x v="0"/>
  </r>
  <r>
    <x v="0"/>
    <x v="15"/>
    <x v="15"/>
    <x v="7"/>
    <x v="7"/>
    <x v="7"/>
    <x v="6"/>
    <x v="169"/>
    <x v="224"/>
    <x v="66"/>
    <x v="227"/>
    <x v="117"/>
    <x v="212"/>
    <x v="0"/>
  </r>
  <r>
    <x v="0"/>
    <x v="15"/>
    <x v="15"/>
    <x v="1"/>
    <x v="1"/>
    <x v="1"/>
    <x v="7"/>
    <x v="175"/>
    <x v="7"/>
    <x v="33"/>
    <x v="228"/>
    <x v="116"/>
    <x v="188"/>
    <x v="0"/>
  </r>
  <r>
    <x v="0"/>
    <x v="15"/>
    <x v="15"/>
    <x v="10"/>
    <x v="10"/>
    <x v="10"/>
    <x v="8"/>
    <x v="171"/>
    <x v="225"/>
    <x v="38"/>
    <x v="226"/>
    <x v="101"/>
    <x v="117"/>
    <x v="0"/>
  </r>
  <r>
    <x v="0"/>
    <x v="15"/>
    <x v="15"/>
    <x v="11"/>
    <x v="11"/>
    <x v="11"/>
    <x v="9"/>
    <x v="172"/>
    <x v="101"/>
    <x v="38"/>
    <x v="226"/>
    <x v="116"/>
    <x v="188"/>
    <x v="0"/>
  </r>
  <r>
    <x v="0"/>
    <x v="15"/>
    <x v="15"/>
    <x v="8"/>
    <x v="8"/>
    <x v="8"/>
    <x v="9"/>
    <x v="172"/>
    <x v="101"/>
    <x v="91"/>
    <x v="225"/>
    <x v="116"/>
    <x v="188"/>
    <x v="0"/>
  </r>
  <r>
    <x v="0"/>
    <x v="15"/>
    <x v="15"/>
    <x v="12"/>
    <x v="12"/>
    <x v="12"/>
    <x v="11"/>
    <x v="173"/>
    <x v="226"/>
    <x v="90"/>
    <x v="229"/>
    <x v="92"/>
    <x v="24"/>
    <x v="0"/>
  </r>
  <r>
    <x v="0"/>
    <x v="15"/>
    <x v="15"/>
    <x v="27"/>
    <x v="27"/>
    <x v="27"/>
    <x v="11"/>
    <x v="173"/>
    <x v="226"/>
    <x v="97"/>
    <x v="110"/>
    <x v="92"/>
    <x v="24"/>
    <x v="0"/>
  </r>
  <r>
    <x v="0"/>
    <x v="15"/>
    <x v="15"/>
    <x v="14"/>
    <x v="14"/>
    <x v="14"/>
    <x v="11"/>
    <x v="173"/>
    <x v="226"/>
    <x v="37"/>
    <x v="230"/>
    <x v="116"/>
    <x v="188"/>
    <x v="0"/>
  </r>
  <r>
    <x v="0"/>
    <x v="15"/>
    <x v="15"/>
    <x v="19"/>
    <x v="19"/>
    <x v="19"/>
    <x v="14"/>
    <x v="174"/>
    <x v="227"/>
    <x v="91"/>
    <x v="225"/>
    <x v="116"/>
    <x v="188"/>
    <x v="0"/>
  </r>
  <r>
    <x v="0"/>
    <x v="15"/>
    <x v="15"/>
    <x v="38"/>
    <x v="38"/>
    <x v="38"/>
    <x v="14"/>
    <x v="174"/>
    <x v="227"/>
    <x v="97"/>
    <x v="110"/>
    <x v="92"/>
    <x v="24"/>
    <x v="0"/>
  </r>
  <r>
    <x v="0"/>
    <x v="15"/>
    <x v="15"/>
    <x v="29"/>
    <x v="29"/>
    <x v="29"/>
    <x v="16"/>
    <x v="176"/>
    <x v="228"/>
    <x v="90"/>
    <x v="229"/>
    <x v="116"/>
    <x v="188"/>
    <x v="0"/>
  </r>
  <r>
    <x v="0"/>
    <x v="15"/>
    <x v="15"/>
    <x v="39"/>
    <x v="39"/>
    <x v="39"/>
    <x v="16"/>
    <x v="176"/>
    <x v="228"/>
    <x v="97"/>
    <x v="110"/>
    <x v="101"/>
    <x v="117"/>
    <x v="0"/>
  </r>
  <r>
    <x v="0"/>
    <x v="15"/>
    <x v="15"/>
    <x v="40"/>
    <x v="40"/>
    <x v="40"/>
    <x v="16"/>
    <x v="176"/>
    <x v="228"/>
    <x v="90"/>
    <x v="229"/>
    <x v="116"/>
    <x v="188"/>
    <x v="0"/>
  </r>
  <r>
    <x v="0"/>
    <x v="15"/>
    <x v="15"/>
    <x v="24"/>
    <x v="24"/>
    <x v="24"/>
    <x v="16"/>
    <x v="176"/>
    <x v="228"/>
    <x v="90"/>
    <x v="229"/>
    <x v="116"/>
    <x v="188"/>
    <x v="0"/>
  </r>
  <r>
    <x v="0"/>
    <x v="15"/>
    <x v="15"/>
    <x v="18"/>
    <x v="18"/>
    <x v="18"/>
    <x v="16"/>
    <x v="176"/>
    <x v="228"/>
    <x v="97"/>
    <x v="110"/>
    <x v="101"/>
    <x v="117"/>
    <x v="0"/>
  </r>
  <r>
    <x v="0"/>
    <x v="15"/>
    <x v="15"/>
    <x v="9"/>
    <x v="9"/>
    <x v="9"/>
    <x v="16"/>
    <x v="176"/>
    <x v="228"/>
    <x v="90"/>
    <x v="229"/>
    <x v="116"/>
    <x v="188"/>
    <x v="0"/>
  </r>
  <r>
    <x v="0"/>
    <x v="15"/>
    <x v="15"/>
    <x v="15"/>
    <x v="15"/>
    <x v="15"/>
    <x v="16"/>
    <x v="176"/>
    <x v="228"/>
    <x v="97"/>
    <x v="110"/>
    <x v="101"/>
    <x v="117"/>
    <x v="0"/>
  </r>
  <r>
    <x v="0"/>
    <x v="15"/>
    <x v="15"/>
    <x v="25"/>
    <x v="25"/>
    <x v="25"/>
    <x v="16"/>
    <x v="176"/>
    <x v="228"/>
    <x v="97"/>
    <x v="110"/>
    <x v="101"/>
    <x v="117"/>
    <x v="0"/>
  </r>
  <r>
    <x v="0"/>
    <x v="16"/>
    <x v="16"/>
    <x v="0"/>
    <x v="0"/>
    <x v="0"/>
    <x v="0"/>
    <x v="177"/>
    <x v="229"/>
    <x v="132"/>
    <x v="231"/>
    <x v="120"/>
    <x v="213"/>
    <x v="0"/>
  </r>
  <r>
    <x v="0"/>
    <x v="16"/>
    <x v="16"/>
    <x v="3"/>
    <x v="3"/>
    <x v="3"/>
    <x v="1"/>
    <x v="132"/>
    <x v="230"/>
    <x v="35"/>
    <x v="232"/>
    <x v="96"/>
    <x v="214"/>
    <x v="0"/>
  </r>
  <r>
    <x v="0"/>
    <x v="16"/>
    <x v="16"/>
    <x v="2"/>
    <x v="2"/>
    <x v="2"/>
    <x v="2"/>
    <x v="149"/>
    <x v="231"/>
    <x v="15"/>
    <x v="233"/>
    <x v="51"/>
    <x v="215"/>
    <x v="0"/>
  </r>
  <r>
    <x v="0"/>
    <x v="16"/>
    <x v="16"/>
    <x v="4"/>
    <x v="4"/>
    <x v="4"/>
    <x v="3"/>
    <x v="156"/>
    <x v="232"/>
    <x v="121"/>
    <x v="234"/>
    <x v="90"/>
    <x v="216"/>
    <x v="0"/>
  </r>
  <r>
    <x v="0"/>
    <x v="16"/>
    <x v="16"/>
    <x v="1"/>
    <x v="1"/>
    <x v="1"/>
    <x v="4"/>
    <x v="135"/>
    <x v="233"/>
    <x v="113"/>
    <x v="235"/>
    <x v="116"/>
    <x v="217"/>
    <x v="0"/>
  </r>
  <r>
    <x v="0"/>
    <x v="16"/>
    <x v="16"/>
    <x v="6"/>
    <x v="6"/>
    <x v="6"/>
    <x v="5"/>
    <x v="127"/>
    <x v="234"/>
    <x v="109"/>
    <x v="227"/>
    <x v="118"/>
    <x v="218"/>
    <x v="0"/>
  </r>
  <r>
    <x v="0"/>
    <x v="16"/>
    <x v="16"/>
    <x v="5"/>
    <x v="5"/>
    <x v="5"/>
    <x v="6"/>
    <x v="143"/>
    <x v="235"/>
    <x v="98"/>
    <x v="236"/>
    <x v="96"/>
    <x v="214"/>
    <x v="0"/>
  </r>
  <r>
    <x v="0"/>
    <x v="16"/>
    <x v="16"/>
    <x v="11"/>
    <x v="11"/>
    <x v="11"/>
    <x v="6"/>
    <x v="143"/>
    <x v="235"/>
    <x v="98"/>
    <x v="236"/>
    <x v="96"/>
    <x v="214"/>
    <x v="0"/>
  </r>
  <r>
    <x v="0"/>
    <x v="16"/>
    <x v="16"/>
    <x v="7"/>
    <x v="7"/>
    <x v="7"/>
    <x v="8"/>
    <x v="150"/>
    <x v="192"/>
    <x v="121"/>
    <x v="234"/>
    <x v="96"/>
    <x v="214"/>
    <x v="0"/>
  </r>
  <r>
    <x v="0"/>
    <x v="16"/>
    <x v="16"/>
    <x v="10"/>
    <x v="10"/>
    <x v="10"/>
    <x v="8"/>
    <x v="150"/>
    <x v="192"/>
    <x v="52"/>
    <x v="237"/>
    <x v="120"/>
    <x v="213"/>
    <x v="0"/>
  </r>
  <r>
    <x v="0"/>
    <x v="16"/>
    <x v="16"/>
    <x v="40"/>
    <x v="40"/>
    <x v="40"/>
    <x v="10"/>
    <x v="167"/>
    <x v="117"/>
    <x v="33"/>
    <x v="219"/>
    <x v="117"/>
    <x v="219"/>
    <x v="0"/>
  </r>
  <r>
    <x v="0"/>
    <x v="16"/>
    <x v="16"/>
    <x v="8"/>
    <x v="8"/>
    <x v="8"/>
    <x v="11"/>
    <x v="169"/>
    <x v="236"/>
    <x v="80"/>
    <x v="238"/>
    <x v="116"/>
    <x v="217"/>
    <x v="4"/>
  </r>
  <r>
    <x v="0"/>
    <x v="16"/>
    <x v="16"/>
    <x v="9"/>
    <x v="9"/>
    <x v="9"/>
    <x v="12"/>
    <x v="170"/>
    <x v="237"/>
    <x v="121"/>
    <x v="234"/>
    <x v="128"/>
    <x v="206"/>
    <x v="0"/>
  </r>
  <r>
    <x v="0"/>
    <x v="16"/>
    <x v="16"/>
    <x v="14"/>
    <x v="14"/>
    <x v="14"/>
    <x v="12"/>
    <x v="170"/>
    <x v="237"/>
    <x v="66"/>
    <x v="239"/>
    <x v="92"/>
    <x v="119"/>
    <x v="0"/>
  </r>
  <r>
    <x v="0"/>
    <x v="16"/>
    <x v="16"/>
    <x v="28"/>
    <x v="28"/>
    <x v="28"/>
    <x v="14"/>
    <x v="175"/>
    <x v="184"/>
    <x v="91"/>
    <x v="36"/>
    <x v="118"/>
    <x v="218"/>
    <x v="0"/>
  </r>
  <r>
    <x v="0"/>
    <x v="16"/>
    <x v="16"/>
    <x v="20"/>
    <x v="20"/>
    <x v="20"/>
    <x v="14"/>
    <x v="175"/>
    <x v="184"/>
    <x v="91"/>
    <x v="36"/>
    <x v="118"/>
    <x v="218"/>
    <x v="0"/>
  </r>
  <r>
    <x v="0"/>
    <x v="16"/>
    <x v="16"/>
    <x v="25"/>
    <x v="25"/>
    <x v="25"/>
    <x v="14"/>
    <x v="175"/>
    <x v="184"/>
    <x v="90"/>
    <x v="240"/>
    <x v="118"/>
    <x v="218"/>
    <x v="4"/>
  </r>
  <r>
    <x v="0"/>
    <x v="16"/>
    <x v="16"/>
    <x v="31"/>
    <x v="31"/>
    <x v="31"/>
    <x v="17"/>
    <x v="171"/>
    <x v="238"/>
    <x v="37"/>
    <x v="221"/>
    <x v="92"/>
    <x v="119"/>
    <x v="0"/>
  </r>
  <r>
    <x v="0"/>
    <x v="16"/>
    <x v="16"/>
    <x v="12"/>
    <x v="12"/>
    <x v="12"/>
    <x v="17"/>
    <x v="171"/>
    <x v="238"/>
    <x v="37"/>
    <x v="221"/>
    <x v="92"/>
    <x v="119"/>
    <x v="0"/>
  </r>
  <r>
    <x v="0"/>
    <x v="16"/>
    <x v="16"/>
    <x v="17"/>
    <x v="17"/>
    <x v="17"/>
    <x v="19"/>
    <x v="172"/>
    <x v="195"/>
    <x v="91"/>
    <x v="36"/>
    <x v="92"/>
    <x v="119"/>
    <x v="0"/>
  </r>
  <r>
    <x v="0"/>
    <x v="17"/>
    <x v="17"/>
    <x v="0"/>
    <x v="0"/>
    <x v="0"/>
    <x v="0"/>
    <x v="143"/>
    <x v="38"/>
    <x v="108"/>
    <x v="241"/>
    <x v="116"/>
    <x v="124"/>
    <x v="0"/>
  </r>
  <r>
    <x v="0"/>
    <x v="17"/>
    <x v="17"/>
    <x v="4"/>
    <x v="4"/>
    <x v="4"/>
    <x v="1"/>
    <x v="150"/>
    <x v="239"/>
    <x v="80"/>
    <x v="242"/>
    <x v="107"/>
    <x v="158"/>
    <x v="0"/>
  </r>
  <r>
    <x v="0"/>
    <x v="17"/>
    <x v="17"/>
    <x v="5"/>
    <x v="5"/>
    <x v="5"/>
    <x v="2"/>
    <x v="168"/>
    <x v="240"/>
    <x v="80"/>
    <x v="242"/>
    <x v="117"/>
    <x v="220"/>
    <x v="0"/>
  </r>
  <r>
    <x v="0"/>
    <x v="17"/>
    <x v="17"/>
    <x v="6"/>
    <x v="6"/>
    <x v="6"/>
    <x v="2"/>
    <x v="168"/>
    <x v="240"/>
    <x v="52"/>
    <x v="243"/>
    <x v="101"/>
    <x v="131"/>
    <x v="0"/>
  </r>
  <r>
    <x v="0"/>
    <x v="17"/>
    <x v="17"/>
    <x v="7"/>
    <x v="7"/>
    <x v="7"/>
    <x v="4"/>
    <x v="167"/>
    <x v="241"/>
    <x v="91"/>
    <x v="67"/>
    <x v="107"/>
    <x v="158"/>
    <x v="0"/>
  </r>
  <r>
    <x v="0"/>
    <x v="17"/>
    <x v="17"/>
    <x v="2"/>
    <x v="2"/>
    <x v="2"/>
    <x v="4"/>
    <x v="167"/>
    <x v="241"/>
    <x v="38"/>
    <x v="244"/>
    <x v="120"/>
    <x v="221"/>
    <x v="0"/>
  </r>
  <r>
    <x v="0"/>
    <x v="17"/>
    <x v="17"/>
    <x v="1"/>
    <x v="1"/>
    <x v="1"/>
    <x v="6"/>
    <x v="169"/>
    <x v="242"/>
    <x v="121"/>
    <x v="245"/>
    <x v="116"/>
    <x v="124"/>
    <x v="0"/>
  </r>
  <r>
    <x v="0"/>
    <x v="17"/>
    <x v="17"/>
    <x v="10"/>
    <x v="10"/>
    <x v="10"/>
    <x v="7"/>
    <x v="175"/>
    <x v="243"/>
    <x v="37"/>
    <x v="246"/>
    <x v="117"/>
    <x v="220"/>
    <x v="0"/>
  </r>
  <r>
    <x v="0"/>
    <x v="17"/>
    <x v="17"/>
    <x v="13"/>
    <x v="13"/>
    <x v="13"/>
    <x v="8"/>
    <x v="171"/>
    <x v="244"/>
    <x v="66"/>
    <x v="247"/>
    <x v="116"/>
    <x v="124"/>
    <x v="0"/>
  </r>
  <r>
    <x v="0"/>
    <x v="17"/>
    <x v="17"/>
    <x v="16"/>
    <x v="16"/>
    <x v="16"/>
    <x v="8"/>
    <x v="171"/>
    <x v="244"/>
    <x v="90"/>
    <x v="248"/>
    <x v="118"/>
    <x v="222"/>
    <x v="0"/>
  </r>
  <r>
    <x v="0"/>
    <x v="17"/>
    <x v="17"/>
    <x v="8"/>
    <x v="8"/>
    <x v="8"/>
    <x v="10"/>
    <x v="173"/>
    <x v="245"/>
    <x v="37"/>
    <x v="246"/>
    <x v="116"/>
    <x v="124"/>
    <x v="0"/>
  </r>
  <r>
    <x v="0"/>
    <x v="17"/>
    <x v="17"/>
    <x v="9"/>
    <x v="9"/>
    <x v="9"/>
    <x v="10"/>
    <x v="173"/>
    <x v="245"/>
    <x v="38"/>
    <x v="244"/>
    <x v="128"/>
    <x v="206"/>
    <x v="0"/>
  </r>
  <r>
    <x v="0"/>
    <x v="17"/>
    <x v="17"/>
    <x v="15"/>
    <x v="15"/>
    <x v="15"/>
    <x v="12"/>
    <x v="174"/>
    <x v="133"/>
    <x v="97"/>
    <x v="110"/>
    <x v="101"/>
    <x v="131"/>
    <x v="0"/>
  </r>
  <r>
    <x v="0"/>
    <x v="17"/>
    <x v="17"/>
    <x v="37"/>
    <x v="37"/>
    <x v="37"/>
    <x v="12"/>
    <x v="174"/>
    <x v="133"/>
    <x v="97"/>
    <x v="110"/>
    <x v="92"/>
    <x v="123"/>
    <x v="0"/>
  </r>
  <r>
    <x v="0"/>
    <x v="17"/>
    <x v="17"/>
    <x v="29"/>
    <x v="29"/>
    <x v="29"/>
    <x v="14"/>
    <x v="176"/>
    <x v="53"/>
    <x v="97"/>
    <x v="110"/>
    <x v="101"/>
    <x v="131"/>
    <x v="0"/>
  </r>
  <r>
    <x v="0"/>
    <x v="17"/>
    <x v="17"/>
    <x v="18"/>
    <x v="18"/>
    <x v="18"/>
    <x v="14"/>
    <x v="176"/>
    <x v="53"/>
    <x v="97"/>
    <x v="110"/>
    <x v="101"/>
    <x v="131"/>
    <x v="0"/>
  </r>
  <r>
    <x v="0"/>
    <x v="17"/>
    <x v="17"/>
    <x v="11"/>
    <x v="11"/>
    <x v="11"/>
    <x v="14"/>
    <x v="176"/>
    <x v="53"/>
    <x v="91"/>
    <x v="67"/>
    <x v="128"/>
    <x v="206"/>
    <x v="0"/>
  </r>
  <r>
    <x v="0"/>
    <x v="17"/>
    <x v="17"/>
    <x v="20"/>
    <x v="20"/>
    <x v="20"/>
    <x v="14"/>
    <x v="176"/>
    <x v="53"/>
    <x v="97"/>
    <x v="110"/>
    <x v="101"/>
    <x v="131"/>
    <x v="0"/>
  </r>
  <r>
    <x v="0"/>
    <x v="17"/>
    <x v="17"/>
    <x v="14"/>
    <x v="14"/>
    <x v="14"/>
    <x v="14"/>
    <x v="176"/>
    <x v="53"/>
    <x v="90"/>
    <x v="248"/>
    <x v="116"/>
    <x v="124"/>
    <x v="0"/>
  </r>
  <r>
    <x v="0"/>
    <x v="17"/>
    <x v="17"/>
    <x v="41"/>
    <x v="41"/>
    <x v="41"/>
    <x v="19"/>
    <x v="178"/>
    <x v="246"/>
    <x v="97"/>
    <x v="110"/>
    <x v="116"/>
    <x v="124"/>
    <x v="0"/>
  </r>
  <r>
    <x v="0"/>
    <x v="17"/>
    <x v="17"/>
    <x v="39"/>
    <x v="39"/>
    <x v="39"/>
    <x v="19"/>
    <x v="178"/>
    <x v="246"/>
    <x v="97"/>
    <x v="110"/>
    <x v="116"/>
    <x v="124"/>
    <x v="0"/>
  </r>
  <r>
    <x v="0"/>
    <x v="17"/>
    <x v="17"/>
    <x v="30"/>
    <x v="30"/>
    <x v="30"/>
    <x v="19"/>
    <x v="178"/>
    <x v="246"/>
    <x v="90"/>
    <x v="248"/>
    <x v="128"/>
    <x v="206"/>
    <x v="0"/>
  </r>
  <r>
    <x v="0"/>
    <x v="17"/>
    <x v="17"/>
    <x v="32"/>
    <x v="32"/>
    <x v="32"/>
    <x v="19"/>
    <x v="178"/>
    <x v="246"/>
    <x v="97"/>
    <x v="110"/>
    <x v="116"/>
    <x v="124"/>
    <x v="0"/>
  </r>
  <r>
    <x v="0"/>
    <x v="17"/>
    <x v="17"/>
    <x v="31"/>
    <x v="31"/>
    <x v="31"/>
    <x v="19"/>
    <x v="178"/>
    <x v="246"/>
    <x v="97"/>
    <x v="110"/>
    <x v="116"/>
    <x v="124"/>
    <x v="0"/>
  </r>
  <r>
    <x v="0"/>
    <x v="17"/>
    <x v="17"/>
    <x v="42"/>
    <x v="42"/>
    <x v="42"/>
    <x v="19"/>
    <x v="178"/>
    <x v="246"/>
    <x v="97"/>
    <x v="110"/>
    <x v="116"/>
    <x v="124"/>
    <x v="0"/>
  </r>
  <r>
    <x v="0"/>
    <x v="17"/>
    <x v="17"/>
    <x v="43"/>
    <x v="43"/>
    <x v="43"/>
    <x v="19"/>
    <x v="178"/>
    <x v="246"/>
    <x v="97"/>
    <x v="110"/>
    <x v="116"/>
    <x v="124"/>
    <x v="0"/>
  </r>
  <r>
    <x v="0"/>
    <x v="17"/>
    <x v="17"/>
    <x v="44"/>
    <x v="44"/>
    <x v="44"/>
    <x v="19"/>
    <x v="178"/>
    <x v="246"/>
    <x v="97"/>
    <x v="110"/>
    <x v="128"/>
    <x v="206"/>
    <x v="0"/>
  </r>
  <r>
    <x v="0"/>
    <x v="17"/>
    <x v="17"/>
    <x v="45"/>
    <x v="45"/>
    <x v="45"/>
    <x v="19"/>
    <x v="178"/>
    <x v="246"/>
    <x v="97"/>
    <x v="110"/>
    <x v="116"/>
    <x v="124"/>
    <x v="0"/>
  </r>
  <r>
    <x v="0"/>
    <x v="17"/>
    <x v="17"/>
    <x v="17"/>
    <x v="17"/>
    <x v="17"/>
    <x v="19"/>
    <x v="178"/>
    <x v="246"/>
    <x v="97"/>
    <x v="110"/>
    <x v="116"/>
    <x v="124"/>
    <x v="0"/>
  </r>
  <r>
    <x v="0"/>
    <x v="17"/>
    <x v="17"/>
    <x v="23"/>
    <x v="23"/>
    <x v="23"/>
    <x v="19"/>
    <x v="178"/>
    <x v="246"/>
    <x v="90"/>
    <x v="248"/>
    <x v="128"/>
    <x v="206"/>
    <x v="0"/>
  </r>
  <r>
    <x v="0"/>
    <x v="17"/>
    <x v="17"/>
    <x v="21"/>
    <x v="21"/>
    <x v="21"/>
    <x v="19"/>
    <x v="178"/>
    <x v="246"/>
    <x v="90"/>
    <x v="248"/>
    <x v="128"/>
    <x v="206"/>
    <x v="0"/>
  </r>
  <r>
    <x v="0"/>
    <x v="17"/>
    <x v="17"/>
    <x v="3"/>
    <x v="3"/>
    <x v="3"/>
    <x v="19"/>
    <x v="178"/>
    <x v="246"/>
    <x v="97"/>
    <x v="110"/>
    <x v="116"/>
    <x v="124"/>
    <x v="0"/>
  </r>
  <r>
    <x v="0"/>
    <x v="17"/>
    <x v="17"/>
    <x v="27"/>
    <x v="27"/>
    <x v="27"/>
    <x v="19"/>
    <x v="178"/>
    <x v="246"/>
    <x v="97"/>
    <x v="110"/>
    <x v="116"/>
    <x v="124"/>
    <x v="0"/>
  </r>
  <r>
    <x v="0"/>
    <x v="17"/>
    <x v="17"/>
    <x v="19"/>
    <x v="19"/>
    <x v="19"/>
    <x v="19"/>
    <x v="178"/>
    <x v="246"/>
    <x v="97"/>
    <x v="110"/>
    <x v="116"/>
    <x v="124"/>
    <x v="0"/>
  </r>
  <r>
    <x v="0"/>
    <x v="17"/>
    <x v="17"/>
    <x v="46"/>
    <x v="46"/>
    <x v="46"/>
    <x v="19"/>
    <x v="178"/>
    <x v="246"/>
    <x v="97"/>
    <x v="110"/>
    <x v="128"/>
    <x v="206"/>
    <x v="0"/>
  </r>
  <r>
    <x v="0"/>
    <x v="17"/>
    <x v="17"/>
    <x v="38"/>
    <x v="38"/>
    <x v="38"/>
    <x v="19"/>
    <x v="178"/>
    <x v="246"/>
    <x v="97"/>
    <x v="110"/>
    <x v="116"/>
    <x v="124"/>
    <x v="0"/>
  </r>
  <r>
    <x v="0"/>
    <x v="17"/>
    <x v="17"/>
    <x v="25"/>
    <x v="25"/>
    <x v="25"/>
    <x v="19"/>
    <x v="178"/>
    <x v="246"/>
    <x v="97"/>
    <x v="110"/>
    <x v="116"/>
    <x v="124"/>
    <x v="0"/>
  </r>
  <r>
    <x v="0"/>
    <x v="18"/>
    <x v="18"/>
    <x v="0"/>
    <x v="0"/>
    <x v="0"/>
    <x v="0"/>
    <x v="132"/>
    <x v="247"/>
    <x v="133"/>
    <x v="249"/>
    <x v="107"/>
    <x v="223"/>
    <x v="0"/>
  </r>
  <r>
    <x v="0"/>
    <x v="18"/>
    <x v="18"/>
    <x v="1"/>
    <x v="1"/>
    <x v="1"/>
    <x v="1"/>
    <x v="124"/>
    <x v="248"/>
    <x v="84"/>
    <x v="250"/>
    <x v="117"/>
    <x v="65"/>
    <x v="0"/>
  </r>
  <r>
    <x v="0"/>
    <x v="18"/>
    <x v="18"/>
    <x v="5"/>
    <x v="5"/>
    <x v="5"/>
    <x v="2"/>
    <x v="125"/>
    <x v="249"/>
    <x v="109"/>
    <x v="251"/>
    <x v="51"/>
    <x v="224"/>
    <x v="0"/>
  </r>
  <r>
    <x v="0"/>
    <x v="18"/>
    <x v="18"/>
    <x v="2"/>
    <x v="2"/>
    <x v="2"/>
    <x v="2"/>
    <x v="125"/>
    <x v="249"/>
    <x v="131"/>
    <x v="252"/>
    <x v="114"/>
    <x v="225"/>
    <x v="0"/>
  </r>
  <r>
    <x v="0"/>
    <x v="18"/>
    <x v="18"/>
    <x v="6"/>
    <x v="6"/>
    <x v="6"/>
    <x v="4"/>
    <x v="127"/>
    <x v="250"/>
    <x v="131"/>
    <x v="252"/>
    <x v="96"/>
    <x v="123"/>
    <x v="0"/>
  </r>
  <r>
    <x v="0"/>
    <x v="18"/>
    <x v="18"/>
    <x v="10"/>
    <x v="10"/>
    <x v="10"/>
    <x v="5"/>
    <x v="137"/>
    <x v="114"/>
    <x v="33"/>
    <x v="253"/>
    <x v="96"/>
    <x v="123"/>
    <x v="0"/>
  </r>
  <r>
    <x v="0"/>
    <x v="18"/>
    <x v="18"/>
    <x v="4"/>
    <x v="4"/>
    <x v="4"/>
    <x v="6"/>
    <x v="138"/>
    <x v="251"/>
    <x v="37"/>
    <x v="16"/>
    <x v="106"/>
    <x v="126"/>
    <x v="0"/>
  </r>
  <r>
    <x v="0"/>
    <x v="18"/>
    <x v="18"/>
    <x v="32"/>
    <x v="32"/>
    <x v="32"/>
    <x v="6"/>
    <x v="138"/>
    <x v="251"/>
    <x v="66"/>
    <x v="254"/>
    <x v="96"/>
    <x v="123"/>
    <x v="0"/>
  </r>
  <r>
    <x v="0"/>
    <x v="18"/>
    <x v="18"/>
    <x v="7"/>
    <x v="7"/>
    <x v="7"/>
    <x v="8"/>
    <x v="168"/>
    <x v="252"/>
    <x v="37"/>
    <x v="16"/>
    <x v="107"/>
    <x v="223"/>
    <x v="0"/>
  </r>
  <r>
    <x v="0"/>
    <x v="18"/>
    <x v="18"/>
    <x v="3"/>
    <x v="3"/>
    <x v="3"/>
    <x v="8"/>
    <x v="168"/>
    <x v="252"/>
    <x v="80"/>
    <x v="255"/>
    <x v="117"/>
    <x v="65"/>
    <x v="0"/>
  </r>
  <r>
    <x v="0"/>
    <x v="18"/>
    <x v="18"/>
    <x v="11"/>
    <x v="11"/>
    <x v="11"/>
    <x v="10"/>
    <x v="167"/>
    <x v="253"/>
    <x v="38"/>
    <x v="256"/>
    <x v="120"/>
    <x v="184"/>
    <x v="0"/>
  </r>
  <r>
    <x v="0"/>
    <x v="18"/>
    <x v="18"/>
    <x v="9"/>
    <x v="9"/>
    <x v="9"/>
    <x v="11"/>
    <x v="169"/>
    <x v="254"/>
    <x v="80"/>
    <x v="255"/>
    <x v="101"/>
    <x v="114"/>
    <x v="0"/>
  </r>
  <r>
    <x v="0"/>
    <x v="18"/>
    <x v="18"/>
    <x v="8"/>
    <x v="8"/>
    <x v="8"/>
    <x v="12"/>
    <x v="170"/>
    <x v="255"/>
    <x v="66"/>
    <x v="254"/>
    <x v="92"/>
    <x v="118"/>
    <x v="0"/>
  </r>
  <r>
    <x v="0"/>
    <x v="18"/>
    <x v="18"/>
    <x v="15"/>
    <x v="15"/>
    <x v="15"/>
    <x v="13"/>
    <x v="175"/>
    <x v="169"/>
    <x v="97"/>
    <x v="110"/>
    <x v="101"/>
    <x v="114"/>
    <x v="0"/>
  </r>
  <r>
    <x v="0"/>
    <x v="18"/>
    <x v="18"/>
    <x v="47"/>
    <x v="47"/>
    <x v="47"/>
    <x v="14"/>
    <x v="171"/>
    <x v="52"/>
    <x v="90"/>
    <x v="257"/>
    <x v="118"/>
    <x v="128"/>
    <x v="0"/>
  </r>
  <r>
    <x v="0"/>
    <x v="18"/>
    <x v="18"/>
    <x v="23"/>
    <x v="23"/>
    <x v="23"/>
    <x v="14"/>
    <x v="171"/>
    <x v="52"/>
    <x v="97"/>
    <x v="110"/>
    <x v="120"/>
    <x v="184"/>
    <x v="0"/>
  </r>
  <r>
    <x v="0"/>
    <x v="18"/>
    <x v="18"/>
    <x v="12"/>
    <x v="12"/>
    <x v="12"/>
    <x v="14"/>
    <x v="171"/>
    <x v="52"/>
    <x v="37"/>
    <x v="16"/>
    <x v="92"/>
    <x v="118"/>
    <x v="0"/>
  </r>
  <r>
    <x v="0"/>
    <x v="18"/>
    <x v="18"/>
    <x v="24"/>
    <x v="24"/>
    <x v="24"/>
    <x v="17"/>
    <x v="172"/>
    <x v="105"/>
    <x v="90"/>
    <x v="257"/>
    <x v="117"/>
    <x v="65"/>
    <x v="0"/>
  </r>
  <r>
    <x v="0"/>
    <x v="18"/>
    <x v="18"/>
    <x v="13"/>
    <x v="13"/>
    <x v="13"/>
    <x v="17"/>
    <x v="172"/>
    <x v="105"/>
    <x v="66"/>
    <x v="254"/>
    <x v="128"/>
    <x v="206"/>
    <x v="0"/>
  </r>
  <r>
    <x v="0"/>
    <x v="18"/>
    <x v="18"/>
    <x v="19"/>
    <x v="19"/>
    <x v="19"/>
    <x v="17"/>
    <x v="172"/>
    <x v="105"/>
    <x v="91"/>
    <x v="258"/>
    <x v="92"/>
    <x v="118"/>
    <x v="0"/>
  </r>
  <r>
    <x v="0"/>
    <x v="19"/>
    <x v="19"/>
    <x v="4"/>
    <x v="4"/>
    <x v="4"/>
    <x v="0"/>
    <x v="150"/>
    <x v="256"/>
    <x v="33"/>
    <x v="259"/>
    <x v="106"/>
    <x v="226"/>
    <x v="0"/>
  </r>
  <r>
    <x v="0"/>
    <x v="19"/>
    <x v="19"/>
    <x v="6"/>
    <x v="6"/>
    <x v="6"/>
    <x v="1"/>
    <x v="136"/>
    <x v="257"/>
    <x v="131"/>
    <x v="260"/>
    <x v="92"/>
    <x v="227"/>
    <x v="0"/>
  </r>
  <r>
    <x v="0"/>
    <x v="19"/>
    <x v="19"/>
    <x v="16"/>
    <x v="16"/>
    <x v="16"/>
    <x v="2"/>
    <x v="137"/>
    <x v="74"/>
    <x v="131"/>
    <x v="260"/>
    <x v="101"/>
    <x v="228"/>
    <x v="0"/>
  </r>
  <r>
    <x v="0"/>
    <x v="19"/>
    <x v="19"/>
    <x v="5"/>
    <x v="5"/>
    <x v="5"/>
    <x v="3"/>
    <x v="168"/>
    <x v="258"/>
    <x v="80"/>
    <x v="261"/>
    <x v="117"/>
    <x v="229"/>
    <x v="0"/>
  </r>
  <r>
    <x v="0"/>
    <x v="19"/>
    <x v="19"/>
    <x v="0"/>
    <x v="0"/>
    <x v="0"/>
    <x v="4"/>
    <x v="169"/>
    <x v="259"/>
    <x v="121"/>
    <x v="262"/>
    <x v="116"/>
    <x v="230"/>
    <x v="0"/>
  </r>
  <r>
    <x v="0"/>
    <x v="19"/>
    <x v="19"/>
    <x v="1"/>
    <x v="1"/>
    <x v="1"/>
    <x v="5"/>
    <x v="170"/>
    <x v="242"/>
    <x v="121"/>
    <x v="262"/>
    <x v="128"/>
    <x v="206"/>
    <x v="0"/>
  </r>
  <r>
    <x v="0"/>
    <x v="19"/>
    <x v="19"/>
    <x v="2"/>
    <x v="2"/>
    <x v="2"/>
    <x v="6"/>
    <x v="175"/>
    <x v="5"/>
    <x v="38"/>
    <x v="263"/>
    <x v="92"/>
    <x v="227"/>
    <x v="0"/>
  </r>
  <r>
    <x v="0"/>
    <x v="19"/>
    <x v="19"/>
    <x v="29"/>
    <x v="29"/>
    <x v="29"/>
    <x v="7"/>
    <x v="172"/>
    <x v="260"/>
    <x v="91"/>
    <x v="264"/>
    <x v="92"/>
    <x v="227"/>
    <x v="0"/>
  </r>
  <r>
    <x v="0"/>
    <x v="19"/>
    <x v="19"/>
    <x v="7"/>
    <x v="7"/>
    <x v="7"/>
    <x v="8"/>
    <x v="173"/>
    <x v="261"/>
    <x v="91"/>
    <x v="264"/>
    <x v="101"/>
    <x v="228"/>
    <x v="0"/>
  </r>
  <r>
    <x v="0"/>
    <x v="19"/>
    <x v="19"/>
    <x v="27"/>
    <x v="27"/>
    <x v="27"/>
    <x v="8"/>
    <x v="173"/>
    <x v="261"/>
    <x v="97"/>
    <x v="110"/>
    <x v="92"/>
    <x v="227"/>
    <x v="0"/>
  </r>
  <r>
    <x v="0"/>
    <x v="19"/>
    <x v="19"/>
    <x v="21"/>
    <x v="21"/>
    <x v="21"/>
    <x v="10"/>
    <x v="174"/>
    <x v="262"/>
    <x v="97"/>
    <x v="110"/>
    <x v="92"/>
    <x v="227"/>
    <x v="0"/>
  </r>
  <r>
    <x v="0"/>
    <x v="19"/>
    <x v="19"/>
    <x v="30"/>
    <x v="30"/>
    <x v="30"/>
    <x v="11"/>
    <x v="176"/>
    <x v="263"/>
    <x v="97"/>
    <x v="110"/>
    <x v="101"/>
    <x v="228"/>
    <x v="0"/>
  </r>
  <r>
    <x v="0"/>
    <x v="19"/>
    <x v="19"/>
    <x v="45"/>
    <x v="45"/>
    <x v="45"/>
    <x v="11"/>
    <x v="176"/>
    <x v="263"/>
    <x v="90"/>
    <x v="265"/>
    <x v="116"/>
    <x v="230"/>
    <x v="0"/>
  </r>
  <r>
    <x v="0"/>
    <x v="19"/>
    <x v="19"/>
    <x v="24"/>
    <x v="24"/>
    <x v="24"/>
    <x v="11"/>
    <x v="176"/>
    <x v="263"/>
    <x v="90"/>
    <x v="265"/>
    <x v="116"/>
    <x v="230"/>
    <x v="0"/>
  </r>
  <r>
    <x v="0"/>
    <x v="19"/>
    <x v="19"/>
    <x v="8"/>
    <x v="8"/>
    <x v="8"/>
    <x v="11"/>
    <x v="176"/>
    <x v="263"/>
    <x v="90"/>
    <x v="265"/>
    <x v="128"/>
    <x v="206"/>
    <x v="0"/>
  </r>
  <r>
    <x v="0"/>
    <x v="19"/>
    <x v="19"/>
    <x v="9"/>
    <x v="9"/>
    <x v="9"/>
    <x v="11"/>
    <x v="176"/>
    <x v="263"/>
    <x v="90"/>
    <x v="265"/>
    <x v="116"/>
    <x v="230"/>
    <x v="0"/>
  </r>
  <r>
    <x v="0"/>
    <x v="19"/>
    <x v="19"/>
    <x v="15"/>
    <x v="15"/>
    <x v="15"/>
    <x v="11"/>
    <x v="176"/>
    <x v="263"/>
    <x v="97"/>
    <x v="110"/>
    <x v="101"/>
    <x v="228"/>
    <x v="0"/>
  </r>
  <r>
    <x v="0"/>
    <x v="19"/>
    <x v="19"/>
    <x v="37"/>
    <x v="37"/>
    <x v="37"/>
    <x v="11"/>
    <x v="176"/>
    <x v="263"/>
    <x v="97"/>
    <x v="110"/>
    <x v="101"/>
    <x v="228"/>
    <x v="0"/>
  </r>
  <r>
    <x v="0"/>
    <x v="19"/>
    <x v="19"/>
    <x v="14"/>
    <x v="14"/>
    <x v="14"/>
    <x v="11"/>
    <x v="176"/>
    <x v="263"/>
    <x v="91"/>
    <x v="264"/>
    <x v="128"/>
    <x v="206"/>
    <x v="0"/>
  </r>
  <r>
    <x v="0"/>
    <x v="19"/>
    <x v="19"/>
    <x v="48"/>
    <x v="48"/>
    <x v="48"/>
    <x v="19"/>
    <x v="178"/>
    <x v="264"/>
    <x v="97"/>
    <x v="110"/>
    <x v="116"/>
    <x v="230"/>
    <x v="0"/>
  </r>
  <r>
    <x v="0"/>
    <x v="19"/>
    <x v="19"/>
    <x v="49"/>
    <x v="49"/>
    <x v="49"/>
    <x v="19"/>
    <x v="178"/>
    <x v="264"/>
    <x v="97"/>
    <x v="110"/>
    <x v="116"/>
    <x v="230"/>
    <x v="0"/>
  </r>
  <r>
    <x v="0"/>
    <x v="19"/>
    <x v="19"/>
    <x v="28"/>
    <x v="28"/>
    <x v="28"/>
    <x v="19"/>
    <x v="178"/>
    <x v="264"/>
    <x v="97"/>
    <x v="110"/>
    <x v="116"/>
    <x v="230"/>
    <x v="0"/>
  </r>
  <r>
    <x v="0"/>
    <x v="19"/>
    <x v="19"/>
    <x v="41"/>
    <x v="41"/>
    <x v="41"/>
    <x v="19"/>
    <x v="178"/>
    <x v="264"/>
    <x v="97"/>
    <x v="110"/>
    <x v="116"/>
    <x v="230"/>
    <x v="0"/>
  </r>
  <r>
    <x v="0"/>
    <x v="19"/>
    <x v="19"/>
    <x v="33"/>
    <x v="33"/>
    <x v="33"/>
    <x v="19"/>
    <x v="178"/>
    <x v="264"/>
    <x v="90"/>
    <x v="265"/>
    <x v="128"/>
    <x v="206"/>
    <x v="0"/>
  </r>
  <r>
    <x v="0"/>
    <x v="19"/>
    <x v="19"/>
    <x v="50"/>
    <x v="50"/>
    <x v="50"/>
    <x v="19"/>
    <x v="178"/>
    <x v="264"/>
    <x v="97"/>
    <x v="110"/>
    <x v="116"/>
    <x v="230"/>
    <x v="0"/>
  </r>
  <r>
    <x v="0"/>
    <x v="19"/>
    <x v="19"/>
    <x v="32"/>
    <x v="32"/>
    <x v="32"/>
    <x v="19"/>
    <x v="178"/>
    <x v="264"/>
    <x v="97"/>
    <x v="110"/>
    <x v="116"/>
    <x v="230"/>
    <x v="0"/>
  </r>
  <r>
    <x v="0"/>
    <x v="19"/>
    <x v="19"/>
    <x v="44"/>
    <x v="44"/>
    <x v="44"/>
    <x v="19"/>
    <x v="178"/>
    <x v="264"/>
    <x v="97"/>
    <x v="110"/>
    <x v="128"/>
    <x v="206"/>
    <x v="0"/>
  </r>
  <r>
    <x v="0"/>
    <x v="19"/>
    <x v="19"/>
    <x v="51"/>
    <x v="51"/>
    <x v="51"/>
    <x v="19"/>
    <x v="178"/>
    <x v="264"/>
    <x v="90"/>
    <x v="265"/>
    <x v="128"/>
    <x v="206"/>
    <x v="0"/>
  </r>
  <r>
    <x v="0"/>
    <x v="19"/>
    <x v="19"/>
    <x v="52"/>
    <x v="52"/>
    <x v="52"/>
    <x v="19"/>
    <x v="178"/>
    <x v="264"/>
    <x v="97"/>
    <x v="110"/>
    <x v="116"/>
    <x v="230"/>
    <x v="0"/>
  </r>
  <r>
    <x v="0"/>
    <x v="19"/>
    <x v="19"/>
    <x v="53"/>
    <x v="53"/>
    <x v="53"/>
    <x v="19"/>
    <x v="178"/>
    <x v="264"/>
    <x v="97"/>
    <x v="110"/>
    <x v="116"/>
    <x v="230"/>
    <x v="0"/>
  </r>
  <r>
    <x v="0"/>
    <x v="19"/>
    <x v="19"/>
    <x v="54"/>
    <x v="54"/>
    <x v="54"/>
    <x v="19"/>
    <x v="178"/>
    <x v="264"/>
    <x v="97"/>
    <x v="110"/>
    <x v="116"/>
    <x v="230"/>
    <x v="0"/>
  </r>
  <r>
    <x v="0"/>
    <x v="19"/>
    <x v="19"/>
    <x v="17"/>
    <x v="17"/>
    <x v="17"/>
    <x v="19"/>
    <x v="178"/>
    <x v="264"/>
    <x v="90"/>
    <x v="265"/>
    <x v="128"/>
    <x v="206"/>
    <x v="0"/>
  </r>
  <r>
    <x v="0"/>
    <x v="19"/>
    <x v="19"/>
    <x v="18"/>
    <x v="18"/>
    <x v="18"/>
    <x v="19"/>
    <x v="178"/>
    <x v="264"/>
    <x v="97"/>
    <x v="110"/>
    <x v="116"/>
    <x v="230"/>
    <x v="0"/>
  </r>
  <r>
    <x v="0"/>
    <x v="19"/>
    <x v="19"/>
    <x v="23"/>
    <x v="23"/>
    <x v="23"/>
    <x v="19"/>
    <x v="178"/>
    <x v="264"/>
    <x v="90"/>
    <x v="265"/>
    <x v="128"/>
    <x v="206"/>
    <x v="0"/>
  </r>
  <r>
    <x v="0"/>
    <x v="19"/>
    <x v="19"/>
    <x v="11"/>
    <x v="11"/>
    <x v="11"/>
    <x v="19"/>
    <x v="178"/>
    <x v="264"/>
    <x v="90"/>
    <x v="265"/>
    <x v="128"/>
    <x v="206"/>
    <x v="0"/>
  </r>
  <r>
    <x v="0"/>
    <x v="19"/>
    <x v="19"/>
    <x v="10"/>
    <x v="10"/>
    <x v="10"/>
    <x v="19"/>
    <x v="178"/>
    <x v="264"/>
    <x v="90"/>
    <x v="265"/>
    <x v="128"/>
    <x v="206"/>
    <x v="0"/>
  </r>
  <r>
    <x v="0"/>
    <x v="19"/>
    <x v="19"/>
    <x v="46"/>
    <x v="46"/>
    <x v="46"/>
    <x v="19"/>
    <x v="178"/>
    <x v="264"/>
    <x v="90"/>
    <x v="265"/>
    <x v="128"/>
    <x v="206"/>
    <x v="0"/>
  </r>
  <r>
    <x v="0"/>
    <x v="19"/>
    <x v="19"/>
    <x v="38"/>
    <x v="38"/>
    <x v="38"/>
    <x v="19"/>
    <x v="178"/>
    <x v="264"/>
    <x v="97"/>
    <x v="110"/>
    <x v="128"/>
    <x v="206"/>
    <x v="4"/>
  </r>
  <r>
    <x v="0"/>
    <x v="20"/>
    <x v="20"/>
    <x v="2"/>
    <x v="2"/>
    <x v="2"/>
    <x v="0"/>
    <x v="163"/>
    <x v="265"/>
    <x v="118"/>
    <x v="266"/>
    <x v="51"/>
    <x v="133"/>
    <x v="0"/>
  </r>
  <r>
    <x v="0"/>
    <x v="20"/>
    <x v="20"/>
    <x v="6"/>
    <x v="6"/>
    <x v="6"/>
    <x v="1"/>
    <x v="156"/>
    <x v="266"/>
    <x v="15"/>
    <x v="267"/>
    <x v="107"/>
    <x v="231"/>
    <x v="0"/>
  </r>
  <r>
    <x v="0"/>
    <x v="20"/>
    <x v="20"/>
    <x v="1"/>
    <x v="1"/>
    <x v="1"/>
    <x v="1"/>
    <x v="156"/>
    <x v="266"/>
    <x v="118"/>
    <x v="266"/>
    <x v="117"/>
    <x v="232"/>
    <x v="0"/>
  </r>
  <r>
    <x v="0"/>
    <x v="20"/>
    <x v="20"/>
    <x v="0"/>
    <x v="0"/>
    <x v="0"/>
    <x v="1"/>
    <x v="156"/>
    <x v="266"/>
    <x v="84"/>
    <x v="268"/>
    <x v="101"/>
    <x v="233"/>
    <x v="0"/>
  </r>
  <r>
    <x v="0"/>
    <x v="20"/>
    <x v="20"/>
    <x v="4"/>
    <x v="4"/>
    <x v="4"/>
    <x v="4"/>
    <x v="135"/>
    <x v="267"/>
    <x v="80"/>
    <x v="269"/>
    <x v="110"/>
    <x v="234"/>
    <x v="0"/>
  </r>
  <r>
    <x v="0"/>
    <x v="20"/>
    <x v="20"/>
    <x v="16"/>
    <x v="16"/>
    <x v="16"/>
    <x v="5"/>
    <x v="143"/>
    <x v="268"/>
    <x v="78"/>
    <x v="270"/>
    <x v="118"/>
    <x v="235"/>
    <x v="0"/>
  </r>
  <r>
    <x v="0"/>
    <x v="20"/>
    <x v="20"/>
    <x v="5"/>
    <x v="5"/>
    <x v="5"/>
    <x v="6"/>
    <x v="170"/>
    <x v="269"/>
    <x v="33"/>
    <x v="271"/>
    <x v="101"/>
    <x v="233"/>
    <x v="0"/>
  </r>
  <r>
    <x v="0"/>
    <x v="20"/>
    <x v="20"/>
    <x v="7"/>
    <x v="7"/>
    <x v="7"/>
    <x v="7"/>
    <x v="171"/>
    <x v="270"/>
    <x v="90"/>
    <x v="167"/>
    <x v="118"/>
    <x v="235"/>
    <x v="0"/>
  </r>
  <r>
    <x v="0"/>
    <x v="20"/>
    <x v="20"/>
    <x v="46"/>
    <x v="46"/>
    <x v="46"/>
    <x v="8"/>
    <x v="172"/>
    <x v="13"/>
    <x v="90"/>
    <x v="167"/>
    <x v="116"/>
    <x v="236"/>
    <x v="4"/>
  </r>
  <r>
    <x v="0"/>
    <x v="20"/>
    <x v="20"/>
    <x v="29"/>
    <x v="29"/>
    <x v="29"/>
    <x v="9"/>
    <x v="173"/>
    <x v="271"/>
    <x v="38"/>
    <x v="272"/>
    <x v="128"/>
    <x v="206"/>
    <x v="0"/>
  </r>
  <r>
    <x v="0"/>
    <x v="20"/>
    <x v="20"/>
    <x v="23"/>
    <x v="23"/>
    <x v="23"/>
    <x v="9"/>
    <x v="173"/>
    <x v="271"/>
    <x v="91"/>
    <x v="273"/>
    <x v="101"/>
    <x v="233"/>
    <x v="0"/>
  </r>
  <r>
    <x v="0"/>
    <x v="20"/>
    <x v="20"/>
    <x v="12"/>
    <x v="12"/>
    <x v="12"/>
    <x v="9"/>
    <x v="173"/>
    <x v="271"/>
    <x v="90"/>
    <x v="167"/>
    <x v="92"/>
    <x v="237"/>
    <x v="0"/>
  </r>
  <r>
    <x v="0"/>
    <x v="20"/>
    <x v="20"/>
    <x v="27"/>
    <x v="27"/>
    <x v="27"/>
    <x v="9"/>
    <x v="173"/>
    <x v="271"/>
    <x v="97"/>
    <x v="110"/>
    <x v="117"/>
    <x v="232"/>
    <x v="0"/>
  </r>
  <r>
    <x v="0"/>
    <x v="20"/>
    <x v="20"/>
    <x v="15"/>
    <x v="15"/>
    <x v="15"/>
    <x v="9"/>
    <x v="173"/>
    <x v="271"/>
    <x v="97"/>
    <x v="110"/>
    <x v="101"/>
    <x v="233"/>
    <x v="0"/>
  </r>
  <r>
    <x v="0"/>
    <x v="20"/>
    <x v="20"/>
    <x v="11"/>
    <x v="11"/>
    <x v="11"/>
    <x v="14"/>
    <x v="174"/>
    <x v="35"/>
    <x v="37"/>
    <x v="73"/>
    <x v="128"/>
    <x v="206"/>
    <x v="0"/>
  </r>
  <r>
    <x v="0"/>
    <x v="20"/>
    <x v="20"/>
    <x v="10"/>
    <x v="10"/>
    <x v="10"/>
    <x v="14"/>
    <x v="174"/>
    <x v="35"/>
    <x v="91"/>
    <x v="273"/>
    <x v="116"/>
    <x v="236"/>
    <x v="0"/>
  </r>
  <r>
    <x v="0"/>
    <x v="20"/>
    <x v="20"/>
    <x v="8"/>
    <x v="8"/>
    <x v="8"/>
    <x v="14"/>
    <x v="174"/>
    <x v="35"/>
    <x v="90"/>
    <x v="167"/>
    <x v="116"/>
    <x v="236"/>
    <x v="0"/>
  </r>
  <r>
    <x v="0"/>
    <x v="20"/>
    <x v="20"/>
    <x v="14"/>
    <x v="14"/>
    <x v="14"/>
    <x v="14"/>
    <x v="174"/>
    <x v="35"/>
    <x v="37"/>
    <x v="73"/>
    <x v="128"/>
    <x v="206"/>
    <x v="0"/>
  </r>
  <r>
    <x v="0"/>
    <x v="20"/>
    <x v="20"/>
    <x v="55"/>
    <x v="55"/>
    <x v="55"/>
    <x v="18"/>
    <x v="176"/>
    <x v="272"/>
    <x v="90"/>
    <x v="167"/>
    <x v="116"/>
    <x v="236"/>
    <x v="0"/>
  </r>
  <r>
    <x v="0"/>
    <x v="20"/>
    <x v="20"/>
    <x v="53"/>
    <x v="53"/>
    <x v="53"/>
    <x v="18"/>
    <x v="176"/>
    <x v="272"/>
    <x v="90"/>
    <x v="167"/>
    <x v="116"/>
    <x v="236"/>
    <x v="0"/>
  </r>
  <r>
    <x v="0"/>
    <x v="20"/>
    <x v="20"/>
    <x v="34"/>
    <x v="34"/>
    <x v="34"/>
    <x v="18"/>
    <x v="176"/>
    <x v="272"/>
    <x v="90"/>
    <x v="167"/>
    <x v="116"/>
    <x v="236"/>
    <x v="0"/>
  </r>
  <r>
    <x v="0"/>
    <x v="20"/>
    <x v="20"/>
    <x v="26"/>
    <x v="26"/>
    <x v="26"/>
    <x v="18"/>
    <x v="176"/>
    <x v="272"/>
    <x v="97"/>
    <x v="110"/>
    <x v="101"/>
    <x v="233"/>
    <x v="0"/>
  </r>
  <r>
    <x v="0"/>
    <x v="20"/>
    <x v="20"/>
    <x v="3"/>
    <x v="3"/>
    <x v="3"/>
    <x v="18"/>
    <x v="176"/>
    <x v="272"/>
    <x v="90"/>
    <x v="167"/>
    <x v="128"/>
    <x v="206"/>
    <x v="0"/>
  </r>
  <r>
    <x v="0"/>
    <x v="20"/>
    <x v="20"/>
    <x v="56"/>
    <x v="56"/>
    <x v="56"/>
    <x v="18"/>
    <x v="176"/>
    <x v="272"/>
    <x v="90"/>
    <x v="167"/>
    <x v="116"/>
    <x v="236"/>
    <x v="0"/>
  </r>
  <r>
    <x v="0"/>
    <x v="20"/>
    <x v="20"/>
    <x v="9"/>
    <x v="9"/>
    <x v="9"/>
    <x v="18"/>
    <x v="176"/>
    <x v="272"/>
    <x v="91"/>
    <x v="273"/>
    <x v="128"/>
    <x v="206"/>
    <x v="0"/>
  </r>
  <r>
    <x v="0"/>
    <x v="20"/>
    <x v="20"/>
    <x v="37"/>
    <x v="37"/>
    <x v="37"/>
    <x v="18"/>
    <x v="176"/>
    <x v="272"/>
    <x v="90"/>
    <x v="167"/>
    <x v="116"/>
    <x v="236"/>
    <x v="0"/>
  </r>
  <r>
    <x v="0"/>
    <x v="20"/>
    <x v="20"/>
    <x v="57"/>
    <x v="57"/>
    <x v="57"/>
    <x v="18"/>
    <x v="176"/>
    <x v="272"/>
    <x v="97"/>
    <x v="110"/>
    <x v="128"/>
    <x v="206"/>
    <x v="0"/>
  </r>
  <r>
    <x v="0"/>
    <x v="21"/>
    <x v="21"/>
    <x v="16"/>
    <x v="16"/>
    <x v="16"/>
    <x v="0"/>
    <x v="179"/>
    <x v="273"/>
    <x v="73"/>
    <x v="274"/>
    <x v="120"/>
    <x v="238"/>
    <x v="0"/>
  </r>
  <r>
    <x v="0"/>
    <x v="21"/>
    <x v="21"/>
    <x v="1"/>
    <x v="1"/>
    <x v="1"/>
    <x v="1"/>
    <x v="171"/>
    <x v="274"/>
    <x v="33"/>
    <x v="275"/>
    <x v="128"/>
    <x v="206"/>
    <x v="0"/>
  </r>
  <r>
    <x v="0"/>
    <x v="21"/>
    <x v="21"/>
    <x v="6"/>
    <x v="6"/>
    <x v="6"/>
    <x v="2"/>
    <x v="172"/>
    <x v="275"/>
    <x v="38"/>
    <x v="276"/>
    <x v="128"/>
    <x v="206"/>
    <x v="0"/>
  </r>
  <r>
    <x v="0"/>
    <x v="21"/>
    <x v="21"/>
    <x v="46"/>
    <x v="46"/>
    <x v="46"/>
    <x v="3"/>
    <x v="173"/>
    <x v="96"/>
    <x v="91"/>
    <x v="277"/>
    <x v="128"/>
    <x v="206"/>
    <x v="0"/>
  </r>
  <r>
    <x v="0"/>
    <x v="21"/>
    <x v="21"/>
    <x v="4"/>
    <x v="4"/>
    <x v="4"/>
    <x v="4"/>
    <x v="174"/>
    <x v="276"/>
    <x v="90"/>
    <x v="208"/>
    <x v="101"/>
    <x v="239"/>
    <x v="0"/>
  </r>
  <r>
    <x v="0"/>
    <x v="21"/>
    <x v="21"/>
    <x v="2"/>
    <x v="2"/>
    <x v="2"/>
    <x v="5"/>
    <x v="176"/>
    <x v="277"/>
    <x v="97"/>
    <x v="110"/>
    <x v="116"/>
    <x v="221"/>
    <x v="0"/>
  </r>
  <r>
    <x v="0"/>
    <x v="21"/>
    <x v="21"/>
    <x v="0"/>
    <x v="0"/>
    <x v="0"/>
    <x v="5"/>
    <x v="176"/>
    <x v="277"/>
    <x v="91"/>
    <x v="277"/>
    <x v="128"/>
    <x v="206"/>
    <x v="0"/>
  </r>
  <r>
    <x v="0"/>
    <x v="21"/>
    <x v="21"/>
    <x v="8"/>
    <x v="8"/>
    <x v="8"/>
    <x v="5"/>
    <x v="176"/>
    <x v="277"/>
    <x v="90"/>
    <x v="208"/>
    <x v="128"/>
    <x v="206"/>
    <x v="4"/>
  </r>
  <r>
    <x v="0"/>
    <x v="21"/>
    <x v="21"/>
    <x v="7"/>
    <x v="7"/>
    <x v="7"/>
    <x v="8"/>
    <x v="178"/>
    <x v="158"/>
    <x v="97"/>
    <x v="110"/>
    <x v="116"/>
    <x v="221"/>
    <x v="0"/>
  </r>
  <r>
    <x v="0"/>
    <x v="21"/>
    <x v="21"/>
    <x v="29"/>
    <x v="29"/>
    <x v="29"/>
    <x v="8"/>
    <x v="178"/>
    <x v="158"/>
    <x v="97"/>
    <x v="110"/>
    <x v="116"/>
    <x v="221"/>
    <x v="0"/>
  </r>
  <r>
    <x v="0"/>
    <x v="21"/>
    <x v="21"/>
    <x v="34"/>
    <x v="34"/>
    <x v="34"/>
    <x v="8"/>
    <x v="178"/>
    <x v="158"/>
    <x v="90"/>
    <x v="208"/>
    <x v="128"/>
    <x v="206"/>
    <x v="0"/>
  </r>
  <r>
    <x v="0"/>
    <x v="21"/>
    <x v="21"/>
    <x v="58"/>
    <x v="58"/>
    <x v="58"/>
    <x v="8"/>
    <x v="178"/>
    <x v="158"/>
    <x v="97"/>
    <x v="110"/>
    <x v="128"/>
    <x v="206"/>
    <x v="4"/>
  </r>
  <r>
    <x v="0"/>
    <x v="21"/>
    <x v="21"/>
    <x v="9"/>
    <x v="9"/>
    <x v="9"/>
    <x v="8"/>
    <x v="178"/>
    <x v="158"/>
    <x v="90"/>
    <x v="208"/>
    <x v="128"/>
    <x v="206"/>
    <x v="0"/>
  </r>
  <r>
    <x v="0"/>
    <x v="21"/>
    <x v="21"/>
    <x v="15"/>
    <x v="15"/>
    <x v="15"/>
    <x v="8"/>
    <x v="178"/>
    <x v="158"/>
    <x v="97"/>
    <x v="110"/>
    <x v="128"/>
    <x v="206"/>
    <x v="0"/>
  </r>
  <r>
    <x v="0"/>
    <x v="22"/>
    <x v="22"/>
    <x v="16"/>
    <x v="16"/>
    <x v="16"/>
    <x v="0"/>
    <x v="114"/>
    <x v="278"/>
    <x v="45"/>
    <x v="278"/>
    <x v="101"/>
    <x v="177"/>
    <x v="0"/>
  </r>
  <r>
    <x v="0"/>
    <x v="22"/>
    <x v="22"/>
    <x v="0"/>
    <x v="0"/>
    <x v="0"/>
    <x v="1"/>
    <x v="115"/>
    <x v="279"/>
    <x v="99"/>
    <x v="279"/>
    <x v="128"/>
    <x v="206"/>
    <x v="0"/>
  </r>
  <r>
    <x v="0"/>
    <x v="22"/>
    <x v="22"/>
    <x v="6"/>
    <x v="6"/>
    <x v="6"/>
    <x v="2"/>
    <x v="105"/>
    <x v="280"/>
    <x v="108"/>
    <x v="280"/>
    <x v="92"/>
    <x v="44"/>
    <x v="0"/>
  </r>
  <r>
    <x v="0"/>
    <x v="22"/>
    <x v="22"/>
    <x v="5"/>
    <x v="5"/>
    <x v="5"/>
    <x v="3"/>
    <x v="150"/>
    <x v="152"/>
    <x v="78"/>
    <x v="281"/>
    <x v="92"/>
    <x v="44"/>
    <x v="0"/>
  </r>
  <r>
    <x v="0"/>
    <x v="22"/>
    <x v="22"/>
    <x v="1"/>
    <x v="1"/>
    <x v="1"/>
    <x v="4"/>
    <x v="137"/>
    <x v="281"/>
    <x v="78"/>
    <x v="281"/>
    <x v="116"/>
    <x v="83"/>
    <x v="0"/>
  </r>
  <r>
    <x v="0"/>
    <x v="22"/>
    <x v="22"/>
    <x v="4"/>
    <x v="4"/>
    <x v="4"/>
    <x v="5"/>
    <x v="138"/>
    <x v="111"/>
    <x v="38"/>
    <x v="282"/>
    <x v="107"/>
    <x v="240"/>
    <x v="0"/>
  </r>
  <r>
    <x v="0"/>
    <x v="22"/>
    <x v="22"/>
    <x v="2"/>
    <x v="2"/>
    <x v="2"/>
    <x v="6"/>
    <x v="167"/>
    <x v="282"/>
    <x v="38"/>
    <x v="282"/>
    <x v="120"/>
    <x v="241"/>
    <x v="0"/>
  </r>
  <r>
    <x v="0"/>
    <x v="22"/>
    <x v="22"/>
    <x v="29"/>
    <x v="29"/>
    <x v="29"/>
    <x v="7"/>
    <x v="170"/>
    <x v="283"/>
    <x v="37"/>
    <x v="152"/>
    <x v="118"/>
    <x v="242"/>
    <x v="0"/>
  </r>
  <r>
    <x v="0"/>
    <x v="22"/>
    <x v="22"/>
    <x v="7"/>
    <x v="7"/>
    <x v="7"/>
    <x v="8"/>
    <x v="171"/>
    <x v="284"/>
    <x v="33"/>
    <x v="283"/>
    <x v="128"/>
    <x v="206"/>
    <x v="0"/>
  </r>
  <r>
    <x v="0"/>
    <x v="22"/>
    <x v="22"/>
    <x v="9"/>
    <x v="9"/>
    <x v="9"/>
    <x v="8"/>
    <x v="171"/>
    <x v="284"/>
    <x v="33"/>
    <x v="283"/>
    <x v="128"/>
    <x v="206"/>
    <x v="0"/>
  </r>
  <r>
    <x v="0"/>
    <x v="22"/>
    <x v="22"/>
    <x v="10"/>
    <x v="10"/>
    <x v="10"/>
    <x v="10"/>
    <x v="173"/>
    <x v="103"/>
    <x v="37"/>
    <x v="152"/>
    <x v="116"/>
    <x v="83"/>
    <x v="0"/>
  </r>
  <r>
    <x v="0"/>
    <x v="22"/>
    <x v="22"/>
    <x v="27"/>
    <x v="27"/>
    <x v="27"/>
    <x v="10"/>
    <x v="173"/>
    <x v="103"/>
    <x v="97"/>
    <x v="110"/>
    <x v="117"/>
    <x v="243"/>
    <x v="0"/>
  </r>
  <r>
    <x v="0"/>
    <x v="22"/>
    <x v="22"/>
    <x v="41"/>
    <x v="41"/>
    <x v="41"/>
    <x v="12"/>
    <x v="174"/>
    <x v="238"/>
    <x v="90"/>
    <x v="284"/>
    <x v="101"/>
    <x v="177"/>
    <x v="0"/>
  </r>
  <r>
    <x v="0"/>
    <x v="22"/>
    <x v="22"/>
    <x v="59"/>
    <x v="59"/>
    <x v="59"/>
    <x v="12"/>
    <x v="174"/>
    <x v="238"/>
    <x v="91"/>
    <x v="12"/>
    <x v="116"/>
    <x v="83"/>
    <x v="0"/>
  </r>
  <r>
    <x v="0"/>
    <x v="22"/>
    <x v="22"/>
    <x v="56"/>
    <x v="56"/>
    <x v="56"/>
    <x v="12"/>
    <x v="174"/>
    <x v="238"/>
    <x v="90"/>
    <x v="284"/>
    <x v="101"/>
    <x v="177"/>
    <x v="0"/>
  </r>
  <r>
    <x v="0"/>
    <x v="22"/>
    <x v="22"/>
    <x v="12"/>
    <x v="12"/>
    <x v="12"/>
    <x v="12"/>
    <x v="174"/>
    <x v="238"/>
    <x v="90"/>
    <x v="284"/>
    <x v="101"/>
    <x v="177"/>
    <x v="0"/>
  </r>
  <r>
    <x v="0"/>
    <x v="22"/>
    <x v="22"/>
    <x v="15"/>
    <x v="15"/>
    <x v="15"/>
    <x v="12"/>
    <x v="174"/>
    <x v="238"/>
    <x v="97"/>
    <x v="110"/>
    <x v="101"/>
    <x v="177"/>
    <x v="0"/>
  </r>
  <r>
    <x v="0"/>
    <x v="22"/>
    <x v="22"/>
    <x v="57"/>
    <x v="57"/>
    <x v="57"/>
    <x v="12"/>
    <x v="174"/>
    <x v="238"/>
    <x v="97"/>
    <x v="110"/>
    <x v="128"/>
    <x v="206"/>
    <x v="0"/>
  </r>
  <r>
    <x v="0"/>
    <x v="22"/>
    <x v="22"/>
    <x v="11"/>
    <x v="11"/>
    <x v="11"/>
    <x v="18"/>
    <x v="176"/>
    <x v="285"/>
    <x v="91"/>
    <x v="12"/>
    <x v="128"/>
    <x v="206"/>
    <x v="0"/>
  </r>
  <r>
    <x v="0"/>
    <x v="22"/>
    <x v="22"/>
    <x v="26"/>
    <x v="26"/>
    <x v="26"/>
    <x v="18"/>
    <x v="176"/>
    <x v="285"/>
    <x v="97"/>
    <x v="110"/>
    <x v="101"/>
    <x v="177"/>
    <x v="0"/>
  </r>
  <r>
    <x v="0"/>
    <x v="22"/>
    <x v="22"/>
    <x v="13"/>
    <x v="13"/>
    <x v="13"/>
    <x v="18"/>
    <x v="176"/>
    <x v="285"/>
    <x v="91"/>
    <x v="12"/>
    <x v="128"/>
    <x v="206"/>
    <x v="0"/>
  </r>
  <r>
    <x v="0"/>
    <x v="22"/>
    <x v="22"/>
    <x v="19"/>
    <x v="19"/>
    <x v="19"/>
    <x v="18"/>
    <x v="176"/>
    <x v="285"/>
    <x v="91"/>
    <x v="12"/>
    <x v="128"/>
    <x v="206"/>
    <x v="0"/>
  </r>
  <r>
    <x v="0"/>
    <x v="22"/>
    <x v="22"/>
    <x v="8"/>
    <x v="8"/>
    <x v="8"/>
    <x v="18"/>
    <x v="176"/>
    <x v="285"/>
    <x v="90"/>
    <x v="284"/>
    <x v="116"/>
    <x v="83"/>
    <x v="0"/>
  </r>
  <r>
    <x v="0"/>
    <x v="23"/>
    <x v="23"/>
    <x v="0"/>
    <x v="0"/>
    <x v="0"/>
    <x v="0"/>
    <x v="164"/>
    <x v="256"/>
    <x v="134"/>
    <x v="285"/>
    <x v="117"/>
    <x v="153"/>
    <x v="0"/>
  </r>
  <r>
    <x v="0"/>
    <x v="23"/>
    <x v="23"/>
    <x v="16"/>
    <x v="16"/>
    <x v="16"/>
    <x v="1"/>
    <x v="180"/>
    <x v="286"/>
    <x v="116"/>
    <x v="286"/>
    <x v="96"/>
    <x v="244"/>
    <x v="4"/>
  </r>
  <r>
    <x v="0"/>
    <x v="23"/>
    <x v="23"/>
    <x v="6"/>
    <x v="6"/>
    <x v="6"/>
    <x v="2"/>
    <x v="181"/>
    <x v="287"/>
    <x v="106"/>
    <x v="287"/>
    <x v="90"/>
    <x v="245"/>
    <x v="0"/>
  </r>
  <r>
    <x v="0"/>
    <x v="23"/>
    <x v="23"/>
    <x v="1"/>
    <x v="1"/>
    <x v="1"/>
    <x v="3"/>
    <x v="130"/>
    <x v="288"/>
    <x v="43"/>
    <x v="288"/>
    <x v="101"/>
    <x v="246"/>
    <x v="0"/>
  </r>
  <r>
    <x v="0"/>
    <x v="23"/>
    <x v="23"/>
    <x v="2"/>
    <x v="2"/>
    <x v="2"/>
    <x v="4"/>
    <x v="131"/>
    <x v="289"/>
    <x v="45"/>
    <x v="247"/>
    <x v="129"/>
    <x v="247"/>
    <x v="0"/>
  </r>
  <r>
    <x v="0"/>
    <x v="23"/>
    <x v="23"/>
    <x v="4"/>
    <x v="4"/>
    <x v="4"/>
    <x v="5"/>
    <x v="55"/>
    <x v="290"/>
    <x v="15"/>
    <x v="289"/>
    <x v="95"/>
    <x v="248"/>
    <x v="0"/>
  </r>
  <r>
    <x v="0"/>
    <x v="23"/>
    <x v="23"/>
    <x v="5"/>
    <x v="5"/>
    <x v="5"/>
    <x v="6"/>
    <x v="114"/>
    <x v="234"/>
    <x v="64"/>
    <x v="290"/>
    <x v="96"/>
    <x v="244"/>
    <x v="0"/>
  </r>
  <r>
    <x v="0"/>
    <x v="23"/>
    <x v="23"/>
    <x v="10"/>
    <x v="10"/>
    <x v="10"/>
    <x v="7"/>
    <x v="135"/>
    <x v="8"/>
    <x v="109"/>
    <x v="291"/>
    <x v="107"/>
    <x v="146"/>
    <x v="0"/>
  </r>
  <r>
    <x v="0"/>
    <x v="23"/>
    <x v="23"/>
    <x v="7"/>
    <x v="7"/>
    <x v="7"/>
    <x v="8"/>
    <x v="126"/>
    <x v="10"/>
    <x v="131"/>
    <x v="219"/>
    <x v="106"/>
    <x v="249"/>
    <x v="0"/>
  </r>
  <r>
    <x v="0"/>
    <x v="23"/>
    <x v="23"/>
    <x v="3"/>
    <x v="3"/>
    <x v="3"/>
    <x v="9"/>
    <x v="143"/>
    <x v="270"/>
    <x v="50"/>
    <x v="292"/>
    <x v="92"/>
    <x v="250"/>
    <x v="0"/>
  </r>
  <r>
    <x v="0"/>
    <x v="23"/>
    <x v="23"/>
    <x v="13"/>
    <x v="13"/>
    <x v="13"/>
    <x v="10"/>
    <x v="168"/>
    <x v="291"/>
    <x v="121"/>
    <x v="293"/>
    <x v="92"/>
    <x v="250"/>
    <x v="0"/>
  </r>
  <r>
    <x v="0"/>
    <x v="23"/>
    <x v="23"/>
    <x v="25"/>
    <x v="25"/>
    <x v="25"/>
    <x v="10"/>
    <x v="168"/>
    <x v="291"/>
    <x v="97"/>
    <x v="110"/>
    <x v="106"/>
    <x v="249"/>
    <x v="4"/>
  </r>
  <r>
    <x v="0"/>
    <x v="23"/>
    <x v="23"/>
    <x v="12"/>
    <x v="12"/>
    <x v="12"/>
    <x v="12"/>
    <x v="167"/>
    <x v="16"/>
    <x v="38"/>
    <x v="75"/>
    <x v="120"/>
    <x v="251"/>
    <x v="0"/>
  </r>
  <r>
    <x v="0"/>
    <x v="23"/>
    <x v="23"/>
    <x v="8"/>
    <x v="8"/>
    <x v="8"/>
    <x v="12"/>
    <x v="167"/>
    <x v="16"/>
    <x v="80"/>
    <x v="294"/>
    <x v="101"/>
    <x v="246"/>
    <x v="0"/>
  </r>
  <r>
    <x v="0"/>
    <x v="23"/>
    <x v="23"/>
    <x v="15"/>
    <x v="15"/>
    <x v="15"/>
    <x v="12"/>
    <x v="167"/>
    <x v="16"/>
    <x v="97"/>
    <x v="110"/>
    <x v="107"/>
    <x v="146"/>
    <x v="0"/>
  </r>
  <r>
    <x v="0"/>
    <x v="23"/>
    <x v="23"/>
    <x v="14"/>
    <x v="14"/>
    <x v="14"/>
    <x v="15"/>
    <x v="169"/>
    <x v="292"/>
    <x v="38"/>
    <x v="75"/>
    <x v="118"/>
    <x v="169"/>
    <x v="0"/>
  </r>
  <r>
    <x v="0"/>
    <x v="23"/>
    <x v="23"/>
    <x v="11"/>
    <x v="11"/>
    <x v="11"/>
    <x v="16"/>
    <x v="170"/>
    <x v="55"/>
    <x v="80"/>
    <x v="294"/>
    <x v="116"/>
    <x v="252"/>
    <x v="0"/>
  </r>
  <r>
    <x v="0"/>
    <x v="23"/>
    <x v="23"/>
    <x v="46"/>
    <x v="46"/>
    <x v="46"/>
    <x v="16"/>
    <x v="170"/>
    <x v="55"/>
    <x v="38"/>
    <x v="75"/>
    <x v="117"/>
    <x v="153"/>
    <x v="0"/>
  </r>
  <r>
    <x v="0"/>
    <x v="23"/>
    <x v="23"/>
    <x v="9"/>
    <x v="9"/>
    <x v="9"/>
    <x v="16"/>
    <x v="170"/>
    <x v="55"/>
    <x v="80"/>
    <x v="294"/>
    <x v="116"/>
    <x v="252"/>
    <x v="0"/>
  </r>
  <r>
    <x v="0"/>
    <x v="23"/>
    <x v="23"/>
    <x v="17"/>
    <x v="17"/>
    <x v="17"/>
    <x v="19"/>
    <x v="175"/>
    <x v="293"/>
    <x v="90"/>
    <x v="295"/>
    <x v="120"/>
    <x v="251"/>
    <x v="0"/>
  </r>
  <r>
    <x v="0"/>
    <x v="24"/>
    <x v="24"/>
    <x v="16"/>
    <x v="16"/>
    <x v="16"/>
    <x v="0"/>
    <x v="94"/>
    <x v="294"/>
    <x v="94"/>
    <x v="296"/>
    <x v="111"/>
    <x v="253"/>
    <x v="0"/>
  </r>
  <r>
    <x v="0"/>
    <x v="24"/>
    <x v="24"/>
    <x v="1"/>
    <x v="1"/>
    <x v="1"/>
    <x v="1"/>
    <x v="137"/>
    <x v="295"/>
    <x v="131"/>
    <x v="297"/>
    <x v="116"/>
    <x v="254"/>
    <x v="4"/>
  </r>
  <r>
    <x v="0"/>
    <x v="24"/>
    <x v="24"/>
    <x v="4"/>
    <x v="4"/>
    <x v="4"/>
    <x v="2"/>
    <x v="170"/>
    <x v="296"/>
    <x v="38"/>
    <x v="298"/>
    <x v="117"/>
    <x v="224"/>
    <x v="0"/>
  </r>
  <r>
    <x v="0"/>
    <x v="24"/>
    <x v="24"/>
    <x v="6"/>
    <x v="6"/>
    <x v="6"/>
    <x v="2"/>
    <x v="170"/>
    <x v="296"/>
    <x v="37"/>
    <x v="26"/>
    <x v="118"/>
    <x v="92"/>
    <x v="0"/>
  </r>
  <r>
    <x v="0"/>
    <x v="24"/>
    <x v="24"/>
    <x v="2"/>
    <x v="2"/>
    <x v="2"/>
    <x v="2"/>
    <x v="170"/>
    <x v="296"/>
    <x v="38"/>
    <x v="298"/>
    <x v="117"/>
    <x v="224"/>
    <x v="0"/>
  </r>
  <r>
    <x v="0"/>
    <x v="24"/>
    <x v="24"/>
    <x v="0"/>
    <x v="0"/>
    <x v="0"/>
    <x v="5"/>
    <x v="175"/>
    <x v="260"/>
    <x v="80"/>
    <x v="299"/>
    <x v="128"/>
    <x v="206"/>
    <x v="0"/>
  </r>
  <r>
    <x v="0"/>
    <x v="24"/>
    <x v="24"/>
    <x v="46"/>
    <x v="46"/>
    <x v="46"/>
    <x v="6"/>
    <x v="172"/>
    <x v="297"/>
    <x v="91"/>
    <x v="300"/>
    <x v="92"/>
    <x v="255"/>
    <x v="0"/>
  </r>
  <r>
    <x v="0"/>
    <x v="24"/>
    <x v="24"/>
    <x v="5"/>
    <x v="5"/>
    <x v="5"/>
    <x v="7"/>
    <x v="173"/>
    <x v="12"/>
    <x v="91"/>
    <x v="300"/>
    <x v="101"/>
    <x v="256"/>
    <x v="0"/>
  </r>
  <r>
    <x v="0"/>
    <x v="24"/>
    <x v="24"/>
    <x v="24"/>
    <x v="24"/>
    <x v="24"/>
    <x v="7"/>
    <x v="173"/>
    <x v="12"/>
    <x v="91"/>
    <x v="300"/>
    <x v="101"/>
    <x v="256"/>
    <x v="0"/>
  </r>
  <r>
    <x v="0"/>
    <x v="24"/>
    <x v="24"/>
    <x v="27"/>
    <x v="27"/>
    <x v="27"/>
    <x v="7"/>
    <x v="173"/>
    <x v="12"/>
    <x v="97"/>
    <x v="110"/>
    <x v="101"/>
    <x v="256"/>
    <x v="0"/>
  </r>
  <r>
    <x v="0"/>
    <x v="24"/>
    <x v="24"/>
    <x v="3"/>
    <x v="3"/>
    <x v="3"/>
    <x v="10"/>
    <x v="174"/>
    <x v="298"/>
    <x v="91"/>
    <x v="300"/>
    <x v="116"/>
    <x v="254"/>
    <x v="0"/>
  </r>
  <r>
    <x v="0"/>
    <x v="24"/>
    <x v="24"/>
    <x v="7"/>
    <x v="7"/>
    <x v="7"/>
    <x v="11"/>
    <x v="176"/>
    <x v="197"/>
    <x v="90"/>
    <x v="168"/>
    <x v="116"/>
    <x v="254"/>
    <x v="0"/>
  </r>
  <r>
    <x v="0"/>
    <x v="24"/>
    <x v="24"/>
    <x v="12"/>
    <x v="12"/>
    <x v="12"/>
    <x v="11"/>
    <x v="176"/>
    <x v="197"/>
    <x v="90"/>
    <x v="168"/>
    <x v="116"/>
    <x v="254"/>
    <x v="0"/>
  </r>
  <r>
    <x v="0"/>
    <x v="24"/>
    <x v="24"/>
    <x v="8"/>
    <x v="8"/>
    <x v="8"/>
    <x v="11"/>
    <x v="176"/>
    <x v="197"/>
    <x v="97"/>
    <x v="110"/>
    <x v="101"/>
    <x v="256"/>
    <x v="0"/>
  </r>
  <r>
    <x v="0"/>
    <x v="24"/>
    <x v="24"/>
    <x v="25"/>
    <x v="25"/>
    <x v="25"/>
    <x v="11"/>
    <x v="176"/>
    <x v="197"/>
    <x v="97"/>
    <x v="110"/>
    <x v="116"/>
    <x v="254"/>
    <x v="4"/>
  </r>
  <r>
    <x v="0"/>
    <x v="24"/>
    <x v="24"/>
    <x v="49"/>
    <x v="49"/>
    <x v="49"/>
    <x v="15"/>
    <x v="178"/>
    <x v="299"/>
    <x v="97"/>
    <x v="110"/>
    <x v="116"/>
    <x v="254"/>
    <x v="0"/>
  </r>
  <r>
    <x v="0"/>
    <x v="24"/>
    <x v="24"/>
    <x v="41"/>
    <x v="41"/>
    <x v="41"/>
    <x v="15"/>
    <x v="178"/>
    <x v="299"/>
    <x v="97"/>
    <x v="110"/>
    <x v="116"/>
    <x v="254"/>
    <x v="0"/>
  </r>
  <r>
    <x v="0"/>
    <x v="24"/>
    <x v="24"/>
    <x v="33"/>
    <x v="33"/>
    <x v="33"/>
    <x v="15"/>
    <x v="178"/>
    <x v="299"/>
    <x v="90"/>
    <x v="168"/>
    <x v="128"/>
    <x v="206"/>
    <x v="0"/>
  </r>
  <r>
    <x v="0"/>
    <x v="24"/>
    <x v="24"/>
    <x v="60"/>
    <x v="60"/>
    <x v="60"/>
    <x v="15"/>
    <x v="178"/>
    <x v="299"/>
    <x v="97"/>
    <x v="110"/>
    <x v="116"/>
    <x v="254"/>
    <x v="0"/>
  </r>
  <r>
    <x v="0"/>
    <x v="24"/>
    <x v="24"/>
    <x v="30"/>
    <x v="30"/>
    <x v="30"/>
    <x v="15"/>
    <x v="178"/>
    <x v="299"/>
    <x v="90"/>
    <x v="168"/>
    <x v="128"/>
    <x v="206"/>
    <x v="0"/>
  </r>
  <r>
    <x v="0"/>
    <x v="24"/>
    <x v="24"/>
    <x v="43"/>
    <x v="43"/>
    <x v="43"/>
    <x v="15"/>
    <x v="178"/>
    <x v="299"/>
    <x v="90"/>
    <x v="168"/>
    <x v="128"/>
    <x v="206"/>
    <x v="0"/>
  </r>
  <r>
    <x v="0"/>
    <x v="24"/>
    <x v="24"/>
    <x v="51"/>
    <x v="51"/>
    <x v="51"/>
    <x v="15"/>
    <x v="178"/>
    <x v="299"/>
    <x v="97"/>
    <x v="110"/>
    <x v="116"/>
    <x v="254"/>
    <x v="0"/>
  </r>
  <r>
    <x v="0"/>
    <x v="24"/>
    <x v="24"/>
    <x v="53"/>
    <x v="53"/>
    <x v="53"/>
    <x v="15"/>
    <x v="178"/>
    <x v="299"/>
    <x v="97"/>
    <x v="110"/>
    <x v="116"/>
    <x v="254"/>
    <x v="0"/>
  </r>
  <r>
    <x v="0"/>
    <x v="24"/>
    <x v="24"/>
    <x v="58"/>
    <x v="58"/>
    <x v="58"/>
    <x v="15"/>
    <x v="178"/>
    <x v="299"/>
    <x v="97"/>
    <x v="110"/>
    <x v="128"/>
    <x v="206"/>
    <x v="4"/>
  </r>
  <r>
    <x v="0"/>
    <x v="24"/>
    <x v="24"/>
    <x v="10"/>
    <x v="10"/>
    <x v="10"/>
    <x v="15"/>
    <x v="178"/>
    <x v="299"/>
    <x v="97"/>
    <x v="110"/>
    <x v="116"/>
    <x v="254"/>
    <x v="0"/>
  </r>
  <r>
    <x v="0"/>
    <x v="24"/>
    <x v="24"/>
    <x v="56"/>
    <x v="56"/>
    <x v="56"/>
    <x v="15"/>
    <x v="178"/>
    <x v="299"/>
    <x v="90"/>
    <x v="168"/>
    <x v="128"/>
    <x v="206"/>
    <x v="0"/>
  </r>
  <r>
    <x v="0"/>
    <x v="24"/>
    <x v="24"/>
    <x v="13"/>
    <x v="13"/>
    <x v="13"/>
    <x v="15"/>
    <x v="178"/>
    <x v="299"/>
    <x v="90"/>
    <x v="168"/>
    <x v="128"/>
    <x v="206"/>
    <x v="0"/>
  </r>
  <r>
    <x v="0"/>
    <x v="24"/>
    <x v="24"/>
    <x v="19"/>
    <x v="19"/>
    <x v="19"/>
    <x v="15"/>
    <x v="178"/>
    <x v="299"/>
    <x v="97"/>
    <x v="110"/>
    <x v="116"/>
    <x v="254"/>
    <x v="0"/>
  </r>
  <r>
    <x v="0"/>
    <x v="24"/>
    <x v="24"/>
    <x v="9"/>
    <x v="9"/>
    <x v="9"/>
    <x v="15"/>
    <x v="178"/>
    <x v="299"/>
    <x v="90"/>
    <x v="168"/>
    <x v="128"/>
    <x v="206"/>
    <x v="0"/>
  </r>
  <r>
    <x v="0"/>
    <x v="24"/>
    <x v="24"/>
    <x v="15"/>
    <x v="15"/>
    <x v="15"/>
    <x v="15"/>
    <x v="178"/>
    <x v="299"/>
    <x v="97"/>
    <x v="110"/>
    <x v="116"/>
    <x v="254"/>
    <x v="0"/>
  </r>
  <r>
    <x v="0"/>
    <x v="24"/>
    <x v="24"/>
    <x v="37"/>
    <x v="37"/>
    <x v="37"/>
    <x v="15"/>
    <x v="178"/>
    <x v="299"/>
    <x v="97"/>
    <x v="110"/>
    <x v="116"/>
    <x v="254"/>
    <x v="0"/>
  </r>
  <r>
    <x v="0"/>
    <x v="24"/>
    <x v="24"/>
    <x v="14"/>
    <x v="14"/>
    <x v="14"/>
    <x v="15"/>
    <x v="178"/>
    <x v="299"/>
    <x v="97"/>
    <x v="110"/>
    <x v="116"/>
    <x v="254"/>
    <x v="0"/>
  </r>
  <r>
    <x v="0"/>
    <x v="24"/>
    <x v="24"/>
    <x v="57"/>
    <x v="57"/>
    <x v="57"/>
    <x v="15"/>
    <x v="178"/>
    <x v="299"/>
    <x v="97"/>
    <x v="110"/>
    <x v="128"/>
    <x v="206"/>
    <x v="0"/>
  </r>
  <r>
    <x v="0"/>
    <x v="25"/>
    <x v="25"/>
    <x v="1"/>
    <x v="1"/>
    <x v="1"/>
    <x v="0"/>
    <x v="103"/>
    <x v="300"/>
    <x v="51"/>
    <x v="301"/>
    <x v="117"/>
    <x v="257"/>
    <x v="0"/>
  </r>
  <r>
    <x v="0"/>
    <x v="25"/>
    <x v="25"/>
    <x v="0"/>
    <x v="0"/>
    <x v="0"/>
    <x v="1"/>
    <x v="104"/>
    <x v="301"/>
    <x v="118"/>
    <x v="302"/>
    <x v="128"/>
    <x v="206"/>
    <x v="0"/>
  </r>
  <r>
    <x v="0"/>
    <x v="25"/>
    <x v="25"/>
    <x v="5"/>
    <x v="5"/>
    <x v="5"/>
    <x v="2"/>
    <x v="115"/>
    <x v="302"/>
    <x v="108"/>
    <x v="303"/>
    <x v="120"/>
    <x v="93"/>
    <x v="0"/>
  </r>
  <r>
    <x v="0"/>
    <x v="25"/>
    <x v="25"/>
    <x v="4"/>
    <x v="4"/>
    <x v="4"/>
    <x v="3"/>
    <x v="105"/>
    <x v="94"/>
    <x v="98"/>
    <x v="304"/>
    <x v="106"/>
    <x v="258"/>
    <x v="0"/>
  </r>
  <r>
    <x v="0"/>
    <x v="25"/>
    <x v="25"/>
    <x v="2"/>
    <x v="2"/>
    <x v="2"/>
    <x v="3"/>
    <x v="105"/>
    <x v="94"/>
    <x v="78"/>
    <x v="305"/>
    <x v="96"/>
    <x v="259"/>
    <x v="0"/>
  </r>
  <r>
    <x v="0"/>
    <x v="25"/>
    <x v="25"/>
    <x v="6"/>
    <x v="6"/>
    <x v="6"/>
    <x v="5"/>
    <x v="127"/>
    <x v="303"/>
    <x v="89"/>
    <x v="306"/>
    <x v="116"/>
    <x v="64"/>
    <x v="0"/>
  </r>
  <r>
    <x v="0"/>
    <x v="25"/>
    <x v="25"/>
    <x v="10"/>
    <x v="10"/>
    <x v="10"/>
    <x v="6"/>
    <x v="169"/>
    <x v="304"/>
    <x v="33"/>
    <x v="206"/>
    <x v="92"/>
    <x v="260"/>
    <x v="0"/>
  </r>
  <r>
    <x v="0"/>
    <x v="25"/>
    <x v="25"/>
    <x v="7"/>
    <x v="7"/>
    <x v="7"/>
    <x v="7"/>
    <x v="170"/>
    <x v="305"/>
    <x v="91"/>
    <x v="307"/>
    <x v="120"/>
    <x v="93"/>
    <x v="0"/>
  </r>
  <r>
    <x v="0"/>
    <x v="25"/>
    <x v="25"/>
    <x v="16"/>
    <x v="16"/>
    <x v="16"/>
    <x v="8"/>
    <x v="175"/>
    <x v="206"/>
    <x v="66"/>
    <x v="308"/>
    <x v="101"/>
    <x v="261"/>
    <x v="0"/>
  </r>
  <r>
    <x v="0"/>
    <x v="25"/>
    <x v="25"/>
    <x v="8"/>
    <x v="8"/>
    <x v="8"/>
    <x v="9"/>
    <x v="171"/>
    <x v="306"/>
    <x v="37"/>
    <x v="309"/>
    <x v="116"/>
    <x v="64"/>
    <x v="0"/>
  </r>
  <r>
    <x v="0"/>
    <x v="25"/>
    <x v="25"/>
    <x v="9"/>
    <x v="9"/>
    <x v="9"/>
    <x v="10"/>
    <x v="172"/>
    <x v="307"/>
    <x v="38"/>
    <x v="79"/>
    <x v="128"/>
    <x v="206"/>
    <x v="0"/>
  </r>
  <r>
    <x v="0"/>
    <x v="25"/>
    <x v="25"/>
    <x v="15"/>
    <x v="15"/>
    <x v="15"/>
    <x v="10"/>
    <x v="172"/>
    <x v="307"/>
    <x v="97"/>
    <x v="110"/>
    <x v="92"/>
    <x v="260"/>
    <x v="0"/>
  </r>
  <r>
    <x v="0"/>
    <x v="25"/>
    <x v="25"/>
    <x v="41"/>
    <x v="41"/>
    <x v="41"/>
    <x v="12"/>
    <x v="173"/>
    <x v="308"/>
    <x v="37"/>
    <x v="309"/>
    <x v="116"/>
    <x v="64"/>
    <x v="0"/>
  </r>
  <r>
    <x v="0"/>
    <x v="25"/>
    <x v="25"/>
    <x v="11"/>
    <x v="11"/>
    <x v="11"/>
    <x v="12"/>
    <x v="173"/>
    <x v="308"/>
    <x v="37"/>
    <x v="309"/>
    <x v="116"/>
    <x v="64"/>
    <x v="0"/>
  </r>
  <r>
    <x v="0"/>
    <x v="25"/>
    <x v="25"/>
    <x v="13"/>
    <x v="13"/>
    <x v="13"/>
    <x v="12"/>
    <x v="173"/>
    <x v="308"/>
    <x v="91"/>
    <x v="307"/>
    <x v="101"/>
    <x v="261"/>
    <x v="0"/>
  </r>
  <r>
    <x v="0"/>
    <x v="25"/>
    <x v="25"/>
    <x v="14"/>
    <x v="14"/>
    <x v="14"/>
    <x v="15"/>
    <x v="174"/>
    <x v="309"/>
    <x v="37"/>
    <x v="309"/>
    <x v="128"/>
    <x v="206"/>
    <x v="0"/>
  </r>
  <r>
    <x v="0"/>
    <x v="25"/>
    <x v="25"/>
    <x v="33"/>
    <x v="33"/>
    <x v="33"/>
    <x v="16"/>
    <x v="176"/>
    <x v="310"/>
    <x v="91"/>
    <x v="307"/>
    <x v="128"/>
    <x v="206"/>
    <x v="0"/>
  </r>
  <r>
    <x v="0"/>
    <x v="25"/>
    <x v="25"/>
    <x v="61"/>
    <x v="61"/>
    <x v="61"/>
    <x v="16"/>
    <x v="176"/>
    <x v="310"/>
    <x v="90"/>
    <x v="66"/>
    <x v="116"/>
    <x v="64"/>
    <x v="0"/>
  </r>
  <r>
    <x v="0"/>
    <x v="25"/>
    <x v="25"/>
    <x v="22"/>
    <x v="22"/>
    <x v="22"/>
    <x v="16"/>
    <x v="176"/>
    <x v="310"/>
    <x v="90"/>
    <x v="66"/>
    <x v="116"/>
    <x v="64"/>
    <x v="0"/>
  </r>
  <r>
    <x v="0"/>
    <x v="25"/>
    <x v="25"/>
    <x v="24"/>
    <x v="24"/>
    <x v="24"/>
    <x v="16"/>
    <x v="176"/>
    <x v="310"/>
    <x v="91"/>
    <x v="307"/>
    <x v="128"/>
    <x v="206"/>
    <x v="0"/>
  </r>
  <r>
    <x v="0"/>
    <x v="25"/>
    <x v="25"/>
    <x v="23"/>
    <x v="23"/>
    <x v="23"/>
    <x v="16"/>
    <x v="176"/>
    <x v="310"/>
    <x v="97"/>
    <x v="110"/>
    <x v="101"/>
    <x v="261"/>
    <x v="0"/>
  </r>
  <r>
    <x v="0"/>
    <x v="26"/>
    <x v="26"/>
    <x v="16"/>
    <x v="16"/>
    <x v="16"/>
    <x v="0"/>
    <x v="168"/>
    <x v="311"/>
    <x v="121"/>
    <x v="310"/>
    <x v="92"/>
    <x v="202"/>
    <x v="0"/>
  </r>
  <r>
    <x v="0"/>
    <x v="26"/>
    <x v="26"/>
    <x v="0"/>
    <x v="0"/>
    <x v="0"/>
    <x v="1"/>
    <x v="175"/>
    <x v="312"/>
    <x v="80"/>
    <x v="171"/>
    <x v="128"/>
    <x v="206"/>
    <x v="0"/>
  </r>
  <r>
    <x v="0"/>
    <x v="26"/>
    <x v="26"/>
    <x v="1"/>
    <x v="1"/>
    <x v="1"/>
    <x v="2"/>
    <x v="171"/>
    <x v="303"/>
    <x v="66"/>
    <x v="311"/>
    <x v="116"/>
    <x v="262"/>
    <x v="0"/>
  </r>
  <r>
    <x v="0"/>
    <x v="26"/>
    <x v="26"/>
    <x v="7"/>
    <x v="7"/>
    <x v="7"/>
    <x v="3"/>
    <x v="172"/>
    <x v="313"/>
    <x v="38"/>
    <x v="312"/>
    <x v="116"/>
    <x v="262"/>
    <x v="0"/>
  </r>
  <r>
    <x v="0"/>
    <x v="26"/>
    <x v="26"/>
    <x v="2"/>
    <x v="2"/>
    <x v="2"/>
    <x v="4"/>
    <x v="174"/>
    <x v="304"/>
    <x v="90"/>
    <x v="313"/>
    <x v="101"/>
    <x v="263"/>
    <x v="0"/>
  </r>
  <r>
    <x v="0"/>
    <x v="26"/>
    <x v="26"/>
    <x v="37"/>
    <x v="37"/>
    <x v="37"/>
    <x v="4"/>
    <x v="174"/>
    <x v="304"/>
    <x v="90"/>
    <x v="313"/>
    <x v="116"/>
    <x v="262"/>
    <x v="0"/>
  </r>
  <r>
    <x v="0"/>
    <x v="26"/>
    <x v="26"/>
    <x v="62"/>
    <x v="62"/>
    <x v="62"/>
    <x v="4"/>
    <x v="174"/>
    <x v="304"/>
    <x v="97"/>
    <x v="110"/>
    <x v="92"/>
    <x v="202"/>
    <x v="0"/>
  </r>
  <r>
    <x v="0"/>
    <x v="26"/>
    <x v="26"/>
    <x v="4"/>
    <x v="4"/>
    <x v="4"/>
    <x v="7"/>
    <x v="176"/>
    <x v="306"/>
    <x v="90"/>
    <x v="313"/>
    <x v="116"/>
    <x v="262"/>
    <x v="0"/>
  </r>
  <r>
    <x v="0"/>
    <x v="26"/>
    <x v="26"/>
    <x v="5"/>
    <x v="5"/>
    <x v="5"/>
    <x v="7"/>
    <x v="176"/>
    <x v="306"/>
    <x v="90"/>
    <x v="313"/>
    <x v="116"/>
    <x v="262"/>
    <x v="0"/>
  </r>
  <r>
    <x v="0"/>
    <x v="26"/>
    <x v="26"/>
    <x v="29"/>
    <x v="29"/>
    <x v="29"/>
    <x v="7"/>
    <x v="176"/>
    <x v="306"/>
    <x v="90"/>
    <x v="313"/>
    <x v="116"/>
    <x v="262"/>
    <x v="0"/>
  </r>
  <r>
    <x v="0"/>
    <x v="26"/>
    <x v="26"/>
    <x v="49"/>
    <x v="49"/>
    <x v="49"/>
    <x v="7"/>
    <x v="176"/>
    <x v="306"/>
    <x v="97"/>
    <x v="110"/>
    <x v="101"/>
    <x v="263"/>
    <x v="0"/>
  </r>
  <r>
    <x v="0"/>
    <x v="26"/>
    <x v="26"/>
    <x v="33"/>
    <x v="33"/>
    <x v="33"/>
    <x v="7"/>
    <x v="176"/>
    <x v="306"/>
    <x v="97"/>
    <x v="110"/>
    <x v="101"/>
    <x v="263"/>
    <x v="0"/>
  </r>
  <r>
    <x v="0"/>
    <x v="26"/>
    <x v="26"/>
    <x v="43"/>
    <x v="43"/>
    <x v="43"/>
    <x v="7"/>
    <x v="176"/>
    <x v="306"/>
    <x v="97"/>
    <x v="110"/>
    <x v="101"/>
    <x v="263"/>
    <x v="0"/>
  </r>
  <r>
    <x v="0"/>
    <x v="26"/>
    <x v="26"/>
    <x v="6"/>
    <x v="6"/>
    <x v="6"/>
    <x v="7"/>
    <x v="176"/>
    <x v="306"/>
    <x v="91"/>
    <x v="314"/>
    <x v="128"/>
    <x v="206"/>
    <x v="0"/>
  </r>
  <r>
    <x v="0"/>
    <x v="26"/>
    <x v="26"/>
    <x v="10"/>
    <x v="10"/>
    <x v="10"/>
    <x v="7"/>
    <x v="176"/>
    <x v="306"/>
    <x v="90"/>
    <x v="313"/>
    <x v="116"/>
    <x v="262"/>
    <x v="0"/>
  </r>
  <r>
    <x v="0"/>
    <x v="26"/>
    <x v="26"/>
    <x v="41"/>
    <x v="41"/>
    <x v="41"/>
    <x v="15"/>
    <x v="178"/>
    <x v="309"/>
    <x v="97"/>
    <x v="110"/>
    <x v="116"/>
    <x v="262"/>
    <x v="0"/>
  </r>
  <r>
    <x v="0"/>
    <x v="26"/>
    <x v="26"/>
    <x v="60"/>
    <x v="60"/>
    <x v="60"/>
    <x v="15"/>
    <x v="178"/>
    <x v="309"/>
    <x v="97"/>
    <x v="110"/>
    <x v="116"/>
    <x v="262"/>
    <x v="0"/>
  </r>
  <r>
    <x v="0"/>
    <x v="26"/>
    <x v="26"/>
    <x v="31"/>
    <x v="31"/>
    <x v="31"/>
    <x v="15"/>
    <x v="178"/>
    <x v="309"/>
    <x v="97"/>
    <x v="110"/>
    <x v="116"/>
    <x v="262"/>
    <x v="0"/>
  </r>
  <r>
    <x v="0"/>
    <x v="26"/>
    <x v="26"/>
    <x v="59"/>
    <x v="59"/>
    <x v="59"/>
    <x v="15"/>
    <x v="178"/>
    <x v="309"/>
    <x v="97"/>
    <x v="110"/>
    <x v="116"/>
    <x v="262"/>
    <x v="0"/>
  </r>
  <r>
    <x v="0"/>
    <x v="26"/>
    <x v="26"/>
    <x v="63"/>
    <x v="63"/>
    <x v="63"/>
    <x v="15"/>
    <x v="178"/>
    <x v="309"/>
    <x v="90"/>
    <x v="313"/>
    <x v="128"/>
    <x v="206"/>
    <x v="0"/>
  </r>
  <r>
    <x v="0"/>
    <x v="26"/>
    <x v="26"/>
    <x v="44"/>
    <x v="44"/>
    <x v="44"/>
    <x v="15"/>
    <x v="178"/>
    <x v="309"/>
    <x v="97"/>
    <x v="110"/>
    <x v="128"/>
    <x v="206"/>
    <x v="0"/>
  </r>
  <r>
    <x v="0"/>
    <x v="26"/>
    <x v="26"/>
    <x v="53"/>
    <x v="53"/>
    <x v="53"/>
    <x v="15"/>
    <x v="178"/>
    <x v="309"/>
    <x v="97"/>
    <x v="110"/>
    <x v="116"/>
    <x v="262"/>
    <x v="0"/>
  </r>
  <r>
    <x v="0"/>
    <x v="26"/>
    <x v="26"/>
    <x v="11"/>
    <x v="11"/>
    <x v="11"/>
    <x v="15"/>
    <x v="178"/>
    <x v="309"/>
    <x v="90"/>
    <x v="313"/>
    <x v="128"/>
    <x v="206"/>
    <x v="0"/>
  </r>
  <r>
    <x v="0"/>
    <x v="26"/>
    <x v="26"/>
    <x v="20"/>
    <x v="20"/>
    <x v="20"/>
    <x v="15"/>
    <x v="178"/>
    <x v="309"/>
    <x v="97"/>
    <x v="110"/>
    <x v="116"/>
    <x v="262"/>
    <x v="0"/>
  </r>
  <r>
    <x v="0"/>
    <x v="26"/>
    <x v="26"/>
    <x v="13"/>
    <x v="13"/>
    <x v="13"/>
    <x v="15"/>
    <x v="178"/>
    <x v="309"/>
    <x v="90"/>
    <x v="313"/>
    <x v="128"/>
    <x v="206"/>
    <x v="0"/>
  </r>
  <r>
    <x v="0"/>
    <x v="26"/>
    <x v="26"/>
    <x v="12"/>
    <x v="12"/>
    <x v="12"/>
    <x v="15"/>
    <x v="178"/>
    <x v="309"/>
    <x v="97"/>
    <x v="110"/>
    <x v="116"/>
    <x v="262"/>
    <x v="0"/>
  </r>
  <r>
    <x v="0"/>
    <x v="26"/>
    <x v="26"/>
    <x v="46"/>
    <x v="46"/>
    <x v="46"/>
    <x v="15"/>
    <x v="178"/>
    <x v="309"/>
    <x v="97"/>
    <x v="110"/>
    <x v="116"/>
    <x v="262"/>
    <x v="0"/>
  </r>
  <r>
    <x v="0"/>
    <x v="26"/>
    <x v="26"/>
    <x v="8"/>
    <x v="8"/>
    <x v="8"/>
    <x v="15"/>
    <x v="178"/>
    <x v="309"/>
    <x v="90"/>
    <x v="313"/>
    <x v="128"/>
    <x v="206"/>
    <x v="0"/>
  </r>
  <r>
    <x v="0"/>
    <x v="26"/>
    <x v="26"/>
    <x v="9"/>
    <x v="9"/>
    <x v="9"/>
    <x v="15"/>
    <x v="178"/>
    <x v="309"/>
    <x v="90"/>
    <x v="313"/>
    <x v="128"/>
    <x v="206"/>
    <x v="0"/>
  </r>
  <r>
    <x v="0"/>
    <x v="26"/>
    <x v="26"/>
    <x v="38"/>
    <x v="38"/>
    <x v="38"/>
    <x v="15"/>
    <x v="178"/>
    <x v="309"/>
    <x v="97"/>
    <x v="110"/>
    <x v="116"/>
    <x v="262"/>
    <x v="0"/>
  </r>
  <r>
    <x v="0"/>
    <x v="27"/>
    <x v="27"/>
    <x v="16"/>
    <x v="16"/>
    <x v="16"/>
    <x v="0"/>
    <x v="53"/>
    <x v="314"/>
    <x v="79"/>
    <x v="315"/>
    <x v="110"/>
    <x v="264"/>
    <x v="0"/>
  </r>
  <r>
    <x v="0"/>
    <x v="27"/>
    <x v="27"/>
    <x v="1"/>
    <x v="1"/>
    <x v="1"/>
    <x v="1"/>
    <x v="111"/>
    <x v="315"/>
    <x v="130"/>
    <x v="316"/>
    <x v="99"/>
    <x v="265"/>
    <x v="0"/>
  </r>
  <r>
    <x v="0"/>
    <x v="27"/>
    <x v="27"/>
    <x v="0"/>
    <x v="0"/>
    <x v="0"/>
    <x v="2"/>
    <x v="177"/>
    <x v="316"/>
    <x v="104"/>
    <x v="317"/>
    <x v="117"/>
    <x v="230"/>
    <x v="0"/>
  </r>
  <r>
    <x v="0"/>
    <x v="27"/>
    <x v="27"/>
    <x v="4"/>
    <x v="4"/>
    <x v="4"/>
    <x v="3"/>
    <x v="100"/>
    <x v="317"/>
    <x v="109"/>
    <x v="318"/>
    <x v="86"/>
    <x v="266"/>
    <x v="0"/>
  </r>
  <r>
    <x v="0"/>
    <x v="27"/>
    <x v="27"/>
    <x v="6"/>
    <x v="6"/>
    <x v="6"/>
    <x v="4"/>
    <x v="102"/>
    <x v="318"/>
    <x v="15"/>
    <x v="319"/>
    <x v="106"/>
    <x v="267"/>
    <x v="0"/>
  </r>
  <r>
    <x v="0"/>
    <x v="27"/>
    <x v="27"/>
    <x v="2"/>
    <x v="2"/>
    <x v="2"/>
    <x v="4"/>
    <x v="102"/>
    <x v="318"/>
    <x v="121"/>
    <x v="320"/>
    <x v="109"/>
    <x v="268"/>
    <x v="0"/>
  </r>
  <r>
    <x v="0"/>
    <x v="27"/>
    <x v="27"/>
    <x v="5"/>
    <x v="5"/>
    <x v="5"/>
    <x v="6"/>
    <x v="104"/>
    <x v="319"/>
    <x v="89"/>
    <x v="321"/>
    <x v="120"/>
    <x v="219"/>
    <x v="0"/>
  </r>
  <r>
    <x v="0"/>
    <x v="27"/>
    <x v="27"/>
    <x v="8"/>
    <x v="8"/>
    <x v="8"/>
    <x v="6"/>
    <x v="104"/>
    <x v="319"/>
    <x v="96"/>
    <x v="216"/>
    <x v="107"/>
    <x v="228"/>
    <x v="0"/>
  </r>
  <r>
    <x v="0"/>
    <x v="27"/>
    <x v="27"/>
    <x v="3"/>
    <x v="3"/>
    <x v="3"/>
    <x v="8"/>
    <x v="143"/>
    <x v="320"/>
    <x v="38"/>
    <x v="322"/>
    <x v="114"/>
    <x v="269"/>
    <x v="0"/>
  </r>
  <r>
    <x v="0"/>
    <x v="27"/>
    <x v="27"/>
    <x v="7"/>
    <x v="7"/>
    <x v="7"/>
    <x v="9"/>
    <x v="144"/>
    <x v="131"/>
    <x v="66"/>
    <x v="220"/>
    <x v="51"/>
    <x v="270"/>
    <x v="0"/>
  </r>
  <r>
    <x v="0"/>
    <x v="27"/>
    <x v="27"/>
    <x v="9"/>
    <x v="9"/>
    <x v="9"/>
    <x v="10"/>
    <x v="137"/>
    <x v="101"/>
    <x v="109"/>
    <x v="318"/>
    <x v="128"/>
    <x v="206"/>
    <x v="0"/>
  </r>
  <r>
    <x v="0"/>
    <x v="27"/>
    <x v="27"/>
    <x v="11"/>
    <x v="11"/>
    <x v="11"/>
    <x v="11"/>
    <x v="138"/>
    <x v="321"/>
    <x v="121"/>
    <x v="320"/>
    <x v="117"/>
    <x v="230"/>
    <x v="0"/>
  </r>
  <r>
    <x v="0"/>
    <x v="27"/>
    <x v="27"/>
    <x v="29"/>
    <x v="29"/>
    <x v="29"/>
    <x v="12"/>
    <x v="168"/>
    <x v="322"/>
    <x v="91"/>
    <x v="323"/>
    <x v="106"/>
    <x v="267"/>
    <x v="0"/>
  </r>
  <r>
    <x v="0"/>
    <x v="27"/>
    <x v="27"/>
    <x v="15"/>
    <x v="15"/>
    <x v="15"/>
    <x v="13"/>
    <x v="167"/>
    <x v="103"/>
    <x v="97"/>
    <x v="110"/>
    <x v="118"/>
    <x v="86"/>
    <x v="0"/>
  </r>
  <r>
    <x v="0"/>
    <x v="27"/>
    <x v="27"/>
    <x v="10"/>
    <x v="10"/>
    <x v="10"/>
    <x v="14"/>
    <x v="170"/>
    <x v="291"/>
    <x v="66"/>
    <x v="220"/>
    <x v="92"/>
    <x v="271"/>
    <x v="0"/>
  </r>
  <r>
    <x v="0"/>
    <x v="27"/>
    <x v="27"/>
    <x v="27"/>
    <x v="27"/>
    <x v="27"/>
    <x v="14"/>
    <x v="170"/>
    <x v="291"/>
    <x v="90"/>
    <x v="324"/>
    <x v="96"/>
    <x v="24"/>
    <x v="0"/>
  </r>
  <r>
    <x v="0"/>
    <x v="27"/>
    <x v="27"/>
    <x v="46"/>
    <x v="46"/>
    <x v="46"/>
    <x v="14"/>
    <x v="170"/>
    <x v="291"/>
    <x v="91"/>
    <x v="323"/>
    <x v="118"/>
    <x v="86"/>
    <x v="0"/>
  </r>
  <r>
    <x v="0"/>
    <x v="27"/>
    <x v="27"/>
    <x v="14"/>
    <x v="14"/>
    <x v="14"/>
    <x v="14"/>
    <x v="170"/>
    <x v="291"/>
    <x v="38"/>
    <x v="322"/>
    <x v="117"/>
    <x v="230"/>
    <x v="0"/>
  </r>
  <r>
    <x v="0"/>
    <x v="27"/>
    <x v="27"/>
    <x v="19"/>
    <x v="19"/>
    <x v="19"/>
    <x v="18"/>
    <x v="175"/>
    <x v="106"/>
    <x v="37"/>
    <x v="325"/>
    <x v="117"/>
    <x v="230"/>
    <x v="0"/>
  </r>
  <r>
    <x v="0"/>
    <x v="27"/>
    <x v="27"/>
    <x v="39"/>
    <x v="39"/>
    <x v="39"/>
    <x v="19"/>
    <x v="171"/>
    <x v="121"/>
    <x v="91"/>
    <x v="323"/>
    <x v="117"/>
    <x v="230"/>
    <x v="0"/>
  </r>
  <r>
    <x v="0"/>
    <x v="27"/>
    <x v="27"/>
    <x v="12"/>
    <x v="12"/>
    <x v="12"/>
    <x v="19"/>
    <x v="171"/>
    <x v="121"/>
    <x v="38"/>
    <x v="322"/>
    <x v="101"/>
    <x v="272"/>
    <x v="0"/>
  </r>
  <r>
    <x v="0"/>
    <x v="27"/>
    <x v="27"/>
    <x v="25"/>
    <x v="25"/>
    <x v="25"/>
    <x v="19"/>
    <x v="171"/>
    <x v="121"/>
    <x v="91"/>
    <x v="323"/>
    <x v="117"/>
    <x v="230"/>
    <x v="0"/>
  </r>
  <r>
    <x v="0"/>
    <x v="28"/>
    <x v="28"/>
    <x v="1"/>
    <x v="1"/>
    <x v="1"/>
    <x v="0"/>
    <x v="182"/>
    <x v="323"/>
    <x v="44"/>
    <x v="326"/>
    <x v="92"/>
    <x v="144"/>
    <x v="0"/>
  </r>
  <r>
    <x v="0"/>
    <x v="28"/>
    <x v="28"/>
    <x v="0"/>
    <x v="0"/>
    <x v="0"/>
    <x v="1"/>
    <x v="154"/>
    <x v="324"/>
    <x v="34"/>
    <x v="327"/>
    <x v="107"/>
    <x v="43"/>
    <x v="0"/>
  </r>
  <r>
    <x v="0"/>
    <x v="28"/>
    <x v="28"/>
    <x v="2"/>
    <x v="2"/>
    <x v="2"/>
    <x v="2"/>
    <x v="121"/>
    <x v="325"/>
    <x v="126"/>
    <x v="328"/>
    <x v="90"/>
    <x v="273"/>
    <x v="0"/>
  </r>
  <r>
    <x v="0"/>
    <x v="28"/>
    <x v="28"/>
    <x v="6"/>
    <x v="6"/>
    <x v="6"/>
    <x v="3"/>
    <x v="113"/>
    <x v="58"/>
    <x v="135"/>
    <x v="329"/>
    <x v="96"/>
    <x v="274"/>
    <x v="0"/>
  </r>
  <r>
    <x v="0"/>
    <x v="28"/>
    <x v="28"/>
    <x v="4"/>
    <x v="4"/>
    <x v="4"/>
    <x v="4"/>
    <x v="134"/>
    <x v="326"/>
    <x v="96"/>
    <x v="330"/>
    <x v="109"/>
    <x v="275"/>
    <x v="0"/>
  </r>
  <r>
    <x v="0"/>
    <x v="28"/>
    <x v="28"/>
    <x v="3"/>
    <x v="3"/>
    <x v="3"/>
    <x v="4"/>
    <x v="134"/>
    <x v="326"/>
    <x v="84"/>
    <x v="134"/>
    <x v="99"/>
    <x v="276"/>
    <x v="0"/>
  </r>
  <r>
    <x v="0"/>
    <x v="28"/>
    <x v="28"/>
    <x v="5"/>
    <x v="5"/>
    <x v="5"/>
    <x v="6"/>
    <x v="142"/>
    <x v="110"/>
    <x v="64"/>
    <x v="331"/>
    <x v="107"/>
    <x v="43"/>
    <x v="0"/>
  </r>
  <r>
    <x v="0"/>
    <x v="28"/>
    <x v="28"/>
    <x v="10"/>
    <x v="10"/>
    <x v="10"/>
    <x v="7"/>
    <x v="143"/>
    <x v="327"/>
    <x v="98"/>
    <x v="332"/>
    <x v="96"/>
    <x v="274"/>
    <x v="0"/>
  </r>
  <r>
    <x v="0"/>
    <x v="28"/>
    <x v="28"/>
    <x v="11"/>
    <x v="11"/>
    <x v="11"/>
    <x v="8"/>
    <x v="136"/>
    <x v="48"/>
    <x v="78"/>
    <x v="333"/>
    <x v="101"/>
    <x v="277"/>
    <x v="0"/>
  </r>
  <r>
    <x v="0"/>
    <x v="28"/>
    <x v="28"/>
    <x v="7"/>
    <x v="7"/>
    <x v="7"/>
    <x v="9"/>
    <x v="137"/>
    <x v="207"/>
    <x v="66"/>
    <x v="322"/>
    <x v="107"/>
    <x v="43"/>
    <x v="0"/>
  </r>
  <r>
    <x v="0"/>
    <x v="28"/>
    <x v="28"/>
    <x v="8"/>
    <x v="8"/>
    <x v="8"/>
    <x v="10"/>
    <x v="138"/>
    <x v="328"/>
    <x v="80"/>
    <x v="334"/>
    <x v="118"/>
    <x v="278"/>
    <x v="0"/>
  </r>
  <r>
    <x v="0"/>
    <x v="28"/>
    <x v="28"/>
    <x v="13"/>
    <x v="13"/>
    <x v="13"/>
    <x v="11"/>
    <x v="169"/>
    <x v="185"/>
    <x v="66"/>
    <x v="322"/>
    <x v="117"/>
    <x v="55"/>
    <x v="0"/>
  </r>
  <r>
    <x v="0"/>
    <x v="28"/>
    <x v="28"/>
    <x v="9"/>
    <x v="9"/>
    <x v="9"/>
    <x v="11"/>
    <x v="169"/>
    <x v="185"/>
    <x v="52"/>
    <x v="335"/>
    <x v="128"/>
    <x v="206"/>
    <x v="0"/>
  </r>
  <r>
    <x v="0"/>
    <x v="28"/>
    <x v="28"/>
    <x v="29"/>
    <x v="29"/>
    <x v="29"/>
    <x v="13"/>
    <x v="170"/>
    <x v="105"/>
    <x v="38"/>
    <x v="336"/>
    <x v="117"/>
    <x v="55"/>
    <x v="0"/>
  </r>
  <r>
    <x v="0"/>
    <x v="28"/>
    <x v="28"/>
    <x v="12"/>
    <x v="12"/>
    <x v="12"/>
    <x v="13"/>
    <x v="170"/>
    <x v="105"/>
    <x v="38"/>
    <x v="336"/>
    <x v="117"/>
    <x v="55"/>
    <x v="0"/>
  </r>
  <r>
    <x v="0"/>
    <x v="28"/>
    <x v="28"/>
    <x v="57"/>
    <x v="57"/>
    <x v="57"/>
    <x v="13"/>
    <x v="170"/>
    <x v="105"/>
    <x v="97"/>
    <x v="110"/>
    <x v="116"/>
    <x v="279"/>
    <x v="0"/>
  </r>
  <r>
    <x v="0"/>
    <x v="28"/>
    <x v="28"/>
    <x v="27"/>
    <x v="27"/>
    <x v="27"/>
    <x v="16"/>
    <x v="175"/>
    <x v="53"/>
    <x v="91"/>
    <x v="337"/>
    <x v="117"/>
    <x v="55"/>
    <x v="0"/>
  </r>
  <r>
    <x v="0"/>
    <x v="28"/>
    <x v="28"/>
    <x v="24"/>
    <x v="24"/>
    <x v="24"/>
    <x v="17"/>
    <x v="171"/>
    <x v="18"/>
    <x v="97"/>
    <x v="110"/>
    <x v="120"/>
    <x v="280"/>
    <x v="0"/>
  </r>
  <r>
    <x v="0"/>
    <x v="28"/>
    <x v="28"/>
    <x v="15"/>
    <x v="15"/>
    <x v="15"/>
    <x v="17"/>
    <x v="171"/>
    <x v="18"/>
    <x v="97"/>
    <x v="110"/>
    <x v="120"/>
    <x v="280"/>
    <x v="0"/>
  </r>
  <r>
    <x v="0"/>
    <x v="28"/>
    <x v="28"/>
    <x v="17"/>
    <x v="17"/>
    <x v="17"/>
    <x v="19"/>
    <x v="172"/>
    <x v="198"/>
    <x v="90"/>
    <x v="338"/>
    <x v="117"/>
    <x v="55"/>
    <x v="0"/>
  </r>
  <r>
    <x v="0"/>
    <x v="28"/>
    <x v="28"/>
    <x v="18"/>
    <x v="18"/>
    <x v="18"/>
    <x v="19"/>
    <x v="172"/>
    <x v="198"/>
    <x v="90"/>
    <x v="338"/>
    <x v="117"/>
    <x v="55"/>
    <x v="0"/>
  </r>
  <r>
    <x v="0"/>
    <x v="29"/>
    <x v="29"/>
    <x v="4"/>
    <x v="4"/>
    <x v="4"/>
    <x v="0"/>
    <x v="175"/>
    <x v="229"/>
    <x v="90"/>
    <x v="137"/>
    <x v="120"/>
    <x v="281"/>
    <x v="0"/>
  </r>
  <r>
    <x v="0"/>
    <x v="29"/>
    <x v="29"/>
    <x v="6"/>
    <x v="6"/>
    <x v="6"/>
    <x v="1"/>
    <x v="171"/>
    <x v="329"/>
    <x v="38"/>
    <x v="339"/>
    <x v="116"/>
    <x v="282"/>
    <x v="4"/>
  </r>
  <r>
    <x v="0"/>
    <x v="29"/>
    <x v="29"/>
    <x v="7"/>
    <x v="7"/>
    <x v="7"/>
    <x v="2"/>
    <x v="173"/>
    <x v="330"/>
    <x v="90"/>
    <x v="137"/>
    <x v="92"/>
    <x v="283"/>
    <x v="0"/>
  </r>
  <r>
    <x v="0"/>
    <x v="29"/>
    <x v="29"/>
    <x v="24"/>
    <x v="24"/>
    <x v="24"/>
    <x v="2"/>
    <x v="173"/>
    <x v="330"/>
    <x v="90"/>
    <x v="137"/>
    <x v="92"/>
    <x v="283"/>
    <x v="0"/>
  </r>
  <r>
    <x v="0"/>
    <x v="29"/>
    <x v="29"/>
    <x v="2"/>
    <x v="2"/>
    <x v="2"/>
    <x v="2"/>
    <x v="173"/>
    <x v="330"/>
    <x v="91"/>
    <x v="41"/>
    <x v="101"/>
    <x v="284"/>
    <x v="0"/>
  </r>
  <r>
    <x v="0"/>
    <x v="29"/>
    <x v="29"/>
    <x v="0"/>
    <x v="0"/>
    <x v="0"/>
    <x v="2"/>
    <x v="173"/>
    <x v="330"/>
    <x v="38"/>
    <x v="339"/>
    <x v="128"/>
    <x v="206"/>
    <x v="0"/>
  </r>
  <r>
    <x v="0"/>
    <x v="29"/>
    <x v="29"/>
    <x v="10"/>
    <x v="10"/>
    <x v="10"/>
    <x v="6"/>
    <x v="174"/>
    <x v="331"/>
    <x v="90"/>
    <x v="137"/>
    <x v="101"/>
    <x v="284"/>
    <x v="0"/>
  </r>
  <r>
    <x v="0"/>
    <x v="29"/>
    <x v="29"/>
    <x v="1"/>
    <x v="1"/>
    <x v="1"/>
    <x v="6"/>
    <x v="174"/>
    <x v="331"/>
    <x v="91"/>
    <x v="41"/>
    <x v="116"/>
    <x v="282"/>
    <x v="0"/>
  </r>
  <r>
    <x v="0"/>
    <x v="29"/>
    <x v="29"/>
    <x v="8"/>
    <x v="8"/>
    <x v="8"/>
    <x v="6"/>
    <x v="174"/>
    <x v="331"/>
    <x v="37"/>
    <x v="262"/>
    <x v="128"/>
    <x v="206"/>
    <x v="0"/>
  </r>
  <r>
    <x v="0"/>
    <x v="29"/>
    <x v="29"/>
    <x v="5"/>
    <x v="5"/>
    <x v="5"/>
    <x v="9"/>
    <x v="176"/>
    <x v="269"/>
    <x v="90"/>
    <x v="137"/>
    <x v="116"/>
    <x v="282"/>
    <x v="0"/>
  </r>
  <r>
    <x v="0"/>
    <x v="29"/>
    <x v="29"/>
    <x v="47"/>
    <x v="47"/>
    <x v="47"/>
    <x v="9"/>
    <x v="176"/>
    <x v="269"/>
    <x v="90"/>
    <x v="137"/>
    <x v="116"/>
    <x v="282"/>
    <x v="0"/>
  </r>
  <r>
    <x v="0"/>
    <x v="29"/>
    <x v="29"/>
    <x v="14"/>
    <x v="14"/>
    <x v="14"/>
    <x v="9"/>
    <x v="176"/>
    <x v="269"/>
    <x v="91"/>
    <x v="41"/>
    <x v="128"/>
    <x v="206"/>
    <x v="0"/>
  </r>
  <r>
    <x v="0"/>
    <x v="29"/>
    <x v="29"/>
    <x v="29"/>
    <x v="29"/>
    <x v="29"/>
    <x v="12"/>
    <x v="178"/>
    <x v="271"/>
    <x v="97"/>
    <x v="110"/>
    <x v="116"/>
    <x v="282"/>
    <x v="0"/>
  </r>
  <r>
    <x v="0"/>
    <x v="29"/>
    <x v="29"/>
    <x v="41"/>
    <x v="41"/>
    <x v="41"/>
    <x v="12"/>
    <x v="178"/>
    <x v="271"/>
    <x v="97"/>
    <x v="110"/>
    <x v="116"/>
    <x v="282"/>
    <x v="0"/>
  </r>
  <r>
    <x v="0"/>
    <x v="29"/>
    <x v="29"/>
    <x v="31"/>
    <x v="31"/>
    <x v="31"/>
    <x v="12"/>
    <x v="178"/>
    <x v="271"/>
    <x v="90"/>
    <x v="137"/>
    <x v="128"/>
    <x v="206"/>
    <x v="0"/>
  </r>
  <r>
    <x v="0"/>
    <x v="29"/>
    <x v="29"/>
    <x v="22"/>
    <x v="22"/>
    <x v="22"/>
    <x v="12"/>
    <x v="178"/>
    <x v="271"/>
    <x v="97"/>
    <x v="110"/>
    <x v="116"/>
    <x v="282"/>
    <x v="0"/>
  </r>
  <r>
    <x v="0"/>
    <x v="29"/>
    <x v="29"/>
    <x v="45"/>
    <x v="45"/>
    <x v="45"/>
    <x v="12"/>
    <x v="178"/>
    <x v="271"/>
    <x v="97"/>
    <x v="110"/>
    <x v="116"/>
    <x v="282"/>
    <x v="0"/>
  </r>
  <r>
    <x v="0"/>
    <x v="29"/>
    <x v="29"/>
    <x v="23"/>
    <x v="23"/>
    <x v="23"/>
    <x v="12"/>
    <x v="178"/>
    <x v="271"/>
    <x v="97"/>
    <x v="110"/>
    <x v="116"/>
    <x v="282"/>
    <x v="0"/>
  </r>
  <r>
    <x v="0"/>
    <x v="29"/>
    <x v="29"/>
    <x v="26"/>
    <x v="26"/>
    <x v="26"/>
    <x v="12"/>
    <x v="178"/>
    <x v="271"/>
    <x v="97"/>
    <x v="110"/>
    <x v="116"/>
    <x v="282"/>
    <x v="0"/>
  </r>
  <r>
    <x v="0"/>
    <x v="29"/>
    <x v="29"/>
    <x v="12"/>
    <x v="12"/>
    <x v="12"/>
    <x v="12"/>
    <x v="178"/>
    <x v="271"/>
    <x v="97"/>
    <x v="110"/>
    <x v="116"/>
    <x v="282"/>
    <x v="0"/>
  </r>
  <r>
    <x v="0"/>
    <x v="29"/>
    <x v="29"/>
    <x v="27"/>
    <x v="27"/>
    <x v="27"/>
    <x v="12"/>
    <x v="178"/>
    <x v="271"/>
    <x v="97"/>
    <x v="110"/>
    <x v="116"/>
    <x v="282"/>
    <x v="0"/>
  </r>
  <r>
    <x v="0"/>
    <x v="29"/>
    <x v="29"/>
    <x v="19"/>
    <x v="19"/>
    <x v="19"/>
    <x v="12"/>
    <x v="178"/>
    <x v="271"/>
    <x v="90"/>
    <x v="137"/>
    <x v="128"/>
    <x v="206"/>
    <x v="0"/>
  </r>
  <r>
    <x v="0"/>
    <x v="29"/>
    <x v="29"/>
    <x v="9"/>
    <x v="9"/>
    <x v="9"/>
    <x v="12"/>
    <x v="178"/>
    <x v="271"/>
    <x v="90"/>
    <x v="137"/>
    <x v="128"/>
    <x v="206"/>
    <x v="0"/>
  </r>
  <r>
    <x v="0"/>
    <x v="29"/>
    <x v="29"/>
    <x v="15"/>
    <x v="15"/>
    <x v="15"/>
    <x v="12"/>
    <x v="178"/>
    <x v="271"/>
    <x v="97"/>
    <x v="110"/>
    <x v="116"/>
    <x v="282"/>
    <x v="0"/>
  </r>
  <r>
    <x v="0"/>
    <x v="29"/>
    <x v="29"/>
    <x v="37"/>
    <x v="37"/>
    <x v="37"/>
    <x v="12"/>
    <x v="178"/>
    <x v="271"/>
    <x v="90"/>
    <x v="137"/>
    <x v="128"/>
    <x v="206"/>
    <x v="0"/>
  </r>
  <r>
    <x v="0"/>
    <x v="29"/>
    <x v="29"/>
    <x v="57"/>
    <x v="57"/>
    <x v="57"/>
    <x v="12"/>
    <x v="178"/>
    <x v="271"/>
    <x v="97"/>
    <x v="110"/>
    <x v="128"/>
    <x v="206"/>
    <x v="0"/>
  </r>
  <r>
    <x v="0"/>
    <x v="30"/>
    <x v="30"/>
    <x v="6"/>
    <x v="6"/>
    <x v="6"/>
    <x v="0"/>
    <x v="127"/>
    <x v="332"/>
    <x v="50"/>
    <x v="340"/>
    <x v="117"/>
    <x v="231"/>
    <x v="0"/>
  </r>
  <r>
    <x v="0"/>
    <x v="30"/>
    <x v="30"/>
    <x v="4"/>
    <x v="4"/>
    <x v="4"/>
    <x v="1"/>
    <x v="136"/>
    <x v="333"/>
    <x v="52"/>
    <x v="262"/>
    <x v="118"/>
    <x v="285"/>
    <x v="0"/>
  </r>
  <r>
    <x v="0"/>
    <x v="30"/>
    <x v="30"/>
    <x v="0"/>
    <x v="0"/>
    <x v="0"/>
    <x v="2"/>
    <x v="138"/>
    <x v="334"/>
    <x v="78"/>
    <x v="339"/>
    <x v="128"/>
    <x v="206"/>
    <x v="0"/>
  </r>
  <r>
    <x v="0"/>
    <x v="30"/>
    <x v="30"/>
    <x v="16"/>
    <x v="16"/>
    <x v="16"/>
    <x v="3"/>
    <x v="168"/>
    <x v="335"/>
    <x v="121"/>
    <x v="341"/>
    <x v="92"/>
    <x v="286"/>
    <x v="0"/>
  </r>
  <r>
    <x v="0"/>
    <x v="30"/>
    <x v="30"/>
    <x v="1"/>
    <x v="1"/>
    <x v="1"/>
    <x v="3"/>
    <x v="168"/>
    <x v="335"/>
    <x v="98"/>
    <x v="342"/>
    <x v="116"/>
    <x v="233"/>
    <x v="0"/>
  </r>
  <r>
    <x v="0"/>
    <x v="30"/>
    <x v="30"/>
    <x v="2"/>
    <x v="2"/>
    <x v="2"/>
    <x v="5"/>
    <x v="169"/>
    <x v="336"/>
    <x v="66"/>
    <x v="343"/>
    <x v="117"/>
    <x v="231"/>
    <x v="0"/>
  </r>
  <r>
    <x v="0"/>
    <x v="30"/>
    <x v="30"/>
    <x v="5"/>
    <x v="5"/>
    <x v="5"/>
    <x v="6"/>
    <x v="175"/>
    <x v="337"/>
    <x v="33"/>
    <x v="41"/>
    <x v="116"/>
    <x v="233"/>
    <x v="0"/>
  </r>
  <r>
    <x v="0"/>
    <x v="30"/>
    <x v="30"/>
    <x v="7"/>
    <x v="7"/>
    <x v="7"/>
    <x v="7"/>
    <x v="173"/>
    <x v="338"/>
    <x v="91"/>
    <x v="344"/>
    <x v="101"/>
    <x v="232"/>
    <x v="0"/>
  </r>
  <r>
    <x v="0"/>
    <x v="30"/>
    <x v="30"/>
    <x v="10"/>
    <x v="10"/>
    <x v="10"/>
    <x v="7"/>
    <x v="173"/>
    <x v="338"/>
    <x v="38"/>
    <x v="318"/>
    <x v="128"/>
    <x v="206"/>
    <x v="0"/>
  </r>
  <r>
    <x v="0"/>
    <x v="30"/>
    <x v="30"/>
    <x v="12"/>
    <x v="12"/>
    <x v="12"/>
    <x v="7"/>
    <x v="173"/>
    <x v="338"/>
    <x v="38"/>
    <x v="318"/>
    <x v="128"/>
    <x v="206"/>
    <x v="0"/>
  </r>
  <r>
    <x v="0"/>
    <x v="30"/>
    <x v="30"/>
    <x v="11"/>
    <x v="11"/>
    <x v="11"/>
    <x v="10"/>
    <x v="174"/>
    <x v="50"/>
    <x v="90"/>
    <x v="345"/>
    <x v="101"/>
    <x v="232"/>
    <x v="0"/>
  </r>
  <r>
    <x v="0"/>
    <x v="30"/>
    <x v="30"/>
    <x v="15"/>
    <x v="15"/>
    <x v="15"/>
    <x v="10"/>
    <x v="174"/>
    <x v="50"/>
    <x v="97"/>
    <x v="110"/>
    <x v="92"/>
    <x v="286"/>
    <x v="0"/>
  </r>
  <r>
    <x v="0"/>
    <x v="30"/>
    <x v="30"/>
    <x v="27"/>
    <x v="27"/>
    <x v="27"/>
    <x v="12"/>
    <x v="176"/>
    <x v="291"/>
    <x v="90"/>
    <x v="345"/>
    <x v="116"/>
    <x v="233"/>
    <x v="0"/>
  </r>
  <r>
    <x v="0"/>
    <x v="30"/>
    <x v="30"/>
    <x v="19"/>
    <x v="19"/>
    <x v="19"/>
    <x v="12"/>
    <x v="176"/>
    <x v="291"/>
    <x v="97"/>
    <x v="110"/>
    <x v="101"/>
    <x v="232"/>
    <x v="0"/>
  </r>
  <r>
    <x v="0"/>
    <x v="30"/>
    <x v="30"/>
    <x v="46"/>
    <x v="46"/>
    <x v="46"/>
    <x v="12"/>
    <x v="176"/>
    <x v="291"/>
    <x v="97"/>
    <x v="110"/>
    <x v="101"/>
    <x v="232"/>
    <x v="0"/>
  </r>
  <r>
    <x v="0"/>
    <x v="30"/>
    <x v="30"/>
    <x v="25"/>
    <x v="25"/>
    <x v="25"/>
    <x v="12"/>
    <x v="176"/>
    <x v="291"/>
    <x v="97"/>
    <x v="110"/>
    <x v="101"/>
    <x v="232"/>
    <x v="0"/>
  </r>
  <r>
    <x v="0"/>
    <x v="30"/>
    <x v="30"/>
    <x v="41"/>
    <x v="41"/>
    <x v="41"/>
    <x v="16"/>
    <x v="178"/>
    <x v="339"/>
    <x v="90"/>
    <x v="345"/>
    <x v="128"/>
    <x v="206"/>
    <x v="0"/>
  </r>
  <r>
    <x v="0"/>
    <x v="30"/>
    <x v="30"/>
    <x v="31"/>
    <x v="31"/>
    <x v="31"/>
    <x v="16"/>
    <x v="178"/>
    <x v="339"/>
    <x v="97"/>
    <x v="110"/>
    <x v="116"/>
    <x v="233"/>
    <x v="0"/>
  </r>
  <r>
    <x v="0"/>
    <x v="30"/>
    <x v="30"/>
    <x v="59"/>
    <x v="59"/>
    <x v="59"/>
    <x v="16"/>
    <x v="178"/>
    <x v="339"/>
    <x v="97"/>
    <x v="110"/>
    <x v="116"/>
    <x v="233"/>
    <x v="0"/>
  </r>
  <r>
    <x v="0"/>
    <x v="30"/>
    <x v="30"/>
    <x v="22"/>
    <x v="22"/>
    <x v="22"/>
    <x v="16"/>
    <x v="178"/>
    <x v="339"/>
    <x v="90"/>
    <x v="345"/>
    <x v="128"/>
    <x v="206"/>
    <x v="0"/>
  </r>
  <r>
    <x v="0"/>
    <x v="30"/>
    <x v="30"/>
    <x v="44"/>
    <x v="44"/>
    <x v="44"/>
    <x v="16"/>
    <x v="178"/>
    <x v="339"/>
    <x v="97"/>
    <x v="110"/>
    <x v="128"/>
    <x v="206"/>
    <x v="0"/>
  </r>
  <r>
    <x v="0"/>
    <x v="30"/>
    <x v="30"/>
    <x v="64"/>
    <x v="64"/>
    <x v="64"/>
    <x v="16"/>
    <x v="178"/>
    <x v="339"/>
    <x v="97"/>
    <x v="110"/>
    <x v="116"/>
    <x v="233"/>
    <x v="0"/>
  </r>
  <r>
    <x v="0"/>
    <x v="30"/>
    <x v="30"/>
    <x v="24"/>
    <x v="24"/>
    <x v="24"/>
    <x v="16"/>
    <x v="178"/>
    <x v="339"/>
    <x v="97"/>
    <x v="110"/>
    <x v="116"/>
    <x v="233"/>
    <x v="0"/>
  </r>
  <r>
    <x v="0"/>
    <x v="30"/>
    <x v="30"/>
    <x v="65"/>
    <x v="65"/>
    <x v="65"/>
    <x v="16"/>
    <x v="178"/>
    <x v="339"/>
    <x v="90"/>
    <x v="345"/>
    <x v="128"/>
    <x v="206"/>
    <x v="0"/>
  </r>
  <r>
    <x v="0"/>
    <x v="30"/>
    <x v="30"/>
    <x v="3"/>
    <x v="3"/>
    <x v="3"/>
    <x v="16"/>
    <x v="178"/>
    <x v="339"/>
    <x v="90"/>
    <x v="345"/>
    <x v="128"/>
    <x v="206"/>
    <x v="0"/>
  </r>
  <r>
    <x v="0"/>
    <x v="30"/>
    <x v="30"/>
    <x v="56"/>
    <x v="56"/>
    <x v="56"/>
    <x v="16"/>
    <x v="178"/>
    <x v="339"/>
    <x v="97"/>
    <x v="110"/>
    <x v="116"/>
    <x v="233"/>
    <x v="0"/>
  </r>
  <r>
    <x v="0"/>
    <x v="30"/>
    <x v="30"/>
    <x v="13"/>
    <x v="13"/>
    <x v="13"/>
    <x v="16"/>
    <x v="178"/>
    <x v="339"/>
    <x v="90"/>
    <x v="345"/>
    <x v="128"/>
    <x v="206"/>
    <x v="0"/>
  </r>
  <r>
    <x v="0"/>
    <x v="30"/>
    <x v="30"/>
    <x v="38"/>
    <x v="38"/>
    <x v="38"/>
    <x v="16"/>
    <x v="178"/>
    <x v="339"/>
    <x v="97"/>
    <x v="110"/>
    <x v="116"/>
    <x v="233"/>
    <x v="0"/>
  </r>
  <r>
    <x v="0"/>
    <x v="31"/>
    <x v="31"/>
    <x v="0"/>
    <x v="0"/>
    <x v="0"/>
    <x v="0"/>
    <x v="169"/>
    <x v="340"/>
    <x v="52"/>
    <x v="346"/>
    <x v="128"/>
    <x v="206"/>
    <x v="0"/>
  </r>
  <r>
    <x v="0"/>
    <x v="31"/>
    <x v="31"/>
    <x v="6"/>
    <x v="6"/>
    <x v="6"/>
    <x v="1"/>
    <x v="171"/>
    <x v="341"/>
    <x v="38"/>
    <x v="347"/>
    <x v="116"/>
    <x v="287"/>
    <x v="4"/>
  </r>
  <r>
    <x v="0"/>
    <x v="31"/>
    <x v="31"/>
    <x v="1"/>
    <x v="1"/>
    <x v="1"/>
    <x v="1"/>
    <x v="171"/>
    <x v="341"/>
    <x v="66"/>
    <x v="348"/>
    <x v="116"/>
    <x v="287"/>
    <x v="0"/>
  </r>
  <r>
    <x v="0"/>
    <x v="31"/>
    <x v="31"/>
    <x v="4"/>
    <x v="4"/>
    <x v="4"/>
    <x v="3"/>
    <x v="173"/>
    <x v="342"/>
    <x v="91"/>
    <x v="174"/>
    <x v="101"/>
    <x v="288"/>
    <x v="0"/>
  </r>
  <r>
    <x v="0"/>
    <x v="31"/>
    <x v="31"/>
    <x v="16"/>
    <x v="16"/>
    <x v="16"/>
    <x v="3"/>
    <x v="173"/>
    <x v="342"/>
    <x v="90"/>
    <x v="349"/>
    <x v="92"/>
    <x v="289"/>
    <x v="0"/>
  </r>
  <r>
    <x v="0"/>
    <x v="31"/>
    <x v="31"/>
    <x v="5"/>
    <x v="5"/>
    <x v="5"/>
    <x v="5"/>
    <x v="174"/>
    <x v="343"/>
    <x v="91"/>
    <x v="174"/>
    <x v="116"/>
    <x v="287"/>
    <x v="0"/>
  </r>
  <r>
    <x v="0"/>
    <x v="31"/>
    <x v="31"/>
    <x v="2"/>
    <x v="2"/>
    <x v="2"/>
    <x v="5"/>
    <x v="174"/>
    <x v="343"/>
    <x v="90"/>
    <x v="349"/>
    <x v="101"/>
    <x v="288"/>
    <x v="0"/>
  </r>
  <r>
    <x v="0"/>
    <x v="31"/>
    <x v="31"/>
    <x v="29"/>
    <x v="29"/>
    <x v="29"/>
    <x v="7"/>
    <x v="176"/>
    <x v="344"/>
    <x v="97"/>
    <x v="110"/>
    <x v="101"/>
    <x v="288"/>
    <x v="0"/>
  </r>
  <r>
    <x v="0"/>
    <x v="31"/>
    <x v="31"/>
    <x v="41"/>
    <x v="41"/>
    <x v="41"/>
    <x v="7"/>
    <x v="176"/>
    <x v="344"/>
    <x v="97"/>
    <x v="110"/>
    <x v="101"/>
    <x v="288"/>
    <x v="0"/>
  </r>
  <r>
    <x v="0"/>
    <x v="31"/>
    <x v="31"/>
    <x v="3"/>
    <x v="3"/>
    <x v="3"/>
    <x v="7"/>
    <x v="176"/>
    <x v="344"/>
    <x v="97"/>
    <x v="110"/>
    <x v="101"/>
    <x v="288"/>
    <x v="0"/>
  </r>
  <r>
    <x v="0"/>
    <x v="31"/>
    <x v="31"/>
    <x v="15"/>
    <x v="15"/>
    <x v="15"/>
    <x v="7"/>
    <x v="176"/>
    <x v="344"/>
    <x v="97"/>
    <x v="110"/>
    <x v="101"/>
    <x v="288"/>
    <x v="0"/>
  </r>
  <r>
    <x v="0"/>
    <x v="31"/>
    <x v="31"/>
    <x v="33"/>
    <x v="33"/>
    <x v="33"/>
    <x v="11"/>
    <x v="178"/>
    <x v="345"/>
    <x v="90"/>
    <x v="349"/>
    <x v="128"/>
    <x v="206"/>
    <x v="0"/>
  </r>
  <r>
    <x v="0"/>
    <x v="31"/>
    <x v="31"/>
    <x v="66"/>
    <x v="66"/>
    <x v="66"/>
    <x v="11"/>
    <x v="178"/>
    <x v="345"/>
    <x v="97"/>
    <x v="110"/>
    <x v="116"/>
    <x v="287"/>
    <x v="0"/>
  </r>
  <r>
    <x v="0"/>
    <x v="31"/>
    <x v="31"/>
    <x v="17"/>
    <x v="17"/>
    <x v="17"/>
    <x v="11"/>
    <x v="178"/>
    <x v="345"/>
    <x v="97"/>
    <x v="110"/>
    <x v="116"/>
    <x v="287"/>
    <x v="0"/>
  </r>
  <r>
    <x v="0"/>
    <x v="31"/>
    <x v="31"/>
    <x v="10"/>
    <x v="10"/>
    <x v="10"/>
    <x v="11"/>
    <x v="178"/>
    <x v="345"/>
    <x v="90"/>
    <x v="349"/>
    <x v="128"/>
    <x v="206"/>
    <x v="0"/>
  </r>
  <r>
    <x v="0"/>
    <x v="31"/>
    <x v="31"/>
    <x v="26"/>
    <x v="26"/>
    <x v="26"/>
    <x v="11"/>
    <x v="178"/>
    <x v="345"/>
    <x v="90"/>
    <x v="349"/>
    <x v="128"/>
    <x v="206"/>
    <x v="0"/>
  </r>
  <r>
    <x v="0"/>
    <x v="31"/>
    <x v="31"/>
    <x v="13"/>
    <x v="13"/>
    <x v="13"/>
    <x v="11"/>
    <x v="178"/>
    <x v="345"/>
    <x v="97"/>
    <x v="110"/>
    <x v="116"/>
    <x v="287"/>
    <x v="0"/>
  </r>
  <r>
    <x v="0"/>
    <x v="31"/>
    <x v="31"/>
    <x v="27"/>
    <x v="27"/>
    <x v="27"/>
    <x v="11"/>
    <x v="178"/>
    <x v="345"/>
    <x v="97"/>
    <x v="110"/>
    <x v="116"/>
    <x v="287"/>
    <x v="0"/>
  </r>
  <r>
    <x v="0"/>
    <x v="31"/>
    <x v="31"/>
    <x v="14"/>
    <x v="14"/>
    <x v="14"/>
    <x v="11"/>
    <x v="178"/>
    <x v="345"/>
    <x v="90"/>
    <x v="349"/>
    <x v="128"/>
    <x v="206"/>
    <x v="0"/>
  </r>
  <r>
    <x v="0"/>
    <x v="31"/>
    <x v="31"/>
    <x v="25"/>
    <x v="25"/>
    <x v="25"/>
    <x v="11"/>
    <x v="178"/>
    <x v="345"/>
    <x v="97"/>
    <x v="110"/>
    <x v="116"/>
    <x v="287"/>
    <x v="0"/>
  </r>
  <r>
    <x v="0"/>
    <x v="32"/>
    <x v="32"/>
    <x v="2"/>
    <x v="2"/>
    <x v="2"/>
    <x v="0"/>
    <x v="150"/>
    <x v="346"/>
    <x v="98"/>
    <x v="342"/>
    <x v="118"/>
    <x v="290"/>
    <x v="0"/>
  </r>
  <r>
    <x v="0"/>
    <x v="32"/>
    <x v="32"/>
    <x v="0"/>
    <x v="0"/>
    <x v="0"/>
    <x v="1"/>
    <x v="136"/>
    <x v="347"/>
    <x v="109"/>
    <x v="350"/>
    <x v="116"/>
    <x v="291"/>
    <x v="0"/>
  </r>
  <r>
    <x v="0"/>
    <x v="32"/>
    <x v="32"/>
    <x v="5"/>
    <x v="5"/>
    <x v="5"/>
    <x v="2"/>
    <x v="168"/>
    <x v="348"/>
    <x v="98"/>
    <x v="342"/>
    <x v="116"/>
    <x v="291"/>
    <x v="0"/>
  </r>
  <r>
    <x v="0"/>
    <x v="32"/>
    <x v="32"/>
    <x v="6"/>
    <x v="6"/>
    <x v="6"/>
    <x v="2"/>
    <x v="168"/>
    <x v="348"/>
    <x v="121"/>
    <x v="341"/>
    <x v="101"/>
    <x v="44"/>
    <x v="4"/>
  </r>
  <r>
    <x v="0"/>
    <x v="32"/>
    <x v="32"/>
    <x v="16"/>
    <x v="16"/>
    <x v="16"/>
    <x v="4"/>
    <x v="167"/>
    <x v="349"/>
    <x v="80"/>
    <x v="351"/>
    <x v="92"/>
    <x v="42"/>
    <x v="0"/>
  </r>
  <r>
    <x v="0"/>
    <x v="32"/>
    <x v="32"/>
    <x v="1"/>
    <x v="1"/>
    <x v="1"/>
    <x v="5"/>
    <x v="169"/>
    <x v="342"/>
    <x v="121"/>
    <x v="341"/>
    <x v="116"/>
    <x v="291"/>
    <x v="0"/>
  </r>
  <r>
    <x v="0"/>
    <x v="32"/>
    <x v="32"/>
    <x v="29"/>
    <x v="29"/>
    <x v="29"/>
    <x v="6"/>
    <x v="173"/>
    <x v="217"/>
    <x v="37"/>
    <x v="137"/>
    <x v="116"/>
    <x v="291"/>
    <x v="0"/>
  </r>
  <r>
    <x v="0"/>
    <x v="32"/>
    <x v="32"/>
    <x v="10"/>
    <x v="10"/>
    <x v="10"/>
    <x v="6"/>
    <x v="173"/>
    <x v="217"/>
    <x v="37"/>
    <x v="137"/>
    <x v="116"/>
    <x v="291"/>
    <x v="0"/>
  </r>
  <r>
    <x v="0"/>
    <x v="32"/>
    <x v="32"/>
    <x v="4"/>
    <x v="4"/>
    <x v="4"/>
    <x v="8"/>
    <x v="174"/>
    <x v="350"/>
    <x v="37"/>
    <x v="137"/>
    <x v="128"/>
    <x v="206"/>
    <x v="0"/>
  </r>
  <r>
    <x v="0"/>
    <x v="32"/>
    <x v="32"/>
    <x v="24"/>
    <x v="24"/>
    <x v="24"/>
    <x v="8"/>
    <x v="174"/>
    <x v="350"/>
    <x v="91"/>
    <x v="344"/>
    <x v="116"/>
    <x v="291"/>
    <x v="0"/>
  </r>
  <r>
    <x v="0"/>
    <x v="32"/>
    <x v="32"/>
    <x v="11"/>
    <x v="11"/>
    <x v="11"/>
    <x v="8"/>
    <x v="174"/>
    <x v="350"/>
    <x v="37"/>
    <x v="137"/>
    <x v="128"/>
    <x v="206"/>
    <x v="0"/>
  </r>
  <r>
    <x v="0"/>
    <x v="32"/>
    <x v="32"/>
    <x v="15"/>
    <x v="15"/>
    <x v="15"/>
    <x v="8"/>
    <x v="174"/>
    <x v="350"/>
    <x v="97"/>
    <x v="110"/>
    <x v="92"/>
    <x v="42"/>
    <x v="0"/>
  </r>
  <r>
    <x v="0"/>
    <x v="32"/>
    <x v="32"/>
    <x v="14"/>
    <x v="14"/>
    <x v="14"/>
    <x v="8"/>
    <x v="174"/>
    <x v="350"/>
    <x v="37"/>
    <x v="137"/>
    <x v="128"/>
    <x v="206"/>
    <x v="0"/>
  </r>
  <r>
    <x v="0"/>
    <x v="32"/>
    <x v="32"/>
    <x v="7"/>
    <x v="7"/>
    <x v="7"/>
    <x v="13"/>
    <x v="176"/>
    <x v="134"/>
    <x v="97"/>
    <x v="110"/>
    <x v="101"/>
    <x v="44"/>
    <x v="0"/>
  </r>
  <r>
    <x v="0"/>
    <x v="32"/>
    <x v="32"/>
    <x v="41"/>
    <x v="41"/>
    <x v="41"/>
    <x v="13"/>
    <x v="176"/>
    <x v="134"/>
    <x v="90"/>
    <x v="345"/>
    <x v="116"/>
    <x v="291"/>
    <x v="0"/>
  </r>
  <r>
    <x v="0"/>
    <x v="32"/>
    <x v="32"/>
    <x v="52"/>
    <x v="52"/>
    <x v="52"/>
    <x v="13"/>
    <x v="176"/>
    <x v="134"/>
    <x v="97"/>
    <x v="110"/>
    <x v="101"/>
    <x v="44"/>
    <x v="0"/>
  </r>
  <r>
    <x v="0"/>
    <x v="32"/>
    <x v="32"/>
    <x v="17"/>
    <x v="17"/>
    <x v="17"/>
    <x v="13"/>
    <x v="176"/>
    <x v="134"/>
    <x v="90"/>
    <x v="345"/>
    <x v="116"/>
    <x v="291"/>
    <x v="0"/>
  </r>
  <r>
    <x v="0"/>
    <x v="32"/>
    <x v="32"/>
    <x v="3"/>
    <x v="3"/>
    <x v="3"/>
    <x v="13"/>
    <x v="176"/>
    <x v="134"/>
    <x v="97"/>
    <x v="110"/>
    <x v="101"/>
    <x v="44"/>
    <x v="0"/>
  </r>
  <r>
    <x v="0"/>
    <x v="32"/>
    <x v="32"/>
    <x v="48"/>
    <x v="48"/>
    <x v="48"/>
    <x v="18"/>
    <x v="178"/>
    <x v="351"/>
    <x v="90"/>
    <x v="345"/>
    <x v="128"/>
    <x v="206"/>
    <x v="0"/>
  </r>
  <r>
    <x v="0"/>
    <x v="32"/>
    <x v="32"/>
    <x v="49"/>
    <x v="49"/>
    <x v="49"/>
    <x v="18"/>
    <x v="178"/>
    <x v="351"/>
    <x v="97"/>
    <x v="110"/>
    <x v="116"/>
    <x v="291"/>
    <x v="0"/>
  </r>
  <r>
    <x v="0"/>
    <x v="32"/>
    <x v="32"/>
    <x v="33"/>
    <x v="33"/>
    <x v="33"/>
    <x v="18"/>
    <x v="178"/>
    <x v="351"/>
    <x v="90"/>
    <x v="345"/>
    <x v="128"/>
    <x v="206"/>
    <x v="0"/>
  </r>
  <r>
    <x v="0"/>
    <x v="32"/>
    <x v="32"/>
    <x v="35"/>
    <x v="35"/>
    <x v="35"/>
    <x v="18"/>
    <x v="178"/>
    <x v="351"/>
    <x v="97"/>
    <x v="110"/>
    <x v="116"/>
    <x v="291"/>
    <x v="0"/>
  </r>
  <r>
    <x v="0"/>
    <x v="32"/>
    <x v="32"/>
    <x v="50"/>
    <x v="50"/>
    <x v="50"/>
    <x v="18"/>
    <x v="178"/>
    <x v="351"/>
    <x v="90"/>
    <x v="345"/>
    <x v="128"/>
    <x v="206"/>
    <x v="0"/>
  </r>
  <r>
    <x v="0"/>
    <x v="32"/>
    <x v="32"/>
    <x v="53"/>
    <x v="53"/>
    <x v="53"/>
    <x v="18"/>
    <x v="178"/>
    <x v="351"/>
    <x v="97"/>
    <x v="110"/>
    <x v="116"/>
    <x v="291"/>
    <x v="0"/>
  </r>
  <r>
    <x v="0"/>
    <x v="32"/>
    <x v="32"/>
    <x v="58"/>
    <x v="58"/>
    <x v="58"/>
    <x v="18"/>
    <x v="178"/>
    <x v="351"/>
    <x v="97"/>
    <x v="110"/>
    <x v="116"/>
    <x v="291"/>
    <x v="0"/>
  </r>
  <r>
    <x v="0"/>
    <x v="32"/>
    <x v="32"/>
    <x v="67"/>
    <x v="67"/>
    <x v="67"/>
    <x v="18"/>
    <x v="178"/>
    <x v="351"/>
    <x v="90"/>
    <x v="345"/>
    <x v="128"/>
    <x v="206"/>
    <x v="0"/>
  </r>
  <r>
    <x v="0"/>
    <x v="32"/>
    <x v="32"/>
    <x v="12"/>
    <x v="12"/>
    <x v="12"/>
    <x v="18"/>
    <x v="178"/>
    <x v="351"/>
    <x v="97"/>
    <x v="110"/>
    <x v="116"/>
    <x v="291"/>
    <x v="0"/>
  </r>
  <r>
    <x v="0"/>
    <x v="32"/>
    <x v="32"/>
    <x v="27"/>
    <x v="27"/>
    <x v="27"/>
    <x v="18"/>
    <x v="178"/>
    <x v="351"/>
    <x v="97"/>
    <x v="110"/>
    <x v="116"/>
    <x v="291"/>
    <x v="0"/>
  </r>
  <r>
    <x v="0"/>
    <x v="32"/>
    <x v="32"/>
    <x v="19"/>
    <x v="19"/>
    <x v="19"/>
    <x v="18"/>
    <x v="178"/>
    <x v="351"/>
    <x v="90"/>
    <x v="345"/>
    <x v="128"/>
    <x v="206"/>
    <x v="0"/>
  </r>
  <r>
    <x v="0"/>
    <x v="32"/>
    <x v="32"/>
    <x v="46"/>
    <x v="46"/>
    <x v="46"/>
    <x v="18"/>
    <x v="178"/>
    <x v="351"/>
    <x v="97"/>
    <x v="110"/>
    <x v="116"/>
    <x v="291"/>
    <x v="0"/>
  </r>
  <r>
    <x v="0"/>
    <x v="32"/>
    <x v="32"/>
    <x v="9"/>
    <x v="9"/>
    <x v="9"/>
    <x v="18"/>
    <x v="178"/>
    <x v="351"/>
    <x v="90"/>
    <x v="345"/>
    <x v="128"/>
    <x v="206"/>
    <x v="0"/>
  </r>
  <r>
    <x v="0"/>
    <x v="32"/>
    <x v="32"/>
    <x v="25"/>
    <x v="25"/>
    <x v="25"/>
    <x v="18"/>
    <x v="178"/>
    <x v="351"/>
    <x v="97"/>
    <x v="110"/>
    <x v="128"/>
    <x v="206"/>
    <x v="0"/>
  </r>
  <r>
    <x v="0"/>
    <x v="33"/>
    <x v="33"/>
    <x v="0"/>
    <x v="0"/>
    <x v="0"/>
    <x v="0"/>
    <x v="175"/>
    <x v="352"/>
    <x v="80"/>
    <x v="352"/>
    <x v="128"/>
    <x v="206"/>
    <x v="0"/>
  </r>
  <r>
    <x v="0"/>
    <x v="33"/>
    <x v="33"/>
    <x v="2"/>
    <x v="2"/>
    <x v="2"/>
    <x v="1"/>
    <x v="171"/>
    <x v="301"/>
    <x v="91"/>
    <x v="263"/>
    <x v="117"/>
    <x v="292"/>
    <x v="0"/>
  </r>
  <r>
    <x v="0"/>
    <x v="33"/>
    <x v="33"/>
    <x v="1"/>
    <x v="1"/>
    <x v="1"/>
    <x v="2"/>
    <x v="172"/>
    <x v="353"/>
    <x v="38"/>
    <x v="262"/>
    <x v="116"/>
    <x v="269"/>
    <x v="0"/>
  </r>
  <r>
    <x v="0"/>
    <x v="33"/>
    <x v="33"/>
    <x v="6"/>
    <x v="6"/>
    <x v="6"/>
    <x v="3"/>
    <x v="173"/>
    <x v="354"/>
    <x v="91"/>
    <x v="263"/>
    <x v="101"/>
    <x v="293"/>
    <x v="0"/>
  </r>
  <r>
    <x v="0"/>
    <x v="33"/>
    <x v="33"/>
    <x v="4"/>
    <x v="4"/>
    <x v="4"/>
    <x v="4"/>
    <x v="174"/>
    <x v="355"/>
    <x v="90"/>
    <x v="264"/>
    <x v="101"/>
    <x v="293"/>
    <x v="0"/>
  </r>
  <r>
    <x v="0"/>
    <x v="33"/>
    <x v="33"/>
    <x v="29"/>
    <x v="29"/>
    <x v="29"/>
    <x v="4"/>
    <x v="174"/>
    <x v="355"/>
    <x v="91"/>
    <x v="263"/>
    <x v="116"/>
    <x v="269"/>
    <x v="0"/>
  </r>
  <r>
    <x v="0"/>
    <x v="33"/>
    <x v="33"/>
    <x v="16"/>
    <x v="16"/>
    <x v="16"/>
    <x v="4"/>
    <x v="174"/>
    <x v="355"/>
    <x v="37"/>
    <x v="259"/>
    <x v="128"/>
    <x v="206"/>
    <x v="0"/>
  </r>
  <r>
    <x v="0"/>
    <x v="33"/>
    <x v="33"/>
    <x v="5"/>
    <x v="5"/>
    <x v="5"/>
    <x v="7"/>
    <x v="176"/>
    <x v="356"/>
    <x v="91"/>
    <x v="263"/>
    <x v="128"/>
    <x v="206"/>
    <x v="0"/>
  </r>
  <r>
    <x v="0"/>
    <x v="33"/>
    <x v="33"/>
    <x v="7"/>
    <x v="7"/>
    <x v="7"/>
    <x v="7"/>
    <x v="176"/>
    <x v="356"/>
    <x v="91"/>
    <x v="263"/>
    <x v="128"/>
    <x v="206"/>
    <x v="0"/>
  </r>
  <r>
    <x v="0"/>
    <x v="33"/>
    <x v="33"/>
    <x v="19"/>
    <x v="19"/>
    <x v="19"/>
    <x v="7"/>
    <x v="176"/>
    <x v="356"/>
    <x v="91"/>
    <x v="263"/>
    <x v="128"/>
    <x v="206"/>
    <x v="0"/>
  </r>
  <r>
    <x v="0"/>
    <x v="33"/>
    <x v="33"/>
    <x v="8"/>
    <x v="8"/>
    <x v="8"/>
    <x v="7"/>
    <x v="176"/>
    <x v="356"/>
    <x v="97"/>
    <x v="110"/>
    <x v="116"/>
    <x v="269"/>
    <x v="0"/>
  </r>
  <r>
    <x v="0"/>
    <x v="33"/>
    <x v="33"/>
    <x v="28"/>
    <x v="28"/>
    <x v="28"/>
    <x v="11"/>
    <x v="178"/>
    <x v="357"/>
    <x v="97"/>
    <x v="110"/>
    <x v="116"/>
    <x v="269"/>
    <x v="0"/>
  </r>
  <r>
    <x v="0"/>
    <x v="33"/>
    <x v="33"/>
    <x v="33"/>
    <x v="33"/>
    <x v="33"/>
    <x v="11"/>
    <x v="178"/>
    <x v="357"/>
    <x v="90"/>
    <x v="264"/>
    <x v="128"/>
    <x v="206"/>
    <x v="0"/>
  </r>
  <r>
    <x v="0"/>
    <x v="33"/>
    <x v="33"/>
    <x v="30"/>
    <x v="30"/>
    <x v="30"/>
    <x v="11"/>
    <x v="178"/>
    <x v="357"/>
    <x v="90"/>
    <x v="264"/>
    <x v="128"/>
    <x v="206"/>
    <x v="0"/>
  </r>
  <r>
    <x v="0"/>
    <x v="33"/>
    <x v="33"/>
    <x v="32"/>
    <x v="32"/>
    <x v="32"/>
    <x v="11"/>
    <x v="178"/>
    <x v="357"/>
    <x v="90"/>
    <x v="264"/>
    <x v="128"/>
    <x v="206"/>
    <x v="0"/>
  </r>
  <r>
    <x v="0"/>
    <x v="33"/>
    <x v="33"/>
    <x v="22"/>
    <x v="22"/>
    <x v="22"/>
    <x v="11"/>
    <x v="178"/>
    <x v="357"/>
    <x v="90"/>
    <x v="264"/>
    <x v="128"/>
    <x v="206"/>
    <x v="0"/>
  </r>
  <r>
    <x v="0"/>
    <x v="33"/>
    <x v="33"/>
    <x v="53"/>
    <x v="53"/>
    <x v="53"/>
    <x v="11"/>
    <x v="178"/>
    <x v="357"/>
    <x v="97"/>
    <x v="110"/>
    <x v="116"/>
    <x v="269"/>
    <x v="0"/>
  </r>
  <r>
    <x v="0"/>
    <x v="33"/>
    <x v="33"/>
    <x v="24"/>
    <x v="24"/>
    <x v="24"/>
    <x v="11"/>
    <x v="178"/>
    <x v="357"/>
    <x v="90"/>
    <x v="264"/>
    <x v="128"/>
    <x v="206"/>
    <x v="0"/>
  </r>
  <r>
    <x v="0"/>
    <x v="33"/>
    <x v="33"/>
    <x v="65"/>
    <x v="65"/>
    <x v="65"/>
    <x v="11"/>
    <x v="178"/>
    <x v="357"/>
    <x v="97"/>
    <x v="110"/>
    <x v="116"/>
    <x v="269"/>
    <x v="0"/>
  </r>
  <r>
    <x v="0"/>
    <x v="33"/>
    <x v="33"/>
    <x v="11"/>
    <x v="11"/>
    <x v="11"/>
    <x v="11"/>
    <x v="178"/>
    <x v="357"/>
    <x v="90"/>
    <x v="264"/>
    <x v="128"/>
    <x v="206"/>
    <x v="0"/>
  </r>
  <r>
    <x v="0"/>
    <x v="33"/>
    <x v="33"/>
    <x v="20"/>
    <x v="20"/>
    <x v="20"/>
    <x v="11"/>
    <x v="178"/>
    <x v="357"/>
    <x v="90"/>
    <x v="264"/>
    <x v="128"/>
    <x v="206"/>
    <x v="0"/>
  </r>
  <r>
    <x v="0"/>
    <x v="33"/>
    <x v="33"/>
    <x v="27"/>
    <x v="27"/>
    <x v="27"/>
    <x v="11"/>
    <x v="178"/>
    <x v="357"/>
    <x v="97"/>
    <x v="110"/>
    <x v="116"/>
    <x v="269"/>
    <x v="0"/>
  </r>
  <r>
    <x v="0"/>
    <x v="33"/>
    <x v="33"/>
    <x v="37"/>
    <x v="37"/>
    <x v="37"/>
    <x v="11"/>
    <x v="178"/>
    <x v="357"/>
    <x v="90"/>
    <x v="264"/>
    <x v="128"/>
    <x v="206"/>
    <x v="0"/>
  </r>
  <r>
    <x v="0"/>
    <x v="33"/>
    <x v="33"/>
    <x v="14"/>
    <x v="14"/>
    <x v="14"/>
    <x v="11"/>
    <x v="178"/>
    <x v="357"/>
    <x v="90"/>
    <x v="264"/>
    <x v="128"/>
    <x v="206"/>
    <x v="0"/>
  </r>
  <r>
    <x v="0"/>
    <x v="33"/>
    <x v="33"/>
    <x v="25"/>
    <x v="25"/>
    <x v="25"/>
    <x v="11"/>
    <x v="178"/>
    <x v="357"/>
    <x v="97"/>
    <x v="110"/>
    <x v="116"/>
    <x v="269"/>
    <x v="0"/>
  </r>
  <r>
    <x v="0"/>
    <x v="33"/>
    <x v="33"/>
    <x v="57"/>
    <x v="57"/>
    <x v="57"/>
    <x v="11"/>
    <x v="178"/>
    <x v="357"/>
    <x v="97"/>
    <x v="110"/>
    <x v="128"/>
    <x v="206"/>
    <x v="4"/>
  </r>
  <r>
    <x v="0"/>
    <x v="34"/>
    <x v="34"/>
    <x v="0"/>
    <x v="0"/>
    <x v="0"/>
    <x v="0"/>
    <x v="130"/>
    <x v="358"/>
    <x v="136"/>
    <x v="353"/>
    <x v="116"/>
    <x v="294"/>
    <x v="0"/>
  </r>
  <r>
    <x v="0"/>
    <x v="34"/>
    <x v="34"/>
    <x v="2"/>
    <x v="2"/>
    <x v="2"/>
    <x v="1"/>
    <x v="99"/>
    <x v="359"/>
    <x v="107"/>
    <x v="354"/>
    <x v="91"/>
    <x v="295"/>
    <x v="0"/>
  </r>
  <r>
    <x v="0"/>
    <x v="34"/>
    <x v="34"/>
    <x v="4"/>
    <x v="4"/>
    <x v="4"/>
    <x v="2"/>
    <x v="100"/>
    <x v="360"/>
    <x v="113"/>
    <x v="355"/>
    <x v="91"/>
    <x v="295"/>
    <x v="0"/>
  </r>
  <r>
    <x v="0"/>
    <x v="34"/>
    <x v="34"/>
    <x v="1"/>
    <x v="1"/>
    <x v="1"/>
    <x v="3"/>
    <x v="134"/>
    <x v="361"/>
    <x v="35"/>
    <x v="356"/>
    <x v="117"/>
    <x v="296"/>
    <x v="0"/>
  </r>
  <r>
    <x v="0"/>
    <x v="34"/>
    <x v="34"/>
    <x v="5"/>
    <x v="5"/>
    <x v="5"/>
    <x v="4"/>
    <x v="142"/>
    <x v="362"/>
    <x v="99"/>
    <x v="357"/>
    <x v="99"/>
    <x v="297"/>
    <x v="0"/>
  </r>
  <r>
    <x v="0"/>
    <x v="34"/>
    <x v="34"/>
    <x v="6"/>
    <x v="6"/>
    <x v="6"/>
    <x v="4"/>
    <x v="142"/>
    <x v="362"/>
    <x v="28"/>
    <x v="358"/>
    <x v="117"/>
    <x v="296"/>
    <x v="0"/>
  </r>
  <r>
    <x v="0"/>
    <x v="34"/>
    <x v="34"/>
    <x v="7"/>
    <x v="7"/>
    <x v="7"/>
    <x v="6"/>
    <x v="115"/>
    <x v="363"/>
    <x v="98"/>
    <x v="359"/>
    <x v="100"/>
    <x v="298"/>
    <x v="0"/>
  </r>
  <r>
    <x v="0"/>
    <x v="34"/>
    <x v="34"/>
    <x v="10"/>
    <x v="10"/>
    <x v="10"/>
    <x v="7"/>
    <x v="126"/>
    <x v="235"/>
    <x v="108"/>
    <x v="360"/>
    <x v="117"/>
    <x v="296"/>
    <x v="0"/>
  </r>
  <r>
    <x v="0"/>
    <x v="34"/>
    <x v="34"/>
    <x v="11"/>
    <x v="11"/>
    <x v="11"/>
    <x v="8"/>
    <x v="150"/>
    <x v="131"/>
    <x v="131"/>
    <x v="361"/>
    <x v="117"/>
    <x v="296"/>
    <x v="0"/>
  </r>
  <r>
    <x v="0"/>
    <x v="34"/>
    <x v="34"/>
    <x v="8"/>
    <x v="8"/>
    <x v="8"/>
    <x v="9"/>
    <x v="136"/>
    <x v="261"/>
    <x v="121"/>
    <x v="151"/>
    <x v="101"/>
    <x v="250"/>
    <x v="0"/>
  </r>
  <r>
    <x v="0"/>
    <x v="34"/>
    <x v="34"/>
    <x v="29"/>
    <x v="29"/>
    <x v="29"/>
    <x v="10"/>
    <x v="167"/>
    <x v="12"/>
    <x v="80"/>
    <x v="362"/>
    <x v="92"/>
    <x v="299"/>
    <x v="0"/>
  </r>
  <r>
    <x v="0"/>
    <x v="34"/>
    <x v="34"/>
    <x v="24"/>
    <x v="24"/>
    <x v="24"/>
    <x v="11"/>
    <x v="169"/>
    <x v="171"/>
    <x v="38"/>
    <x v="193"/>
    <x v="118"/>
    <x v="300"/>
    <x v="0"/>
  </r>
  <r>
    <x v="0"/>
    <x v="34"/>
    <x v="34"/>
    <x v="12"/>
    <x v="12"/>
    <x v="12"/>
    <x v="11"/>
    <x v="169"/>
    <x v="171"/>
    <x v="38"/>
    <x v="193"/>
    <x v="118"/>
    <x v="300"/>
    <x v="0"/>
  </r>
  <r>
    <x v="0"/>
    <x v="34"/>
    <x v="34"/>
    <x v="3"/>
    <x v="3"/>
    <x v="3"/>
    <x v="13"/>
    <x v="170"/>
    <x v="71"/>
    <x v="66"/>
    <x v="363"/>
    <x v="92"/>
    <x v="299"/>
    <x v="0"/>
  </r>
  <r>
    <x v="0"/>
    <x v="34"/>
    <x v="34"/>
    <x v="9"/>
    <x v="9"/>
    <x v="9"/>
    <x v="13"/>
    <x v="170"/>
    <x v="71"/>
    <x v="80"/>
    <x v="362"/>
    <x v="116"/>
    <x v="294"/>
    <x v="0"/>
  </r>
  <r>
    <x v="0"/>
    <x v="34"/>
    <x v="34"/>
    <x v="30"/>
    <x v="30"/>
    <x v="30"/>
    <x v="15"/>
    <x v="175"/>
    <x v="263"/>
    <x v="38"/>
    <x v="193"/>
    <x v="92"/>
    <x v="299"/>
    <x v="0"/>
  </r>
  <r>
    <x v="0"/>
    <x v="34"/>
    <x v="34"/>
    <x v="13"/>
    <x v="13"/>
    <x v="13"/>
    <x v="15"/>
    <x v="175"/>
    <x v="263"/>
    <x v="66"/>
    <x v="363"/>
    <x v="101"/>
    <x v="250"/>
    <x v="0"/>
  </r>
  <r>
    <x v="0"/>
    <x v="34"/>
    <x v="34"/>
    <x v="41"/>
    <x v="41"/>
    <x v="41"/>
    <x v="17"/>
    <x v="171"/>
    <x v="17"/>
    <x v="38"/>
    <x v="193"/>
    <x v="101"/>
    <x v="250"/>
    <x v="0"/>
  </r>
  <r>
    <x v="0"/>
    <x v="34"/>
    <x v="34"/>
    <x v="19"/>
    <x v="19"/>
    <x v="19"/>
    <x v="18"/>
    <x v="172"/>
    <x v="197"/>
    <x v="97"/>
    <x v="110"/>
    <x v="118"/>
    <x v="300"/>
    <x v="0"/>
  </r>
  <r>
    <x v="0"/>
    <x v="34"/>
    <x v="34"/>
    <x v="15"/>
    <x v="15"/>
    <x v="15"/>
    <x v="18"/>
    <x v="172"/>
    <x v="197"/>
    <x v="97"/>
    <x v="110"/>
    <x v="118"/>
    <x v="300"/>
    <x v="0"/>
  </r>
  <r>
    <x v="0"/>
    <x v="35"/>
    <x v="35"/>
    <x v="0"/>
    <x v="0"/>
    <x v="0"/>
    <x v="0"/>
    <x v="133"/>
    <x v="1"/>
    <x v="126"/>
    <x v="348"/>
    <x v="101"/>
    <x v="301"/>
    <x v="0"/>
  </r>
  <r>
    <x v="0"/>
    <x v="35"/>
    <x v="35"/>
    <x v="1"/>
    <x v="1"/>
    <x v="1"/>
    <x v="1"/>
    <x v="101"/>
    <x v="364"/>
    <x v="107"/>
    <x v="364"/>
    <x v="118"/>
    <x v="302"/>
    <x v="4"/>
  </r>
  <r>
    <x v="0"/>
    <x v="35"/>
    <x v="35"/>
    <x v="4"/>
    <x v="4"/>
    <x v="4"/>
    <x v="2"/>
    <x v="114"/>
    <x v="365"/>
    <x v="131"/>
    <x v="365"/>
    <x v="109"/>
    <x v="303"/>
    <x v="0"/>
  </r>
  <r>
    <x v="0"/>
    <x v="35"/>
    <x v="35"/>
    <x v="3"/>
    <x v="3"/>
    <x v="3"/>
    <x v="3"/>
    <x v="149"/>
    <x v="22"/>
    <x v="88"/>
    <x v="366"/>
    <x v="100"/>
    <x v="304"/>
    <x v="0"/>
  </r>
  <r>
    <x v="0"/>
    <x v="35"/>
    <x v="35"/>
    <x v="7"/>
    <x v="7"/>
    <x v="7"/>
    <x v="4"/>
    <x v="103"/>
    <x v="366"/>
    <x v="52"/>
    <x v="367"/>
    <x v="91"/>
    <x v="305"/>
    <x v="0"/>
  </r>
  <r>
    <x v="0"/>
    <x v="35"/>
    <x v="35"/>
    <x v="5"/>
    <x v="5"/>
    <x v="5"/>
    <x v="5"/>
    <x v="104"/>
    <x v="367"/>
    <x v="121"/>
    <x v="368"/>
    <x v="115"/>
    <x v="306"/>
    <x v="0"/>
  </r>
  <r>
    <x v="0"/>
    <x v="35"/>
    <x v="35"/>
    <x v="8"/>
    <x v="8"/>
    <x v="8"/>
    <x v="6"/>
    <x v="144"/>
    <x v="368"/>
    <x v="131"/>
    <x v="365"/>
    <x v="117"/>
    <x v="307"/>
    <x v="4"/>
  </r>
  <r>
    <x v="0"/>
    <x v="35"/>
    <x v="35"/>
    <x v="2"/>
    <x v="2"/>
    <x v="2"/>
    <x v="7"/>
    <x v="150"/>
    <x v="369"/>
    <x v="121"/>
    <x v="368"/>
    <x v="96"/>
    <x v="26"/>
    <x v="0"/>
  </r>
  <r>
    <x v="0"/>
    <x v="35"/>
    <x v="35"/>
    <x v="15"/>
    <x v="15"/>
    <x v="15"/>
    <x v="8"/>
    <x v="136"/>
    <x v="64"/>
    <x v="97"/>
    <x v="110"/>
    <x v="100"/>
    <x v="304"/>
    <x v="0"/>
  </r>
  <r>
    <x v="0"/>
    <x v="35"/>
    <x v="35"/>
    <x v="9"/>
    <x v="9"/>
    <x v="9"/>
    <x v="9"/>
    <x v="137"/>
    <x v="370"/>
    <x v="109"/>
    <x v="369"/>
    <x v="128"/>
    <x v="206"/>
    <x v="0"/>
  </r>
  <r>
    <x v="0"/>
    <x v="35"/>
    <x v="35"/>
    <x v="6"/>
    <x v="6"/>
    <x v="6"/>
    <x v="10"/>
    <x v="168"/>
    <x v="371"/>
    <x v="121"/>
    <x v="368"/>
    <x v="92"/>
    <x v="101"/>
    <x v="0"/>
  </r>
  <r>
    <x v="0"/>
    <x v="35"/>
    <x v="35"/>
    <x v="12"/>
    <x v="12"/>
    <x v="12"/>
    <x v="10"/>
    <x v="168"/>
    <x v="371"/>
    <x v="38"/>
    <x v="65"/>
    <x v="96"/>
    <x v="26"/>
    <x v="0"/>
  </r>
  <r>
    <x v="0"/>
    <x v="35"/>
    <x v="35"/>
    <x v="14"/>
    <x v="14"/>
    <x v="14"/>
    <x v="10"/>
    <x v="168"/>
    <x v="371"/>
    <x v="33"/>
    <x v="370"/>
    <x v="118"/>
    <x v="302"/>
    <x v="0"/>
  </r>
  <r>
    <x v="0"/>
    <x v="35"/>
    <x v="35"/>
    <x v="11"/>
    <x v="11"/>
    <x v="11"/>
    <x v="13"/>
    <x v="167"/>
    <x v="372"/>
    <x v="90"/>
    <x v="371"/>
    <x v="106"/>
    <x v="25"/>
    <x v="0"/>
  </r>
  <r>
    <x v="0"/>
    <x v="35"/>
    <x v="35"/>
    <x v="27"/>
    <x v="27"/>
    <x v="27"/>
    <x v="13"/>
    <x v="167"/>
    <x v="372"/>
    <x v="90"/>
    <x v="371"/>
    <x v="107"/>
    <x v="308"/>
    <x v="0"/>
  </r>
  <r>
    <x v="0"/>
    <x v="35"/>
    <x v="35"/>
    <x v="10"/>
    <x v="10"/>
    <x v="10"/>
    <x v="15"/>
    <x v="169"/>
    <x v="193"/>
    <x v="37"/>
    <x v="169"/>
    <x v="120"/>
    <x v="309"/>
    <x v="0"/>
  </r>
  <r>
    <x v="0"/>
    <x v="35"/>
    <x v="35"/>
    <x v="13"/>
    <x v="13"/>
    <x v="13"/>
    <x v="16"/>
    <x v="175"/>
    <x v="373"/>
    <x v="38"/>
    <x v="65"/>
    <x v="92"/>
    <x v="101"/>
    <x v="0"/>
  </r>
  <r>
    <x v="0"/>
    <x v="35"/>
    <x v="35"/>
    <x v="19"/>
    <x v="19"/>
    <x v="19"/>
    <x v="17"/>
    <x v="171"/>
    <x v="89"/>
    <x v="37"/>
    <x v="169"/>
    <x v="92"/>
    <x v="101"/>
    <x v="0"/>
  </r>
  <r>
    <x v="0"/>
    <x v="35"/>
    <x v="35"/>
    <x v="46"/>
    <x v="46"/>
    <x v="46"/>
    <x v="17"/>
    <x v="171"/>
    <x v="89"/>
    <x v="91"/>
    <x v="372"/>
    <x v="117"/>
    <x v="307"/>
    <x v="0"/>
  </r>
  <r>
    <x v="0"/>
    <x v="35"/>
    <x v="35"/>
    <x v="32"/>
    <x v="32"/>
    <x v="32"/>
    <x v="19"/>
    <x v="172"/>
    <x v="374"/>
    <x v="90"/>
    <x v="371"/>
    <x v="117"/>
    <x v="307"/>
    <x v="0"/>
  </r>
  <r>
    <x v="0"/>
    <x v="35"/>
    <x v="35"/>
    <x v="26"/>
    <x v="26"/>
    <x v="26"/>
    <x v="19"/>
    <x v="172"/>
    <x v="374"/>
    <x v="97"/>
    <x v="110"/>
    <x v="118"/>
    <x v="302"/>
    <x v="0"/>
  </r>
  <r>
    <x v="0"/>
    <x v="35"/>
    <x v="35"/>
    <x v="16"/>
    <x v="16"/>
    <x v="16"/>
    <x v="19"/>
    <x v="172"/>
    <x v="374"/>
    <x v="38"/>
    <x v="65"/>
    <x v="116"/>
    <x v="310"/>
    <x v="0"/>
  </r>
  <r>
    <x v="0"/>
    <x v="36"/>
    <x v="36"/>
    <x v="0"/>
    <x v="0"/>
    <x v="0"/>
    <x v="0"/>
    <x v="137"/>
    <x v="375"/>
    <x v="109"/>
    <x v="373"/>
    <x v="128"/>
    <x v="206"/>
    <x v="0"/>
  </r>
  <r>
    <x v="0"/>
    <x v="36"/>
    <x v="36"/>
    <x v="4"/>
    <x v="4"/>
    <x v="4"/>
    <x v="1"/>
    <x v="168"/>
    <x v="335"/>
    <x v="38"/>
    <x v="374"/>
    <x v="96"/>
    <x v="311"/>
    <x v="0"/>
  </r>
  <r>
    <x v="0"/>
    <x v="36"/>
    <x v="36"/>
    <x v="1"/>
    <x v="1"/>
    <x v="1"/>
    <x v="2"/>
    <x v="167"/>
    <x v="376"/>
    <x v="52"/>
    <x v="375"/>
    <x v="116"/>
    <x v="312"/>
    <x v="0"/>
  </r>
  <r>
    <x v="0"/>
    <x v="36"/>
    <x v="36"/>
    <x v="14"/>
    <x v="14"/>
    <x v="14"/>
    <x v="3"/>
    <x v="170"/>
    <x v="377"/>
    <x v="66"/>
    <x v="376"/>
    <x v="92"/>
    <x v="313"/>
    <x v="0"/>
  </r>
  <r>
    <x v="0"/>
    <x v="36"/>
    <x v="36"/>
    <x v="7"/>
    <x v="7"/>
    <x v="7"/>
    <x v="4"/>
    <x v="171"/>
    <x v="205"/>
    <x v="37"/>
    <x v="377"/>
    <x v="92"/>
    <x v="313"/>
    <x v="0"/>
  </r>
  <r>
    <x v="0"/>
    <x v="36"/>
    <x v="36"/>
    <x v="2"/>
    <x v="2"/>
    <x v="2"/>
    <x v="4"/>
    <x v="171"/>
    <x v="205"/>
    <x v="66"/>
    <x v="376"/>
    <x v="116"/>
    <x v="312"/>
    <x v="0"/>
  </r>
  <r>
    <x v="0"/>
    <x v="36"/>
    <x v="36"/>
    <x v="10"/>
    <x v="10"/>
    <x v="10"/>
    <x v="6"/>
    <x v="172"/>
    <x v="244"/>
    <x v="91"/>
    <x v="378"/>
    <x v="92"/>
    <x v="313"/>
    <x v="0"/>
  </r>
  <r>
    <x v="0"/>
    <x v="36"/>
    <x v="36"/>
    <x v="9"/>
    <x v="9"/>
    <x v="9"/>
    <x v="6"/>
    <x v="172"/>
    <x v="244"/>
    <x v="38"/>
    <x v="374"/>
    <x v="116"/>
    <x v="312"/>
    <x v="0"/>
  </r>
  <r>
    <x v="0"/>
    <x v="36"/>
    <x v="36"/>
    <x v="5"/>
    <x v="5"/>
    <x v="5"/>
    <x v="8"/>
    <x v="173"/>
    <x v="338"/>
    <x v="90"/>
    <x v="32"/>
    <x v="92"/>
    <x v="313"/>
    <x v="0"/>
  </r>
  <r>
    <x v="0"/>
    <x v="36"/>
    <x v="36"/>
    <x v="6"/>
    <x v="6"/>
    <x v="6"/>
    <x v="8"/>
    <x v="173"/>
    <x v="338"/>
    <x v="37"/>
    <x v="377"/>
    <x v="116"/>
    <x v="312"/>
    <x v="0"/>
  </r>
  <r>
    <x v="0"/>
    <x v="36"/>
    <x v="36"/>
    <x v="8"/>
    <x v="8"/>
    <x v="8"/>
    <x v="8"/>
    <x v="173"/>
    <x v="338"/>
    <x v="91"/>
    <x v="378"/>
    <x v="128"/>
    <x v="206"/>
    <x v="0"/>
  </r>
  <r>
    <x v="0"/>
    <x v="36"/>
    <x v="36"/>
    <x v="32"/>
    <x v="32"/>
    <x v="32"/>
    <x v="11"/>
    <x v="174"/>
    <x v="50"/>
    <x v="90"/>
    <x v="32"/>
    <x v="101"/>
    <x v="314"/>
    <x v="0"/>
  </r>
  <r>
    <x v="0"/>
    <x v="36"/>
    <x v="36"/>
    <x v="34"/>
    <x v="34"/>
    <x v="34"/>
    <x v="11"/>
    <x v="174"/>
    <x v="50"/>
    <x v="97"/>
    <x v="110"/>
    <x v="92"/>
    <x v="313"/>
    <x v="0"/>
  </r>
  <r>
    <x v="0"/>
    <x v="36"/>
    <x v="36"/>
    <x v="24"/>
    <x v="24"/>
    <x v="24"/>
    <x v="11"/>
    <x v="174"/>
    <x v="50"/>
    <x v="90"/>
    <x v="32"/>
    <x v="101"/>
    <x v="314"/>
    <x v="0"/>
  </r>
  <r>
    <x v="0"/>
    <x v="36"/>
    <x v="36"/>
    <x v="15"/>
    <x v="15"/>
    <x v="15"/>
    <x v="11"/>
    <x v="174"/>
    <x v="50"/>
    <x v="97"/>
    <x v="110"/>
    <x v="92"/>
    <x v="313"/>
    <x v="0"/>
  </r>
  <r>
    <x v="0"/>
    <x v="36"/>
    <x v="36"/>
    <x v="35"/>
    <x v="35"/>
    <x v="35"/>
    <x v="15"/>
    <x v="176"/>
    <x v="291"/>
    <x v="97"/>
    <x v="110"/>
    <x v="116"/>
    <x v="312"/>
    <x v="4"/>
  </r>
  <r>
    <x v="0"/>
    <x v="36"/>
    <x v="36"/>
    <x v="39"/>
    <x v="39"/>
    <x v="39"/>
    <x v="15"/>
    <x v="176"/>
    <x v="291"/>
    <x v="97"/>
    <x v="110"/>
    <x v="101"/>
    <x v="314"/>
    <x v="0"/>
  </r>
  <r>
    <x v="0"/>
    <x v="36"/>
    <x v="36"/>
    <x v="31"/>
    <x v="31"/>
    <x v="31"/>
    <x v="15"/>
    <x v="176"/>
    <x v="291"/>
    <x v="97"/>
    <x v="110"/>
    <x v="101"/>
    <x v="314"/>
    <x v="0"/>
  </r>
  <r>
    <x v="0"/>
    <x v="36"/>
    <x v="36"/>
    <x v="22"/>
    <x v="22"/>
    <x v="22"/>
    <x v="15"/>
    <x v="176"/>
    <x v="291"/>
    <x v="90"/>
    <x v="32"/>
    <x v="116"/>
    <x v="312"/>
    <x v="0"/>
  </r>
  <r>
    <x v="0"/>
    <x v="36"/>
    <x v="36"/>
    <x v="54"/>
    <x v="54"/>
    <x v="54"/>
    <x v="15"/>
    <x v="176"/>
    <x v="291"/>
    <x v="97"/>
    <x v="110"/>
    <x v="101"/>
    <x v="314"/>
    <x v="0"/>
  </r>
  <r>
    <x v="0"/>
    <x v="36"/>
    <x v="36"/>
    <x v="26"/>
    <x v="26"/>
    <x v="26"/>
    <x v="15"/>
    <x v="176"/>
    <x v="291"/>
    <x v="97"/>
    <x v="110"/>
    <x v="101"/>
    <x v="314"/>
    <x v="0"/>
  </r>
  <r>
    <x v="0"/>
    <x v="36"/>
    <x v="36"/>
    <x v="27"/>
    <x v="27"/>
    <x v="27"/>
    <x v="15"/>
    <x v="176"/>
    <x v="291"/>
    <x v="97"/>
    <x v="110"/>
    <x v="116"/>
    <x v="312"/>
    <x v="0"/>
  </r>
  <r>
    <x v="0"/>
    <x v="37"/>
    <x v="37"/>
    <x v="4"/>
    <x v="4"/>
    <x v="4"/>
    <x v="0"/>
    <x v="150"/>
    <x v="378"/>
    <x v="33"/>
    <x v="379"/>
    <x v="106"/>
    <x v="292"/>
    <x v="0"/>
  </r>
  <r>
    <x v="0"/>
    <x v="37"/>
    <x v="37"/>
    <x v="5"/>
    <x v="5"/>
    <x v="5"/>
    <x v="0"/>
    <x v="150"/>
    <x v="378"/>
    <x v="80"/>
    <x v="380"/>
    <x v="107"/>
    <x v="315"/>
    <x v="0"/>
  </r>
  <r>
    <x v="0"/>
    <x v="37"/>
    <x v="37"/>
    <x v="0"/>
    <x v="0"/>
    <x v="0"/>
    <x v="2"/>
    <x v="167"/>
    <x v="379"/>
    <x v="98"/>
    <x v="381"/>
    <x v="128"/>
    <x v="206"/>
    <x v="0"/>
  </r>
  <r>
    <x v="0"/>
    <x v="37"/>
    <x v="37"/>
    <x v="6"/>
    <x v="6"/>
    <x v="6"/>
    <x v="3"/>
    <x v="170"/>
    <x v="380"/>
    <x v="80"/>
    <x v="380"/>
    <x v="128"/>
    <x v="206"/>
    <x v="4"/>
  </r>
  <r>
    <x v="0"/>
    <x v="37"/>
    <x v="37"/>
    <x v="1"/>
    <x v="1"/>
    <x v="1"/>
    <x v="3"/>
    <x v="170"/>
    <x v="380"/>
    <x v="121"/>
    <x v="382"/>
    <x v="128"/>
    <x v="206"/>
    <x v="0"/>
  </r>
  <r>
    <x v="0"/>
    <x v="37"/>
    <x v="37"/>
    <x v="31"/>
    <x v="31"/>
    <x v="31"/>
    <x v="5"/>
    <x v="172"/>
    <x v="381"/>
    <x v="90"/>
    <x v="7"/>
    <x v="117"/>
    <x v="316"/>
    <x v="0"/>
  </r>
  <r>
    <x v="0"/>
    <x v="37"/>
    <x v="37"/>
    <x v="2"/>
    <x v="2"/>
    <x v="2"/>
    <x v="6"/>
    <x v="173"/>
    <x v="382"/>
    <x v="91"/>
    <x v="383"/>
    <x v="101"/>
    <x v="317"/>
    <x v="0"/>
  </r>
  <r>
    <x v="0"/>
    <x v="37"/>
    <x v="37"/>
    <x v="9"/>
    <x v="9"/>
    <x v="9"/>
    <x v="6"/>
    <x v="173"/>
    <x v="382"/>
    <x v="38"/>
    <x v="384"/>
    <x v="128"/>
    <x v="206"/>
    <x v="0"/>
  </r>
  <r>
    <x v="0"/>
    <x v="37"/>
    <x v="37"/>
    <x v="28"/>
    <x v="28"/>
    <x v="28"/>
    <x v="8"/>
    <x v="174"/>
    <x v="383"/>
    <x v="91"/>
    <x v="383"/>
    <x v="116"/>
    <x v="318"/>
    <x v="0"/>
  </r>
  <r>
    <x v="0"/>
    <x v="37"/>
    <x v="37"/>
    <x v="10"/>
    <x v="10"/>
    <x v="10"/>
    <x v="8"/>
    <x v="174"/>
    <x v="383"/>
    <x v="37"/>
    <x v="385"/>
    <x v="128"/>
    <x v="206"/>
    <x v="0"/>
  </r>
  <r>
    <x v="0"/>
    <x v="37"/>
    <x v="37"/>
    <x v="7"/>
    <x v="7"/>
    <x v="7"/>
    <x v="10"/>
    <x v="176"/>
    <x v="51"/>
    <x v="97"/>
    <x v="110"/>
    <x v="101"/>
    <x v="317"/>
    <x v="0"/>
  </r>
  <r>
    <x v="0"/>
    <x v="37"/>
    <x v="37"/>
    <x v="43"/>
    <x v="43"/>
    <x v="43"/>
    <x v="10"/>
    <x v="176"/>
    <x v="51"/>
    <x v="97"/>
    <x v="110"/>
    <x v="101"/>
    <x v="317"/>
    <x v="0"/>
  </r>
  <r>
    <x v="0"/>
    <x v="37"/>
    <x v="37"/>
    <x v="34"/>
    <x v="34"/>
    <x v="34"/>
    <x v="10"/>
    <x v="176"/>
    <x v="51"/>
    <x v="90"/>
    <x v="7"/>
    <x v="116"/>
    <x v="318"/>
    <x v="0"/>
  </r>
  <r>
    <x v="0"/>
    <x v="37"/>
    <x v="37"/>
    <x v="17"/>
    <x v="17"/>
    <x v="17"/>
    <x v="10"/>
    <x v="176"/>
    <x v="51"/>
    <x v="97"/>
    <x v="110"/>
    <x v="101"/>
    <x v="317"/>
    <x v="0"/>
  </r>
  <r>
    <x v="0"/>
    <x v="37"/>
    <x v="37"/>
    <x v="8"/>
    <x v="8"/>
    <x v="8"/>
    <x v="10"/>
    <x v="176"/>
    <x v="51"/>
    <x v="91"/>
    <x v="383"/>
    <x v="128"/>
    <x v="206"/>
    <x v="0"/>
  </r>
  <r>
    <x v="0"/>
    <x v="37"/>
    <x v="37"/>
    <x v="14"/>
    <x v="14"/>
    <x v="14"/>
    <x v="10"/>
    <x v="176"/>
    <x v="51"/>
    <x v="91"/>
    <x v="383"/>
    <x v="128"/>
    <x v="206"/>
    <x v="0"/>
  </r>
  <r>
    <x v="0"/>
    <x v="37"/>
    <x v="37"/>
    <x v="50"/>
    <x v="50"/>
    <x v="50"/>
    <x v="16"/>
    <x v="178"/>
    <x v="384"/>
    <x v="90"/>
    <x v="7"/>
    <x v="128"/>
    <x v="206"/>
    <x v="0"/>
  </r>
  <r>
    <x v="0"/>
    <x v="37"/>
    <x v="37"/>
    <x v="68"/>
    <x v="68"/>
    <x v="68"/>
    <x v="16"/>
    <x v="178"/>
    <x v="384"/>
    <x v="97"/>
    <x v="110"/>
    <x v="116"/>
    <x v="318"/>
    <x v="0"/>
  </r>
  <r>
    <x v="0"/>
    <x v="37"/>
    <x v="37"/>
    <x v="32"/>
    <x v="32"/>
    <x v="32"/>
    <x v="16"/>
    <x v="178"/>
    <x v="384"/>
    <x v="97"/>
    <x v="110"/>
    <x v="116"/>
    <x v="318"/>
    <x v="0"/>
  </r>
  <r>
    <x v="0"/>
    <x v="37"/>
    <x v="37"/>
    <x v="40"/>
    <x v="40"/>
    <x v="40"/>
    <x v="16"/>
    <x v="178"/>
    <x v="384"/>
    <x v="90"/>
    <x v="7"/>
    <x v="128"/>
    <x v="206"/>
    <x v="0"/>
  </r>
  <r>
    <x v="0"/>
    <x v="37"/>
    <x v="37"/>
    <x v="22"/>
    <x v="22"/>
    <x v="22"/>
    <x v="16"/>
    <x v="178"/>
    <x v="384"/>
    <x v="90"/>
    <x v="7"/>
    <x v="128"/>
    <x v="206"/>
    <x v="0"/>
  </r>
  <r>
    <x v="0"/>
    <x v="37"/>
    <x v="37"/>
    <x v="44"/>
    <x v="44"/>
    <x v="44"/>
    <x v="16"/>
    <x v="178"/>
    <x v="384"/>
    <x v="97"/>
    <x v="110"/>
    <x v="128"/>
    <x v="206"/>
    <x v="0"/>
  </r>
  <r>
    <x v="0"/>
    <x v="37"/>
    <x v="37"/>
    <x v="11"/>
    <x v="11"/>
    <x v="11"/>
    <x v="16"/>
    <x v="178"/>
    <x v="384"/>
    <x v="90"/>
    <x v="7"/>
    <x v="128"/>
    <x v="206"/>
    <x v="0"/>
  </r>
  <r>
    <x v="0"/>
    <x v="37"/>
    <x v="37"/>
    <x v="20"/>
    <x v="20"/>
    <x v="20"/>
    <x v="16"/>
    <x v="178"/>
    <x v="384"/>
    <x v="97"/>
    <x v="110"/>
    <x v="116"/>
    <x v="318"/>
    <x v="0"/>
  </r>
  <r>
    <x v="0"/>
    <x v="37"/>
    <x v="37"/>
    <x v="3"/>
    <x v="3"/>
    <x v="3"/>
    <x v="16"/>
    <x v="178"/>
    <x v="384"/>
    <x v="97"/>
    <x v="110"/>
    <x v="116"/>
    <x v="318"/>
    <x v="0"/>
  </r>
  <r>
    <x v="0"/>
    <x v="37"/>
    <x v="37"/>
    <x v="12"/>
    <x v="12"/>
    <x v="12"/>
    <x v="16"/>
    <x v="178"/>
    <x v="384"/>
    <x v="90"/>
    <x v="7"/>
    <x v="128"/>
    <x v="206"/>
    <x v="0"/>
  </r>
  <r>
    <x v="0"/>
    <x v="37"/>
    <x v="37"/>
    <x v="27"/>
    <x v="27"/>
    <x v="27"/>
    <x v="16"/>
    <x v="178"/>
    <x v="384"/>
    <x v="97"/>
    <x v="110"/>
    <x v="116"/>
    <x v="318"/>
    <x v="0"/>
  </r>
  <r>
    <x v="0"/>
    <x v="37"/>
    <x v="37"/>
    <x v="62"/>
    <x v="62"/>
    <x v="62"/>
    <x v="16"/>
    <x v="178"/>
    <x v="384"/>
    <x v="90"/>
    <x v="7"/>
    <x v="128"/>
    <x v="206"/>
    <x v="0"/>
  </r>
  <r>
    <x v="0"/>
    <x v="38"/>
    <x v="38"/>
    <x v="0"/>
    <x v="0"/>
    <x v="0"/>
    <x v="0"/>
    <x v="122"/>
    <x v="385"/>
    <x v="106"/>
    <x v="386"/>
    <x v="118"/>
    <x v="11"/>
    <x v="0"/>
  </r>
  <r>
    <x v="0"/>
    <x v="38"/>
    <x v="38"/>
    <x v="2"/>
    <x v="2"/>
    <x v="2"/>
    <x v="1"/>
    <x v="133"/>
    <x v="267"/>
    <x v="118"/>
    <x v="387"/>
    <x v="110"/>
    <x v="108"/>
    <x v="0"/>
  </r>
  <r>
    <x v="0"/>
    <x v="38"/>
    <x v="38"/>
    <x v="4"/>
    <x v="4"/>
    <x v="4"/>
    <x v="2"/>
    <x v="134"/>
    <x v="386"/>
    <x v="131"/>
    <x v="388"/>
    <x v="93"/>
    <x v="319"/>
    <x v="0"/>
  </r>
  <r>
    <x v="0"/>
    <x v="38"/>
    <x v="38"/>
    <x v="1"/>
    <x v="1"/>
    <x v="1"/>
    <x v="3"/>
    <x v="163"/>
    <x v="387"/>
    <x v="135"/>
    <x v="389"/>
    <x v="101"/>
    <x v="320"/>
    <x v="0"/>
  </r>
  <r>
    <x v="0"/>
    <x v="38"/>
    <x v="38"/>
    <x v="6"/>
    <x v="6"/>
    <x v="6"/>
    <x v="4"/>
    <x v="135"/>
    <x v="6"/>
    <x v="89"/>
    <x v="2"/>
    <x v="117"/>
    <x v="321"/>
    <x v="0"/>
  </r>
  <r>
    <x v="0"/>
    <x v="38"/>
    <x v="38"/>
    <x v="5"/>
    <x v="5"/>
    <x v="5"/>
    <x v="5"/>
    <x v="127"/>
    <x v="388"/>
    <x v="131"/>
    <x v="388"/>
    <x v="96"/>
    <x v="322"/>
    <x v="0"/>
  </r>
  <r>
    <x v="0"/>
    <x v="38"/>
    <x v="38"/>
    <x v="8"/>
    <x v="8"/>
    <x v="8"/>
    <x v="6"/>
    <x v="150"/>
    <x v="389"/>
    <x v="98"/>
    <x v="390"/>
    <x v="92"/>
    <x v="323"/>
    <x v="0"/>
  </r>
  <r>
    <x v="0"/>
    <x v="38"/>
    <x v="38"/>
    <x v="7"/>
    <x v="7"/>
    <x v="7"/>
    <x v="7"/>
    <x v="136"/>
    <x v="217"/>
    <x v="33"/>
    <x v="391"/>
    <x v="107"/>
    <x v="324"/>
    <x v="0"/>
  </r>
  <r>
    <x v="0"/>
    <x v="38"/>
    <x v="38"/>
    <x v="10"/>
    <x v="10"/>
    <x v="10"/>
    <x v="8"/>
    <x v="137"/>
    <x v="27"/>
    <x v="131"/>
    <x v="388"/>
    <x v="101"/>
    <x v="320"/>
    <x v="0"/>
  </r>
  <r>
    <x v="0"/>
    <x v="38"/>
    <x v="38"/>
    <x v="12"/>
    <x v="12"/>
    <x v="12"/>
    <x v="8"/>
    <x v="137"/>
    <x v="27"/>
    <x v="38"/>
    <x v="392"/>
    <x v="107"/>
    <x v="324"/>
    <x v="0"/>
  </r>
  <r>
    <x v="0"/>
    <x v="38"/>
    <x v="38"/>
    <x v="27"/>
    <x v="27"/>
    <x v="27"/>
    <x v="10"/>
    <x v="138"/>
    <x v="390"/>
    <x v="37"/>
    <x v="197"/>
    <x v="106"/>
    <x v="325"/>
    <x v="0"/>
  </r>
  <r>
    <x v="0"/>
    <x v="38"/>
    <x v="38"/>
    <x v="9"/>
    <x v="9"/>
    <x v="9"/>
    <x v="10"/>
    <x v="138"/>
    <x v="390"/>
    <x v="52"/>
    <x v="393"/>
    <x v="92"/>
    <x v="323"/>
    <x v="0"/>
  </r>
  <r>
    <x v="0"/>
    <x v="38"/>
    <x v="38"/>
    <x v="3"/>
    <x v="3"/>
    <x v="3"/>
    <x v="12"/>
    <x v="168"/>
    <x v="49"/>
    <x v="33"/>
    <x v="391"/>
    <x v="118"/>
    <x v="11"/>
    <x v="0"/>
  </r>
  <r>
    <x v="0"/>
    <x v="38"/>
    <x v="38"/>
    <x v="14"/>
    <x v="14"/>
    <x v="14"/>
    <x v="13"/>
    <x v="167"/>
    <x v="68"/>
    <x v="121"/>
    <x v="394"/>
    <x v="101"/>
    <x v="320"/>
    <x v="0"/>
  </r>
  <r>
    <x v="0"/>
    <x v="38"/>
    <x v="38"/>
    <x v="13"/>
    <x v="13"/>
    <x v="13"/>
    <x v="14"/>
    <x v="170"/>
    <x v="146"/>
    <x v="66"/>
    <x v="395"/>
    <x v="92"/>
    <x v="323"/>
    <x v="0"/>
  </r>
  <r>
    <x v="0"/>
    <x v="38"/>
    <x v="38"/>
    <x v="28"/>
    <x v="28"/>
    <x v="28"/>
    <x v="15"/>
    <x v="175"/>
    <x v="134"/>
    <x v="66"/>
    <x v="395"/>
    <x v="101"/>
    <x v="320"/>
    <x v="0"/>
  </r>
  <r>
    <x v="0"/>
    <x v="38"/>
    <x v="38"/>
    <x v="26"/>
    <x v="26"/>
    <x v="26"/>
    <x v="15"/>
    <x v="175"/>
    <x v="134"/>
    <x v="90"/>
    <x v="396"/>
    <x v="120"/>
    <x v="326"/>
    <x v="0"/>
  </r>
  <r>
    <x v="0"/>
    <x v="38"/>
    <x v="38"/>
    <x v="32"/>
    <x v="32"/>
    <x v="32"/>
    <x v="17"/>
    <x v="171"/>
    <x v="391"/>
    <x v="38"/>
    <x v="392"/>
    <x v="101"/>
    <x v="320"/>
    <x v="0"/>
  </r>
  <r>
    <x v="0"/>
    <x v="38"/>
    <x v="38"/>
    <x v="11"/>
    <x v="11"/>
    <x v="11"/>
    <x v="17"/>
    <x v="171"/>
    <x v="391"/>
    <x v="33"/>
    <x v="391"/>
    <x v="128"/>
    <x v="206"/>
    <x v="0"/>
  </r>
  <r>
    <x v="0"/>
    <x v="38"/>
    <x v="38"/>
    <x v="31"/>
    <x v="31"/>
    <x v="31"/>
    <x v="19"/>
    <x v="172"/>
    <x v="55"/>
    <x v="97"/>
    <x v="110"/>
    <x v="118"/>
    <x v="11"/>
    <x v="0"/>
  </r>
  <r>
    <x v="0"/>
    <x v="38"/>
    <x v="38"/>
    <x v="19"/>
    <x v="19"/>
    <x v="19"/>
    <x v="19"/>
    <x v="172"/>
    <x v="55"/>
    <x v="37"/>
    <x v="197"/>
    <x v="101"/>
    <x v="320"/>
    <x v="0"/>
  </r>
  <r>
    <x v="0"/>
    <x v="38"/>
    <x v="38"/>
    <x v="15"/>
    <x v="15"/>
    <x v="15"/>
    <x v="19"/>
    <x v="172"/>
    <x v="55"/>
    <x v="97"/>
    <x v="110"/>
    <x v="118"/>
    <x v="11"/>
    <x v="0"/>
  </r>
  <r>
    <x v="0"/>
    <x v="39"/>
    <x v="39"/>
    <x v="1"/>
    <x v="1"/>
    <x v="1"/>
    <x v="0"/>
    <x v="131"/>
    <x v="392"/>
    <x v="32"/>
    <x v="397"/>
    <x v="117"/>
    <x v="52"/>
    <x v="0"/>
  </r>
  <r>
    <x v="0"/>
    <x v="39"/>
    <x v="39"/>
    <x v="0"/>
    <x v="0"/>
    <x v="0"/>
    <x v="1"/>
    <x v="183"/>
    <x v="393"/>
    <x v="87"/>
    <x v="398"/>
    <x v="117"/>
    <x v="52"/>
    <x v="0"/>
  </r>
  <r>
    <x v="0"/>
    <x v="39"/>
    <x v="39"/>
    <x v="2"/>
    <x v="2"/>
    <x v="2"/>
    <x v="2"/>
    <x v="100"/>
    <x v="394"/>
    <x v="113"/>
    <x v="399"/>
    <x v="91"/>
    <x v="327"/>
    <x v="0"/>
  </r>
  <r>
    <x v="0"/>
    <x v="39"/>
    <x v="39"/>
    <x v="5"/>
    <x v="5"/>
    <x v="5"/>
    <x v="3"/>
    <x v="114"/>
    <x v="3"/>
    <x v="51"/>
    <x v="400"/>
    <x v="99"/>
    <x v="284"/>
    <x v="0"/>
  </r>
  <r>
    <x v="0"/>
    <x v="39"/>
    <x v="39"/>
    <x v="6"/>
    <x v="6"/>
    <x v="6"/>
    <x v="3"/>
    <x v="114"/>
    <x v="3"/>
    <x v="28"/>
    <x v="401"/>
    <x v="101"/>
    <x v="328"/>
    <x v="4"/>
  </r>
  <r>
    <x v="0"/>
    <x v="39"/>
    <x v="39"/>
    <x v="4"/>
    <x v="4"/>
    <x v="4"/>
    <x v="5"/>
    <x v="102"/>
    <x v="111"/>
    <x v="98"/>
    <x v="234"/>
    <x v="98"/>
    <x v="329"/>
    <x v="0"/>
  </r>
  <r>
    <x v="0"/>
    <x v="39"/>
    <x v="39"/>
    <x v="3"/>
    <x v="3"/>
    <x v="3"/>
    <x v="6"/>
    <x v="156"/>
    <x v="395"/>
    <x v="51"/>
    <x v="400"/>
    <x v="120"/>
    <x v="330"/>
    <x v="0"/>
  </r>
  <r>
    <x v="0"/>
    <x v="39"/>
    <x v="39"/>
    <x v="7"/>
    <x v="7"/>
    <x v="7"/>
    <x v="7"/>
    <x v="136"/>
    <x v="284"/>
    <x v="33"/>
    <x v="402"/>
    <x v="107"/>
    <x v="331"/>
    <x v="0"/>
  </r>
  <r>
    <x v="0"/>
    <x v="39"/>
    <x v="39"/>
    <x v="9"/>
    <x v="9"/>
    <x v="9"/>
    <x v="8"/>
    <x v="137"/>
    <x v="168"/>
    <x v="131"/>
    <x v="57"/>
    <x v="101"/>
    <x v="328"/>
    <x v="0"/>
  </r>
  <r>
    <x v="0"/>
    <x v="39"/>
    <x v="39"/>
    <x v="28"/>
    <x v="28"/>
    <x v="28"/>
    <x v="9"/>
    <x v="138"/>
    <x v="49"/>
    <x v="121"/>
    <x v="313"/>
    <x v="117"/>
    <x v="52"/>
    <x v="0"/>
  </r>
  <r>
    <x v="0"/>
    <x v="39"/>
    <x v="39"/>
    <x v="10"/>
    <x v="10"/>
    <x v="10"/>
    <x v="9"/>
    <x v="138"/>
    <x v="49"/>
    <x v="121"/>
    <x v="313"/>
    <x v="117"/>
    <x v="52"/>
    <x v="0"/>
  </r>
  <r>
    <x v="0"/>
    <x v="39"/>
    <x v="39"/>
    <x v="11"/>
    <x v="11"/>
    <x v="11"/>
    <x v="11"/>
    <x v="168"/>
    <x v="143"/>
    <x v="52"/>
    <x v="320"/>
    <x v="101"/>
    <x v="328"/>
    <x v="0"/>
  </r>
  <r>
    <x v="0"/>
    <x v="39"/>
    <x v="39"/>
    <x v="8"/>
    <x v="8"/>
    <x v="8"/>
    <x v="11"/>
    <x v="168"/>
    <x v="143"/>
    <x v="80"/>
    <x v="403"/>
    <x v="117"/>
    <x v="52"/>
    <x v="0"/>
  </r>
  <r>
    <x v="0"/>
    <x v="39"/>
    <x v="39"/>
    <x v="29"/>
    <x v="29"/>
    <x v="29"/>
    <x v="13"/>
    <x v="169"/>
    <x v="51"/>
    <x v="38"/>
    <x v="404"/>
    <x v="118"/>
    <x v="282"/>
    <x v="0"/>
  </r>
  <r>
    <x v="0"/>
    <x v="39"/>
    <x v="39"/>
    <x v="14"/>
    <x v="14"/>
    <x v="14"/>
    <x v="13"/>
    <x v="169"/>
    <x v="51"/>
    <x v="121"/>
    <x v="313"/>
    <x v="116"/>
    <x v="332"/>
    <x v="0"/>
  </r>
  <r>
    <x v="0"/>
    <x v="39"/>
    <x v="39"/>
    <x v="19"/>
    <x v="19"/>
    <x v="19"/>
    <x v="15"/>
    <x v="171"/>
    <x v="209"/>
    <x v="37"/>
    <x v="35"/>
    <x v="101"/>
    <x v="328"/>
    <x v="0"/>
  </r>
  <r>
    <x v="0"/>
    <x v="39"/>
    <x v="39"/>
    <x v="27"/>
    <x v="27"/>
    <x v="27"/>
    <x v="16"/>
    <x v="172"/>
    <x v="197"/>
    <x v="37"/>
    <x v="35"/>
    <x v="116"/>
    <x v="332"/>
    <x v="0"/>
  </r>
  <r>
    <x v="0"/>
    <x v="39"/>
    <x v="39"/>
    <x v="30"/>
    <x v="30"/>
    <x v="30"/>
    <x v="17"/>
    <x v="173"/>
    <x v="396"/>
    <x v="97"/>
    <x v="110"/>
    <x v="117"/>
    <x v="52"/>
    <x v="0"/>
  </r>
  <r>
    <x v="0"/>
    <x v="39"/>
    <x v="39"/>
    <x v="17"/>
    <x v="17"/>
    <x v="17"/>
    <x v="17"/>
    <x v="173"/>
    <x v="396"/>
    <x v="37"/>
    <x v="35"/>
    <x v="116"/>
    <x v="332"/>
    <x v="0"/>
  </r>
  <r>
    <x v="0"/>
    <x v="39"/>
    <x v="39"/>
    <x v="18"/>
    <x v="18"/>
    <x v="18"/>
    <x v="17"/>
    <x v="173"/>
    <x v="396"/>
    <x v="97"/>
    <x v="110"/>
    <x v="117"/>
    <x v="52"/>
    <x v="0"/>
  </r>
  <r>
    <x v="0"/>
    <x v="39"/>
    <x v="39"/>
    <x v="21"/>
    <x v="21"/>
    <x v="21"/>
    <x v="17"/>
    <x v="173"/>
    <x v="396"/>
    <x v="37"/>
    <x v="35"/>
    <x v="116"/>
    <x v="332"/>
    <x v="0"/>
  </r>
  <r>
    <x v="0"/>
    <x v="39"/>
    <x v="39"/>
    <x v="13"/>
    <x v="13"/>
    <x v="13"/>
    <x v="17"/>
    <x v="173"/>
    <x v="396"/>
    <x v="38"/>
    <x v="404"/>
    <x v="128"/>
    <x v="206"/>
    <x v="0"/>
  </r>
  <r>
    <x v="0"/>
    <x v="39"/>
    <x v="39"/>
    <x v="12"/>
    <x v="12"/>
    <x v="12"/>
    <x v="17"/>
    <x v="173"/>
    <x v="396"/>
    <x v="91"/>
    <x v="167"/>
    <x v="101"/>
    <x v="328"/>
    <x v="0"/>
  </r>
  <r>
    <x v="0"/>
    <x v="39"/>
    <x v="39"/>
    <x v="16"/>
    <x v="16"/>
    <x v="16"/>
    <x v="17"/>
    <x v="173"/>
    <x v="396"/>
    <x v="90"/>
    <x v="405"/>
    <x v="92"/>
    <x v="333"/>
    <x v="0"/>
  </r>
  <r>
    <x v="0"/>
    <x v="40"/>
    <x v="40"/>
    <x v="4"/>
    <x v="4"/>
    <x v="4"/>
    <x v="0"/>
    <x v="149"/>
    <x v="397"/>
    <x v="36"/>
    <x v="406"/>
    <x v="117"/>
    <x v="288"/>
    <x v="0"/>
  </r>
  <r>
    <x v="0"/>
    <x v="40"/>
    <x v="40"/>
    <x v="5"/>
    <x v="5"/>
    <x v="5"/>
    <x v="1"/>
    <x v="135"/>
    <x v="398"/>
    <x v="50"/>
    <x v="407"/>
    <x v="96"/>
    <x v="334"/>
    <x v="0"/>
  </r>
  <r>
    <x v="0"/>
    <x v="40"/>
    <x v="40"/>
    <x v="0"/>
    <x v="0"/>
    <x v="0"/>
    <x v="2"/>
    <x v="105"/>
    <x v="399"/>
    <x v="15"/>
    <x v="408"/>
    <x v="128"/>
    <x v="206"/>
    <x v="0"/>
  </r>
  <r>
    <x v="0"/>
    <x v="40"/>
    <x v="40"/>
    <x v="1"/>
    <x v="1"/>
    <x v="1"/>
    <x v="3"/>
    <x v="127"/>
    <x v="400"/>
    <x v="89"/>
    <x v="409"/>
    <x v="116"/>
    <x v="335"/>
    <x v="0"/>
  </r>
  <r>
    <x v="0"/>
    <x v="40"/>
    <x v="40"/>
    <x v="6"/>
    <x v="6"/>
    <x v="6"/>
    <x v="4"/>
    <x v="137"/>
    <x v="401"/>
    <x v="98"/>
    <x v="410"/>
    <x v="92"/>
    <x v="62"/>
    <x v="0"/>
  </r>
  <r>
    <x v="0"/>
    <x v="40"/>
    <x v="40"/>
    <x v="2"/>
    <x v="2"/>
    <x v="2"/>
    <x v="5"/>
    <x v="168"/>
    <x v="402"/>
    <x v="66"/>
    <x v="411"/>
    <x v="120"/>
    <x v="289"/>
    <x v="0"/>
  </r>
  <r>
    <x v="0"/>
    <x v="40"/>
    <x v="40"/>
    <x v="10"/>
    <x v="10"/>
    <x v="10"/>
    <x v="6"/>
    <x v="175"/>
    <x v="403"/>
    <x v="33"/>
    <x v="412"/>
    <x v="116"/>
    <x v="335"/>
    <x v="0"/>
  </r>
  <r>
    <x v="0"/>
    <x v="40"/>
    <x v="40"/>
    <x v="7"/>
    <x v="7"/>
    <x v="7"/>
    <x v="7"/>
    <x v="171"/>
    <x v="46"/>
    <x v="38"/>
    <x v="413"/>
    <x v="101"/>
    <x v="287"/>
    <x v="0"/>
  </r>
  <r>
    <x v="0"/>
    <x v="40"/>
    <x v="40"/>
    <x v="20"/>
    <x v="20"/>
    <x v="20"/>
    <x v="7"/>
    <x v="171"/>
    <x v="46"/>
    <x v="38"/>
    <x v="413"/>
    <x v="116"/>
    <x v="335"/>
    <x v="4"/>
  </r>
  <r>
    <x v="0"/>
    <x v="40"/>
    <x v="40"/>
    <x v="9"/>
    <x v="9"/>
    <x v="9"/>
    <x v="9"/>
    <x v="172"/>
    <x v="67"/>
    <x v="66"/>
    <x v="411"/>
    <x v="128"/>
    <x v="206"/>
    <x v="0"/>
  </r>
  <r>
    <x v="0"/>
    <x v="40"/>
    <x v="40"/>
    <x v="29"/>
    <x v="29"/>
    <x v="29"/>
    <x v="10"/>
    <x v="173"/>
    <x v="404"/>
    <x v="90"/>
    <x v="414"/>
    <x v="92"/>
    <x v="62"/>
    <x v="0"/>
  </r>
  <r>
    <x v="0"/>
    <x v="40"/>
    <x v="40"/>
    <x v="41"/>
    <x v="41"/>
    <x v="41"/>
    <x v="10"/>
    <x v="173"/>
    <x v="404"/>
    <x v="90"/>
    <x v="414"/>
    <x v="92"/>
    <x v="62"/>
    <x v="0"/>
  </r>
  <r>
    <x v="0"/>
    <x v="40"/>
    <x v="40"/>
    <x v="3"/>
    <x v="3"/>
    <x v="3"/>
    <x v="10"/>
    <x v="173"/>
    <x v="404"/>
    <x v="38"/>
    <x v="413"/>
    <x v="128"/>
    <x v="206"/>
    <x v="0"/>
  </r>
  <r>
    <x v="0"/>
    <x v="40"/>
    <x v="40"/>
    <x v="15"/>
    <x v="15"/>
    <x v="15"/>
    <x v="10"/>
    <x v="173"/>
    <x v="404"/>
    <x v="97"/>
    <x v="110"/>
    <x v="117"/>
    <x v="288"/>
    <x v="0"/>
  </r>
  <r>
    <x v="0"/>
    <x v="40"/>
    <x v="40"/>
    <x v="30"/>
    <x v="30"/>
    <x v="30"/>
    <x v="14"/>
    <x v="174"/>
    <x v="16"/>
    <x v="90"/>
    <x v="414"/>
    <x v="101"/>
    <x v="287"/>
    <x v="0"/>
  </r>
  <r>
    <x v="0"/>
    <x v="40"/>
    <x v="40"/>
    <x v="11"/>
    <x v="11"/>
    <x v="11"/>
    <x v="14"/>
    <x v="174"/>
    <x v="16"/>
    <x v="37"/>
    <x v="395"/>
    <x v="128"/>
    <x v="206"/>
    <x v="0"/>
  </r>
  <r>
    <x v="0"/>
    <x v="40"/>
    <x v="40"/>
    <x v="19"/>
    <x v="19"/>
    <x v="19"/>
    <x v="14"/>
    <x v="174"/>
    <x v="16"/>
    <x v="91"/>
    <x v="415"/>
    <x v="128"/>
    <x v="206"/>
    <x v="0"/>
  </r>
  <r>
    <x v="0"/>
    <x v="40"/>
    <x v="40"/>
    <x v="8"/>
    <x v="8"/>
    <x v="8"/>
    <x v="14"/>
    <x v="174"/>
    <x v="16"/>
    <x v="91"/>
    <x v="415"/>
    <x v="128"/>
    <x v="206"/>
    <x v="0"/>
  </r>
  <r>
    <x v="0"/>
    <x v="40"/>
    <x v="40"/>
    <x v="14"/>
    <x v="14"/>
    <x v="14"/>
    <x v="14"/>
    <x v="174"/>
    <x v="16"/>
    <x v="91"/>
    <x v="415"/>
    <x v="116"/>
    <x v="335"/>
    <x v="0"/>
  </r>
  <r>
    <x v="0"/>
    <x v="40"/>
    <x v="40"/>
    <x v="49"/>
    <x v="49"/>
    <x v="49"/>
    <x v="19"/>
    <x v="176"/>
    <x v="405"/>
    <x v="97"/>
    <x v="110"/>
    <x v="101"/>
    <x v="287"/>
    <x v="0"/>
  </r>
  <r>
    <x v="0"/>
    <x v="40"/>
    <x v="40"/>
    <x v="28"/>
    <x v="28"/>
    <x v="28"/>
    <x v="19"/>
    <x v="176"/>
    <x v="405"/>
    <x v="90"/>
    <x v="414"/>
    <x v="116"/>
    <x v="335"/>
    <x v="0"/>
  </r>
  <r>
    <x v="0"/>
    <x v="40"/>
    <x v="40"/>
    <x v="33"/>
    <x v="33"/>
    <x v="33"/>
    <x v="19"/>
    <x v="176"/>
    <x v="405"/>
    <x v="91"/>
    <x v="415"/>
    <x v="128"/>
    <x v="206"/>
    <x v="0"/>
  </r>
  <r>
    <x v="0"/>
    <x v="40"/>
    <x v="40"/>
    <x v="22"/>
    <x v="22"/>
    <x v="22"/>
    <x v="19"/>
    <x v="176"/>
    <x v="405"/>
    <x v="91"/>
    <x v="415"/>
    <x v="128"/>
    <x v="206"/>
    <x v="0"/>
  </r>
  <r>
    <x v="0"/>
    <x v="40"/>
    <x v="40"/>
    <x v="12"/>
    <x v="12"/>
    <x v="12"/>
    <x v="19"/>
    <x v="176"/>
    <x v="405"/>
    <x v="91"/>
    <x v="415"/>
    <x v="128"/>
    <x v="206"/>
    <x v="0"/>
  </r>
  <r>
    <x v="0"/>
    <x v="40"/>
    <x v="40"/>
    <x v="16"/>
    <x v="16"/>
    <x v="16"/>
    <x v="19"/>
    <x v="176"/>
    <x v="405"/>
    <x v="91"/>
    <x v="415"/>
    <x v="128"/>
    <x v="206"/>
    <x v="0"/>
  </r>
  <r>
    <x v="0"/>
    <x v="40"/>
    <x v="40"/>
    <x v="27"/>
    <x v="27"/>
    <x v="27"/>
    <x v="19"/>
    <x v="176"/>
    <x v="405"/>
    <x v="90"/>
    <x v="414"/>
    <x v="116"/>
    <x v="335"/>
    <x v="0"/>
  </r>
  <r>
    <x v="0"/>
    <x v="41"/>
    <x v="41"/>
    <x v="2"/>
    <x v="2"/>
    <x v="2"/>
    <x v="0"/>
    <x v="113"/>
    <x v="406"/>
    <x v="133"/>
    <x v="416"/>
    <x v="107"/>
    <x v="336"/>
    <x v="4"/>
  </r>
  <r>
    <x v="0"/>
    <x v="41"/>
    <x v="41"/>
    <x v="0"/>
    <x v="0"/>
    <x v="0"/>
    <x v="1"/>
    <x v="163"/>
    <x v="407"/>
    <x v="129"/>
    <x v="417"/>
    <x v="116"/>
    <x v="320"/>
    <x v="0"/>
  </r>
  <r>
    <x v="0"/>
    <x v="41"/>
    <x v="41"/>
    <x v="1"/>
    <x v="1"/>
    <x v="1"/>
    <x v="2"/>
    <x v="114"/>
    <x v="408"/>
    <x v="133"/>
    <x v="416"/>
    <x v="116"/>
    <x v="320"/>
    <x v="0"/>
  </r>
  <r>
    <x v="0"/>
    <x v="41"/>
    <x v="41"/>
    <x v="3"/>
    <x v="3"/>
    <x v="3"/>
    <x v="3"/>
    <x v="156"/>
    <x v="409"/>
    <x v="84"/>
    <x v="418"/>
    <x v="101"/>
    <x v="321"/>
    <x v="0"/>
  </r>
  <r>
    <x v="0"/>
    <x v="41"/>
    <x v="41"/>
    <x v="4"/>
    <x v="4"/>
    <x v="4"/>
    <x v="4"/>
    <x v="184"/>
    <x v="58"/>
    <x v="15"/>
    <x v="419"/>
    <x v="96"/>
    <x v="108"/>
    <x v="0"/>
  </r>
  <r>
    <x v="0"/>
    <x v="41"/>
    <x v="41"/>
    <x v="6"/>
    <x v="6"/>
    <x v="6"/>
    <x v="5"/>
    <x v="125"/>
    <x v="410"/>
    <x v="99"/>
    <x v="420"/>
    <x v="101"/>
    <x v="321"/>
    <x v="0"/>
  </r>
  <r>
    <x v="0"/>
    <x v="41"/>
    <x v="41"/>
    <x v="5"/>
    <x v="5"/>
    <x v="5"/>
    <x v="6"/>
    <x v="127"/>
    <x v="411"/>
    <x v="109"/>
    <x v="421"/>
    <x v="118"/>
    <x v="337"/>
    <x v="0"/>
  </r>
  <r>
    <x v="0"/>
    <x v="41"/>
    <x v="41"/>
    <x v="11"/>
    <x v="11"/>
    <x v="11"/>
    <x v="7"/>
    <x v="138"/>
    <x v="320"/>
    <x v="98"/>
    <x v="422"/>
    <x v="101"/>
    <x v="321"/>
    <x v="0"/>
  </r>
  <r>
    <x v="0"/>
    <x v="41"/>
    <x v="41"/>
    <x v="8"/>
    <x v="8"/>
    <x v="8"/>
    <x v="7"/>
    <x v="138"/>
    <x v="320"/>
    <x v="52"/>
    <x v="423"/>
    <x v="116"/>
    <x v="320"/>
    <x v="0"/>
  </r>
  <r>
    <x v="0"/>
    <x v="41"/>
    <x v="41"/>
    <x v="7"/>
    <x v="7"/>
    <x v="7"/>
    <x v="9"/>
    <x v="169"/>
    <x v="412"/>
    <x v="66"/>
    <x v="179"/>
    <x v="117"/>
    <x v="324"/>
    <x v="0"/>
  </r>
  <r>
    <x v="0"/>
    <x v="41"/>
    <x v="41"/>
    <x v="19"/>
    <x v="19"/>
    <x v="19"/>
    <x v="10"/>
    <x v="170"/>
    <x v="144"/>
    <x v="33"/>
    <x v="424"/>
    <x v="101"/>
    <x v="321"/>
    <x v="0"/>
  </r>
  <r>
    <x v="0"/>
    <x v="41"/>
    <x v="41"/>
    <x v="9"/>
    <x v="9"/>
    <x v="9"/>
    <x v="11"/>
    <x v="175"/>
    <x v="133"/>
    <x v="80"/>
    <x v="89"/>
    <x v="128"/>
    <x v="206"/>
    <x v="0"/>
  </r>
  <r>
    <x v="0"/>
    <x v="41"/>
    <x v="41"/>
    <x v="10"/>
    <x v="10"/>
    <x v="10"/>
    <x v="12"/>
    <x v="171"/>
    <x v="185"/>
    <x v="38"/>
    <x v="294"/>
    <x v="101"/>
    <x v="321"/>
    <x v="0"/>
  </r>
  <r>
    <x v="0"/>
    <x v="41"/>
    <x v="41"/>
    <x v="34"/>
    <x v="34"/>
    <x v="34"/>
    <x v="13"/>
    <x v="172"/>
    <x v="413"/>
    <x v="90"/>
    <x v="425"/>
    <x v="117"/>
    <x v="324"/>
    <x v="0"/>
  </r>
  <r>
    <x v="0"/>
    <x v="41"/>
    <x v="41"/>
    <x v="12"/>
    <x v="12"/>
    <x v="12"/>
    <x v="13"/>
    <x v="172"/>
    <x v="413"/>
    <x v="91"/>
    <x v="426"/>
    <x v="92"/>
    <x v="326"/>
    <x v="0"/>
  </r>
  <r>
    <x v="0"/>
    <x v="41"/>
    <x v="41"/>
    <x v="29"/>
    <x v="29"/>
    <x v="29"/>
    <x v="15"/>
    <x v="173"/>
    <x v="18"/>
    <x v="37"/>
    <x v="209"/>
    <x v="116"/>
    <x v="320"/>
    <x v="0"/>
  </r>
  <r>
    <x v="0"/>
    <x v="41"/>
    <x v="41"/>
    <x v="28"/>
    <x v="28"/>
    <x v="28"/>
    <x v="15"/>
    <x v="173"/>
    <x v="18"/>
    <x v="37"/>
    <x v="209"/>
    <x v="116"/>
    <x v="320"/>
    <x v="0"/>
  </r>
  <r>
    <x v="0"/>
    <x v="41"/>
    <x v="41"/>
    <x v="41"/>
    <x v="41"/>
    <x v="41"/>
    <x v="15"/>
    <x v="173"/>
    <x v="18"/>
    <x v="90"/>
    <x v="425"/>
    <x v="92"/>
    <x v="326"/>
    <x v="0"/>
  </r>
  <r>
    <x v="0"/>
    <x v="41"/>
    <x v="41"/>
    <x v="17"/>
    <x v="17"/>
    <x v="17"/>
    <x v="15"/>
    <x v="173"/>
    <x v="18"/>
    <x v="90"/>
    <x v="425"/>
    <x v="92"/>
    <x v="326"/>
    <x v="0"/>
  </r>
  <r>
    <x v="0"/>
    <x v="41"/>
    <x v="41"/>
    <x v="20"/>
    <x v="20"/>
    <x v="20"/>
    <x v="15"/>
    <x v="173"/>
    <x v="18"/>
    <x v="97"/>
    <x v="110"/>
    <x v="117"/>
    <x v="324"/>
    <x v="0"/>
  </r>
  <r>
    <x v="0"/>
    <x v="41"/>
    <x v="41"/>
    <x v="13"/>
    <x v="13"/>
    <x v="13"/>
    <x v="15"/>
    <x v="173"/>
    <x v="18"/>
    <x v="37"/>
    <x v="209"/>
    <x v="116"/>
    <x v="320"/>
    <x v="0"/>
  </r>
  <r>
    <x v="0"/>
    <x v="41"/>
    <x v="41"/>
    <x v="16"/>
    <x v="16"/>
    <x v="16"/>
    <x v="15"/>
    <x v="173"/>
    <x v="18"/>
    <x v="90"/>
    <x v="425"/>
    <x v="92"/>
    <x v="326"/>
    <x v="0"/>
  </r>
  <r>
    <x v="0"/>
    <x v="41"/>
    <x v="41"/>
    <x v="27"/>
    <x v="27"/>
    <x v="27"/>
    <x v="15"/>
    <x v="173"/>
    <x v="18"/>
    <x v="91"/>
    <x v="426"/>
    <x v="116"/>
    <x v="320"/>
    <x v="0"/>
  </r>
  <r>
    <x v="0"/>
    <x v="41"/>
    <x v="41"/>
    <x v="14"/>
    <x v="14"/>
    <x v="14"/>
    <x v="15"/>
    <x v="173"/>
    <x v="18"/>
    <x v="37"/>
    <x v="209"/>
    <x v="116"/>
    <x v="320"/>
    <x v="0"/>
  </r>
  <r>
    <x v="0"/>
    <x v="42"/>
    <x v="42"/>
    <x v="4"/>
    <x v="4"/>
    <x v="4"/>
    <x v="0"/>
    <x v="105"/>
    <x v="414"/>
    <x v="109"/>
    <x v="427"/>
    <x v="120"/>
    <x v="338"/>
    <x v="0"/>
  </r>
  <r>
    <x v="0"/>
    <x v="42"/>
    <x v="42"/>
    <x v="5"/>
    <x v="5"/>
    <x v="5"/>
    <x v="1"/>
    <x v="168"/>
    <x v="92"/>
    <x v="98"/>
    <x v="428"/>
    <x v="116"/>
    <x v="123"/>
    <x v="0"/>
  </r>
  <r>
    <x v="0"/>
    <x v="42"/>
    <x v="42"/>
    <x v="2"/>
    <x v="2"/>
    <x v="2"/>
    <x v="2"/>
    <x v="167"/>
    <x v="220"/>
    <x v="52"/>
    <x v="429"/>
    <x v="116"/>
    <x v="123"/>
    <x v="0"/>
  </r>
  <r>
    <x v="0"/>
    <x v="42"/>
    <x v="42"/>
    <x v="6"/>
    <x v="6"/>
    <x v="6"/>
    <x v="3"/>
    <x v="169"/>
    <x v="221"/>
    <x v="121"/>
    <x v="430"/>
    <x v="116"/>
    <x v="123"/>
    <x v="0"/>
  </r>
  <r>
    <x v="0"/>
    <x v="42"/>
    <x v="42"/>
    <x v="0"/>
    <x v="0"/>
    <x v="0"/>
    <x v="4"/>
    <x v="175"/>
    <x v="415"/>
    <x v="80"/>
    <x v="431"/>
    <x v="128"/>
    <x v="206"/>
    <x v="0"/>
  </r>
  <r>
    <x v="0"/>
    <x v="42"/>
    <x v="42"/>
    <x v="1"/>
    <x v="1"/>
    <x v="1"/>
    <x v="5"/>
    <x v="172"/>
    <x v="223"/>
    <x v="66"/>
    <x v="432"/>
    <x v="128"/>
    <x v="206"/>
    <x v="0"/>
  </r>
  <r>
    <x v="0"/>
    <x v="42"/>
    <x v="42"/>
    <x v="7"/>
    <x v="7"/>
    <x v="7"/>
    <x v="6"/>
    <x v="174"/>
    <x v="225"/>
    <x v="37"/>
    <x v="433"/>
    <x v="128"/>
    <x v="206"/>
    <x v="0"/>
  </r>
  <r>
    <x v="0"/>
    <x v="42"/>
    <x v="42"/>
    <x v="28"/>
    <x v="28"/>
    <x v="28"/>
    <x v="6"/>
    <x v="174"/>
    <x v="225"/>
    <x v="91"/>
    <x v="434"/>
    <x v="116"/>
    <x v="123"/>
    <x v="0"/>
  </r>
  <r>
    <x v="0"/>
    <x v="42"/>
    <x v="42"/>
    <x v="11"/>
    <x v="11"/>
    <x v="11"/>
    <x v="6"/>
    <x v="174"/>
    <x v="225"/>
    <x v="37"/>
    <x v="433"/>
    <x v="128"/>
    <x v="206"/>
    <x v="0"/>
  </r>
  <r>
    <x v="0"/>
    <x v="42"/>
    <x v="42"/>
    <x v="12"/>
    <x v="12"/>
    <x v="12"/>
    <x v="6"/>
    <x v="174"/>
    <x v="225"/>
    <x v="90"/>
    <x v="435"/>
    <x v="101"/>
    <x v="221"/>
    <x v="0"/>
  </r>
  <r>
    <x v="0"/>
    <x v="42"/>
    <x v="42"/>
    <x v="8"/>
    <x v="8"/>
    <x v="8"/>
    <x v="6"/>
    <x v="174"/>
    <x v="225"/>
    <x v="91"/>
    <x v="434"/>
    <x v="128"/>
    <x v="206"/>
    <x v="0"/>
  </r>
  <r>
    <x v="0"/>
    <x v="42"/>
    <x v="42"/>
    <x v="3"/>
    <x v="3"/>
    <x v="3"/>
    <x v="11"/>
    <x v="176"/>
    <x v="226"/>
    <x v="97"/>
    <x v="110"/>
    <x v="101"/>
    <x v="221"/>
    <x v="0"/>
  </r>
  <r>
    <x v="0"/>
    <x v="42"/>
    <x v="42"/>
    <x v="27"/>
    <x v="27"/>
    <x v="27"/>
    <x v="11"/>
    <x v="176"/>
    <x v="226"/>
    <x v="97"/>
    <x v="110"/>
    <x v="101"/>
    <x v="221"/>
    <x v="0"/>
  </r>
  <r>
    <x v="0"/>
    <x v="42"/>
    <x v="42"/>
    <x v="29"/>
    <x v="29"/>
    <x v="29"/>
    <x v="13"/>
    <x v="178"/>
    <x v="228"/>
    <x v="97"/>
    <x v="110"/>
    <x v="116"/>
    <x v="123"/>
    <x v="0"/>
  </r>
  <r>
    <x v="0"/>
    <x v="42"/>
    <x v="42"/>
    <x v="41"/>
    <x v="41"/>
    <x v="41"/>
    <x v="13"/>
    <x v="178"/>
    <x v="228"/>
    <x v="97"/>
    <x v="110"/>
    <x v="116"/>
    <x v="123"/>
    <x v="0"/>
  </r>
  <r>
    <x v="0"/>
    <x v="42"/>
    <x v="42"/>
    <x v="32"/>
    <x v="32"/>
    <x v="32"/>
    <x v="13"/>
    <x v="178"/>
    <x v="228"/>
    <x v="97"/>
    <x v="110"/>
    <x v="116"/>
    <x v="123"/>
    <x v="0"/>
  </r>
  <r>
    <x v="0"/>
    <x v="42"/>
    <x v="42"/>
    <x v="40"/>
    <x v="40"/>
    <x v="40"/>
    <x v="13"/>
    <x v="178"/>
    <x v="228"/>
    <x v="90"/>
    <x v="435"/>
    <x v="128"/>
    <x v="206"/>
    <x v="0"/>
  </r>
  <r>
    <x v="0"/>
    <x v="42"/>
    <x v="42"/>
    <x v="17"/>
    <x v="17"/>
    <x v="17"/>
    <x v="13"/>
    <x v="178"/>
    <x v="228"/>
    <x v="97"/>
    <x v="110"/>
    <x v="116"/>
    <x v="123"/>
    <x v="0"/>
  </r>
  <r>
    <x v="0"/>
    <x v="42"/>
    <x v="42"/>
    <x v="20"/>
    <x v="20"/>
    <x v="20"/>
    <x v="13"/>
    <x v="178"/>
    <x v="228"/>
    <x v="90"/>
    <x v="435"/>
    <x v="128"/>
    <x v="206"/>
    <x v="0"/>
  </r>
  <r>
    <x v="0"/>
    <x v="42"/>
    <x v="42"/>
    <x v="26"/>
    <x v="26"/>
    <x v="26"/>
    <x v="13"/>
    <x v="178"/>
    <x v="228"/>
    <x v="97"/>
    <x v="110"/>
    <x v="116"/>
    <x v="123"/>
    <x v="0"/>
  </r>
  <r>
    <x v="0"/>
    <x v="42"/>
    <x v="42"/>
    <x v="13"/>
    <x v="13"/>
    <x v="13"/>
    <x v="13"/>
    <x v="178"/>
    <x v="228"/>
    <x v="90"/>
    <x v="435"/>
    <x v="128"/>
    <x v="206"/>
    <x v="0"/>
  </r>
  <r>
    <x v="0"/>
    <x v="42"/>
    <x v="42"/>
    <x v="19"/>
    <x v="19"/>
    <x v="19"/>
    <x v="13"/>
    <x v="178"/>
    <x v="228"/>
    <x v="90"/>
    <x v="435"/>
    <x v="128"/>
    <x v="206"/>
    <x v="0"/>
  </r>
  <r>
    <x v="0"/>
    <x v="42"/>
    <x v="42"/>
    <x v="46"/>
    <x v="46"/>
    <x v="46"/>
    <x v="13"/>
    <x v="178"/>
    <x v="228"/>
    <x v="97"/>
    <x v="110"/>
    <x v="116"/>
    <x v="123"/>
    <x v="0"/>
  </r>
  <r>
    <x v="0"/>
    <x v="42"/>
    <x v="42"/>
    <x v="9"/>
    <x v="9"/>
    <x v="9"/>
    <x v="13"/>
    <x v="178"/>
    <x v="228"/>
    <x v="90"/>
    <x v="435"/>
    <x v="128"/>
    <x v="206"/>
    <x v="0"/>
  </r>
  <r>
    <x v="0"/>
    <x v="42"/>
    <x v="42"/>
    <x v="14"/>
    <x v="14"/>
    <x v="14"/>
    <x v="13"/>
    <x v="178"/>
    <x v="228"/>
    <x v="90"/>
    <x v="435"/>
    <x v="128"/>
    <x v="206"/>
    <x v="0"/>
  </r>
  <r>
    <x v="0"/>
    <x v="43"/>
    <x v="43"/>
    <x v="0"/>
    <x v="0"/>
    <x v="0"/>
    <x v="0"/>
    <x v="166"/>
    <x v="416"/>
    <x v="85"/>
    <x v="436"/>
    <x v="117"/>
    <x v="339"/>
    <x v="0"/>
  </r>
  <r>
    <x v="0"/>
    <x v="43"/>
    <x v="43"/>
    <x v="2"/>
    <x v="2"/>
    <x v="2"/>
    <x v="1"/>
    <x v="53"/>
    <x v="417"/>
    <x v="84"/>
    <x v="437"/>
    <x v="95"/>
    <x v="340"/>
    <x v="0"/>
  </r>
  <r>
    <x v="0"/>
    <x v="43"/>
    <x v="43"/>
    <x v="4"/>
    <x v="4"/>
    <x v="4"/>
    <x v="2"/>
    <x v="112"/>
    <x v="165"/>
    <x v="108"/>
    <x v="438"/>
    <x v="93"/>
    <x v="341"/>
    <x v="0"/>
  </r>
  <r>
    <x v="0"/>
    <x v="43"/>
    <x v="43"/>
    <x v="1"/>
    <x v="1"/>
    <x v="1"/>
    <x v="2"/>
    <x v="112"/>
    <x v="165"/>
    <x v="135"/>
    <x v="439"/>
    <x v="107"/>
    <x v="68"/>
    <x v="0"/>
  </r>
  <r>
    <x v="0"/>
    <x v="43"/>
    <x v="43"/>
    <x v="6"/>
    <x v="6"/>
    <x v="6"/>
    <x v="4"/>
    <x v="134"/>
    <x v="326"/>
    <x v="35"/>
    <x v="440"/>
    <x v="117"/>
    <x v="339"/>
    <x v="0"/>
  </r>
  <r>
    <x v="0"/>
    <x v="43"/>
    <x v="43"/>
    <x v="5"/>
    <x v="5"/>
    <x v="5"/>
    <x v="5"/>
    <x v="163"/>
    <x v="418"/>
    <x v="118"/>
    <x v="441"/>
    <x v="51"/>
    <x v="342"/>
    <x v="0"/>
  </r>
  <r>
    <x v="0"/>
    <x v="43"/>
    <x v="43"/>
    <x v="3"/>
    <x v="3"/>
    <x v="3"/>
    <x v="6"/>
    <x v="104"/>
    <x v="419"/>
    <x v="108"/>
    <x v="438"/>
    <x v="120"/>
    <x v="343"/>
    <x v="0"/>
  </r>
  <r>
    <x v="0"/>
    <x v="43"/>
    <x v="43"/>
    <x v="10"/>
    <x v="10"/>
    <x v="10"/>
    <x v="7"/>
    <x v="126"/>
    <x v="420"/>
    <x v="52"/>
    <x v="238"/>
    <x v="51"/>
    <x v="342"/>
    <x v="0"/>
  </r>
  <r>
    <x v="0"/>
    <x v="43"/>
    <x v="43"/>
    <x v="9"/>
    <x v="9"/>
    <x v="9"/>
    <x v="8"/>
    <x v="127"/>
    <x v="320"/>
    <x v="96"/>
    <x v="385"/>
    <x v="92"/>
    <x v="344"/>
    <x v="0"/>
  </r>
  <r>
    <x v="0"/>
    <x v="43"/>
    <x v="43"/>
    <x v="28"/>
    <x v="28"/>
    <x v="28"/>
    <x v="9"/>
    <x v="150"/>
    <x v="100"/>
    <x v="98"/>
    <x v="383"/>
    <x v="118"/>
    <x v="53"/>
    <x v="0"/>
  </r>
  <r>
    <x v="0"/>
    <x v="43"/>
    <x v="43"/>
    <x v="7"/>
    <x v="7"/>
    <x v="7"/>
    <x v="10"/>
    <x v="136"/>
    <x v="48"/>
    <x v="80"/>
    <x v="442"/>
    <x v="96"/>
    <x v="345"/>
    <x v="0"/>
  </r>
  <r>
    <x v="0"/>
    <x v="43"/>
    <x v="43"/>
    <x v="12"/>
    <x v="12"/>
    <x v="12"/>
    <x v="11"/>
    <x v="137"/>
    <x v="207"/>
    <x v="33"/>
    <x v="128"/>
    <x v="96"/>
    <x v="345"/>
    <x v="0"/>
  </r>
  <r>
    <x v="0"/>
    <x v="43"/>
    <x v="43"/>
    <x v="8"/>
    <x v="8"/>
    <x v="8"/>
    <x v="12"/>
    <x v="138"/>
    <x v="328"/>
    <x v="37"/>
    <x v="443"/>
    <x v="101"/>
    <x v="98"/>
    <x v="0"/>
  </r>
  <r>
    <x v="0"/>
    <x v="43"/>
    <x v="43"/>
    <x v="14"/>
    <x v="14"/>
    <x v="14"/>
    <x v="13"/>
    <x v="168"/>
    <x v="421"/>
    <x v="80"/>
    <x v="442"/>
    <x v="117"/>
    <x v="339"/>
    <x v="0"/>
  </r>
  <r>
    <x v="0"/>
    <x v="43"/>
    <x v="43"/>
    <x v="16"/>
    <x v="16"/>
    <x v="16"/>
    <x v="14"/>
    <x v="169"/>
    <x v="185"/>
    <x v="66"/>
    <x v="7"/>
    <x v="117"/>
    <x v="339"/>
    <x v="0"/>
  </r>
  <r>
    <x v="0"/>
    <x v="43"/>
    <x v="43"/>
    <x v="17"/>
    <x v="17"/>
    <x v="17"/>
    <x v="15"/>
    <x v="170"/>
    <x v="105"/>
    <x v="91"/>
    <x v="444"/>
    <x v="120"/>
    <x v="343"/>
    <x v="0"/>
  </r>
  <r>
    <x v="0"/>
    <x v="43"/>
    <x v="43"/>
    <x v="50"/>
    <x v="50"/>
    <x v="50"/>
    <x v="16"/>
    <x v="175"/>
    <x v="53"/>
    <x v="80"/>
    <x v="442"/>
    <x v="128"/>
    <x v="206"/>
    <x v="0"/>
  </r>
  <r>
    <x v="0"/>
    <x v="43"/>
    <x v="43"/>
    <x v="27"/>
    <x v="27"/>
    <x v="27"/>
    <x v="16"/>
    <x v="175"/>
    <x v="53"/>
    <x v="97"/>
    <x v="110"/>
    <x v="96"/>
    <x v="345"/>
    <x v="0"/>
  </r>
  <r>
    <x v="0"/>
    <x v="43"/>
    <x v="43"/>
    <x v="19"/>
    <x v="19"/>
    <x v="19"/>
    <x v="16"/>
    <x v="175"/>
    <x v="53"/>
    <x v="91"/>
    <x v="444"/>
    <x v="118"/>
    <x v="53"/>
    <x v="0"/>
  </r>
  <r>
    <x v="0"/>
    <x v="43"/>
    <x v="43"/>
    <x v="22"/>
    <x v="22"/>
    <x v="22"/>
    <x v="19"/>
    <x v="171"/>
    <x v="18"/>
    <x v="37"/>
    <x v="443"/>
    <x v="92"/>
    <x v="344"/>
    <x v="0"/>
  </r>
  <r>
    <x v="0"/>
    <x v="43"/>
    <x v="43"/>
    <x v="11"/>
    <x v="11"/>
    <x v="11"/>
    <x v="19"/>
    <x v="171"/>
    <x v="18"/>
    <x v="37"/>
    <x v="443"/>
    <x v="92"/>
    <x v="344"/>
    <x v="0"/>
  </r>
  <r>
    <x v="0"/>
    <x v="44"/>
    <x v="44"/>
    <x v="4"/>
    <x v="4"/>
    <x v="4"/>
    <x v="0"/>
    <x v="103"/>
    <x v="422"/>
    <x v="108"/>
    <x v="445"/>
    <x v="106"/>
    <x v="346"/>
    <x v="0"/>
  </r>
  <r>
    <x v="0"/>
    <x v="44"/>
    <x v="44"/>
    <x v="5"/>
    <x v="5"/>
    <x v="5"/>
    <x v="1"/>
    <x v="115"/>
    <x v="423"/>
    <x v="96"/>
    <x v="446"/>
    <x v="96"/>
    <x v="316"/>
    <x v="0"/>
  </r>
  <r>
    <x v="0"/>
    <x v="44"/>
    <x v="44"/>
    <x v="0"/>
    <x v="0"/>
    <x v="0"/>
    <x v="2"/>
    <x v="144"/>
    <x v="424"/>
    <x v="96"/>
    <x v="446"/>
    <x v="116"/>
    <x v="344"/>
    <x v="0"/>
  </r>
  <r>
    <x v="0"/>
    <x v="44"/>
    <x v="44"/>
    <x v="6"/>
    <x v="6"/>
    <x v="6"/>
    <x v="3"/>
    <x v="137"/>
    <x v="401"/>
    <x v="131"/>
    <x v="447"/>
    <x v="101"/>
    <x v="343"/>
    <x v="0"/>
  </r>
  <r>
    <x v="0"/>
    <x v="44"/>
    <x v="44"/>
    <x v="1"/>
    <x v="1"/>
    <x v="1"/>
    <x v="4"/>
    <x v="168"/>
    <x v="402"/>
    <x v="121"/>
    <x v="448"/>
    <x v="92"/>
    <x v="347"/>
    <x v="0"/>
  </r>
  <r>
    <x v="0"/>
    <x v="44"/>
    <x v="44"/>
    <x v="7"/>
    <x v="7"/>
    <x v="7"/>
    <x v="5"/>
    <x v="167"/>
    <x v="425"/>
    <x v="38"/>
    <x v="254"/>
    <x v="120"/>
    <x v="348"/>
    <x v="0"/>
  </r>
  <r>
    <x v="0"/>
    <x v="44"/>
    <x v="44"/>
    <x v="8"/>
    <x v="8"/>
    <x v="8"/>
    <x v="6"/>
    <x v="169"/>
    <x v="79"/>
    <x v="80"/>
    <x v="449"/>
    <x v="116"/>
    <x v="344"/>
    <x v="0"/>
  </r>
  <r>
    <x v="0"/>
    <x v="44"/>
    <x v="44"/>
    <x v="12"/>
    <x v="12"/>
    <x v="12"/>
    <x v="7"/>
    <x v="171"/>
    <x v="46"/>
    <x v="37"/>
    <x v="450"/>
    <x v="101"/>
    <x v="343"/>
    <x v="4"/>
  </r>
  <r>
    <x v="0"/>
    <x v="44"/>
    <x v="44"/>
    <x v="9"/>
    <x v="9"/>
    <x v="9"/>
    <x v="7"/>
    <x v="171"/>
    <x v="46"/>
    <x v="33"/>
    <x v="451"/>
    <x v="128"/>
    <x v="206"/>
    <x v="0"/>
  </r>
  <r>
    <x v="0"/>
    <x v="44"/>
    <x v="44"/>
    <x v="10"/>
    <x v="10"/>
    <x v="10"/>
    <x v="9"/>
    <x v="172"/>
    <x v="67"/>
    <x v="38"/>
    <x v="254"/>
    <x v="116"/>
    <x v="344"/>
    <x v="0"/>
  </r>
  <r>
    <x v="0"/>
    <x v="44"/>
    <x v="44"/>
    <x v="2"/>
    <x v="2"/>
    <x v="2"/>
    <x v="9"/>
    <x v="172"/>
    <x v="67"/>
    <x v="37"/>
    <x v="450"/>
    <x v="101"/>
    <x v="343"/>
    <x v="0"/>
  </r>
  <r>
    <x v="0"/>
    <x v="44"/>
    <x v="44"/>
    <x v="19"/>
    <x v="19"/>
    <x v="19"/>
    <x v="9"/>
    <x v="172"/>
    <x v="67"/>
    <x v="37"/>
    <x v="450"/>
    <x v="101"/>
    <x v="343"/>
    <x v="0"/>
  </r>
  <r>
    <x v="0"/>
    <x v="44"/>
    <x v="44"/>
    <x v="14"/>
    <x v="14"/>
    <x v="14"/>
    <x v="9"/>
    <x v="172"/>
    <x v="67"/>
    <x v="66"/>
    <x v="452"/>
    <x v="128"/>
    <x v="206"/>
    <x v="0"/>
  </r>
  <r>
    <x v="0"/>
    <x v="44"/>
    <x v="44"/>
    <x v="39"/>
    <x v="39"/>
    <x v="39"/>
    <x v="13"/>
    <x v="173"/>
    <x v="404"/>
    <x v="97"/>
    <x v="110"/>
    <x v="117"/>
    <x v="349"/>
    <x v="0"/>
  </r>
  <r>
    <x v="0"/>
    <x v="44"/>
    <x v="44"/>
    <x v="56"/>
    <x v="56"/>
    <x v="56"/>
    <x v="13"/>
    <x v="173"/>
    <x v="404"/>
    <x v="90"/>
    <x v="453"/>
    <x v="92"/>
    <x v="347"/>
    <x v="0"/>
  </r>
  <r>
    <x v="0"/>
    <x v="44"/>
    <x v="44"/>
    <x v="30"/>
    <x v="30"/>
    <x v="30"/>
    <x v="15"/>
    <x v="174"/>
    <x v="16"/>
    <x v="90"/>
    <x v="453"/>
    <x v="101"/>
    <x v="343"/>
    <x v="0"/>
  </r>
  <r>
    <x v="0"/>
    <x v="44"/>
    <x v="44"/>
    <x v="25"/>
    <x v="25"/>
    <x v="25"/>
    <x v="15"/>
    <x v="174"/>
    <x v="16"/>
    <x v="90"/>
    <x v="453"/>
    <x v="116"/>
    <x v="344"/>
    <x v="0"/>
  </r>
  <r>
    <x v="0"/>
    <x v="44"/>
    <x v="44"/>
    <x v="28"/>
    <x v="28"/>
    <x v="28"/>
    <x v="17"/>
    <x v="176"/>
    <x v="405"/>
    <x v="91"/>
    <x v="294"/>
    <x v="128"/>
    <x v="206"/>
    <x v="0"/>
  </r>
  <r>
    <x v="0"/>
    <x v="44"/>
    <x v="44"/>
    <x v="41"/>
    <x v="41"/>
    <x v="41"/>
    <x v="17"/>
    <x v="176"/>
    <x v="405"/>
    <x v="90"/>
    <x v="453"/>
    <x v="116"/>
    <x v="344"/>
    <x v="0"/>
  </r>
  <r>
    <x v="0"/>
    <x v="44"/>
    <x v="44"/>
    <x v="32"/>
    <x v="32"/>
    <x v="32"/>
    <x v="17"/>
    <x v="176"/>
    <x v="405"/>
    <x v="97"/>
    <x v="110"/>
    <x v="101"/>
    <x v="343"/>
    <x v="0"/>
  </r>
  <r>
    <x v="0"/>
    <x v="44"/>
    <x v="44"/>
    <x v="31"/>
    <x v="31"/>
    <x v="31"/>
    <x v="17"/>
    <x v="176"/>
    <x v="405"/>
    <x v="90"/>
    <x v="453"/>
    <x v="116"/>
    <x v="344"/>
    <x v="0"/>
  </r>
  <r>
    <x v="0"/>
    <x v="44"/>
    <x v="44"/>
    <x v="43"/>
    <x v="43"/>
    <x v="43"/>
    <x v="17"/>
    <x v="176"/>
    <x v="405"/>
    <x v="90"/>
    <x v="453"/>
    <x v="116"/>
    <x v="344"/>
    <x v="0"/>
  </r>
  <r>
    <x v="0"/>
    <x v="44"/>
    <x v="44"/>
    <x v="44"/>
    <x v="44"/>
    <x v="44"/>
    <x v="17"/>
    <x v="176"/>
    <x v="405"/>
    <x v="97"/>
    <x v="110"/>
    <x v="128"/>
    <x v="206"/>
    <x v="0"/>
  </r>
  <r>
    <x v="0"/>
    <x v="44"/>
    <x v="44"/>
    <x v="69"/>
    <x v="69"/>
    <x v="69"/>
    <x v="17"/>
    <x v="176"/>
    <x v="405"/>
    <x v="97"/>
    <x v="110"/>
    <x v="101"/>
    <x v="343"/>
    <x v="0"/>
  </r>
  <r>
    <x v="0"/>
    <x v="44"/>
    <x v="44"/>
    <x v="17"/>
    <x v="17"/>
    <x v="17"/>
    <x v="17"/>
    <x v="176"/>
    <x v="405"/>
    <x v="90"/>
    <x v="453"/>
    <x v="116"/>
    <x v="344"/>
    <x v="0"/>
  </r>
  <r>
    <x v="0"/>
    <x v="44"/>
    <x v="44"/>
    <x v="18"/>
    <x v="18"/>
    <x v="18"/>
    <x v="17"/>
    <x v="176"/>
    <x v="405"/>
    <x v="97"/>
    <x v="110"/>
    <x v="101"/>
    <x v="343"/>
    <x v="0"/>
  </r>
  <r>
    <x v="0"/>
    <x v="44"/>
    <x v="44"/>
    <x v="23"/>
    <x v="23"/>
    <x v="23"/>
    <x v="17"/>
    <x v="176"/>
    <x v="405"/>
    <x v="90"/>
    <x v="453"/>
    <x v="116"/>
    <x v="344"/>
    <x v="0"/>
  </r>
  <r>
    <x v="0"/>
    <x v="44"/>
    <x v="44"/>
    <x v="11"/>
    <x v="11"/>
    <x v="11"/>
    <x v="17"/>
    <x v="176"/>
    <x v="405"/>
    <x v="91"/>
    <x v="294"/>
    <x v="128"/>
    <x v="206"/>
    <x v="0"/>
  </r>
  <r>
    <x v="0"/>
    <x v="44"/>
    <x v="44"/>
    <x v="20"/>
    <x v="20"/>
    <x v="20"/>
    <x v="17"/>
    <x v="176"/>
    <x v="405"/>
    <x v="91"/>
    <x v="294"/>
    <x v="128"/>
    <x v="206"/>
    <x v="0"/>
  </r>
  <r>
    <x v="0"/>
    <x v="44"/>
    <x v="44"/>
    <x v="16"/>
    <x v="16"/>
    <x v="16"/>
    <x v="17"/>
    <x v="176"/>
    <x v="405"/>
    <x v="91"/>
    <x v="294"/>
    <x v="128"/>
    <x v="206"/>
    <x v="0"/>
  </r>
  <r>
    <x v="0"/>
    <x v="44"/>
    <x v="44"/>
    <x v="15"/>
    <x v="15"/>
    <x v="15"/>
    <x v="17"/>
    <x v="176"/>
    <x v="405"/>
    <x v="97"/>
    <x v="110"/>
    <x v="128"/>
    <x v="206"/>
    <x v="0"/>
  </r>
  <r>
    <x v="0"/>
    <x v="45"/>
    <x v="45"/>
    <x v="6"/>
    <x v="6"/>
    <x v="6"/>
    <x v="0"/>
    <x v="126"/>
    <x v="426"/>
    <x v="113"/>
    <x v="454"/>
    <x v="128"/>
    <x v="206"/>
    <x v="0"/>
  </r>
  <r>
    <x v="0"/>
    <x v="45"/>
    <x v="45"/>
    <x v="0"/>
    <x v="0"/>
    <x v="0"/>
    <x v="1"/>
    <x v="105"/>
    <x v="173"/>
    <x v="15"/>
    <x v="455"/>
    <x v="128"/>
    <x v="206"/>
    <x v="0"/>
  </r>
  <r>
    <x v="0"/>
    <x v="45"/>
    <x v="45"/>
    <x v="4"/>
    <x v="4"/>
    <x v="4"/>
    <x v="2"/>
    <x v="127"/>
    <x v="427"/>
    <x v="66"/>
    <x v="456"/>
    <x v="114"/>
    <x v="350"/>
    <x v="0"/>
  </r>
  <r>
    <x v="0"/>
    <x v="45"/>
    <x v="45"/>
    <x v="5"/>
    <x v="5"/>
    <x v="5"/>
    <x v="3"/>
    <x v="144"/>
    <x v="399"/>
    <x v="121"/>
    <x v="259"/>
    <x v="107"/>
    <x v="351"/>
    <x v="0"/>
  </r>
  <r>
    <x v="0"/>
    <x v="45"/>
    <x v="45"/>
    <x v="1"/>
    <x v="1"/>
    <x v="1"/>
    <x v="4"/>
    <x v="138"/>
    <x v="428"/>
    <x v="131"/>
    <x v="457"/>
    <x v="116"/>
    <x v="352"/>
    <x v="0"/>
  </r>
  <r>
    <x v="0"/>
    <x v="45"/>
    <x v="45"/>
    <x v="28"/>
    <x v="28"/>
    <x v="28"/>
    <x v="5"/>
    <x v="167"/>
    <x v="429"/>
    <x v="33"/>
    <x v="458"/>
    <x v="117"/>
    <x v="353"/>
    <x v="0"/>
  </r>
  <r>
    <x v="0"/>
    <x v="45"/>
    <x v="45"/>
    <x v="2"/>
    <x v="2"/>
    <x v="2"/>
    <x v="5"/>
    <x v="167"/>
    <x v="429"/>
    <x v="33"/>
    <x v="458"/>
    <x v="117"/>
    <x v="353"/>
    <x v="0"/>
  </r>
  <r>
    <x v="0"/>
    <x v="45"/>
    <x v="45"/>
    <x v="7"/>
    <x v="7"/>
    <x v="7"/>
    <x v="7"/>
    <x v="175"/>
    <x v="24"/>
    <x v="37"/>
    <x v="123"/>
    <x v="117"/>
    <x v="353"/>
    <x v="0"/>
  </r>
  <r>
    <x v="0"/>
    <x v="45"/>
    <x v="45"/>
    <x v="14"/>
    <x v="14"/>
    <x v="14"/>
    <x v="7"/>
    <x v="175"/>
    <x v="24"/>
    <x v="37"/>
    <x v="123"/>
    <x v="117"/>
    <x v="353"/>
    <x v="0"/>
  </r>
  <r>
    <x v="0"/>
    <x v="45"/>
    <x v="45"/>
    <x v="27"/>
    <x v="27"/>
    <x v="27"/>
    <x v="9"/>
    <x v="172"/>
    <x v="167"/>
    <x v="91"/>
    <x v="125"/>
    <x v="101"/>
    <x v="109"/>
    <x v="0"/>
  </r>
  <r>
    <x v="0"/>
    <x v="45"/>
    <x v="45"/>
    <x v="41"/>
    <x v="41"/>
    <x v="41"/>
    <x v="10"/>
    <x v="174"/>
    <x v="430"/>
    <x v="90"/>
    <x v="459"/>
    <x v="101"/>
    <x v="109"/>
    <x v="0"/>
  </r>
  <r>
    <x v="0"/>
    <x v="45"/>
    <x v="45"/>
    <x v="44"/>
    <x v="44"/>
    <x v="44"/>
    <x v="10"/>
    <x v="174"/>
    <x v="430"/>
    <x v="97"/>
    <x v="110"/>
    <x v="128"/>
    <x v="206"/>
    <x v="0"/>
  </r>
  <r>
    <x v="0"/>
    <x v="45"/>
    <x v="45"/>
    <x v="40"/>
    <x v="40"/>
    <x v="40"/>
    <x v="12"/>
    <x v="176"/>
    <x v="107"/>
    <x v="97"/>
    <x v="110"/>
    <x v="101"/>
    <x v="109"/>
    <x v="0"/>
  </r>
  <r>
    <x v="0"/>
    <x v="45"/>
    <x v="45"/>
    <x v="10"/>
    <x v="10"/>
    <x v="10"/>
    <x v="12"/>
    <x v="176"/>
    <x v="107"/>
    <x v="91"/>
    <x v="125"/>
    <x v="128"/>
    <x v="206"/>
    <x v="0"/>
  </r>
  <r>
    <x v="0"/>
    <x v="45"/>
    <x v="45"/>
    <x v="13"/>
    <x v="13"/>
    <x v="13"/>
    <x v="12"/>
    <x v="176"/>
    <x v="107"/>
    <x v="91"/>
    <x v="125"/>
    <x v="128"/>
    <x v="206"/>
    <x v="0"/>
  </r>
  <r>
    <x v="0"/>
    <x v="45"/>
    <x v="45"/>
    <x v="12"/>
    <x v="12"/>
    <x v="12"/>
    <x v="12"/>
    <x v="176"/>
    <x v="107"/>
    <x v="90"/>
    <x v="459"/>
    <x v="128"/>
    <x v="206"/>
    <x v="0"/>
  </r>
  <r>
    <x v="0"/>
    <x v="45"/>
    <x v="45"/>
    <x v="9"/>
    <x v="9"/>
    <x v="9"/>
    <x v="12"/>
    <x v="176"/>
    <x v="107"/>
    <x v="91"/>
    <x v="125"/>
    <x v="128"/>
    <x v="206"/>
    <x v="0"/>
  </r>
  <r>
    <x v="0"/>
    <x v="45"/>
    <x v="45"/>
    <x v="29"/>
    <x v="29"/>
    <x v="29"/>
    <x v="17"/>
    <x v="178"/>
    <x v="431"/>
    <x v="97"/>
    <x v="110"/>
    <x v="116"/>
    <x v="352"/>
    <x v="0"/>
  </r>
  <r>
    <x v="0"/>
    <x v="45"/>
    <x v="45"/>
    <x v="49"/>
    <x v="49"/>
    <x v="49"/>
    <x v="17"/>
    <x v="178"/>
    <x v="431"/>
    <x v="97"/>
    <x v="110"/>
    <x v="116"/>
    <x v="352"/>
    <x v="0"/>
  </r>
  <r>
    <x v="0"/>
    <x v="45"/>
    <x v="45"/>
    <x v="33"/>
    <x v="33"/>
    <x v="33"/>
    <x v="17"/>
    <x v="178"/>
    <x v="431"/>
    <x v="90"/>
    <x v="459"/>
    <x v="128"/>
    <x v="206"/>
    <x v="0"/>
  </r>
  <r>
    <x v="0"/>
    <x v="45"/>
    <x v="45"/>
    <x v="61"/>
    <x v="61"/>
    <x v="61"/>
    <x v="17"/>
    <x v="178"/>
    <x v="431"/>
    <x v="97"/>
    <x v="110"/>
    <x v="116"/>
    <x v="352"/>
    <x v="0"/>
  </r>
  <r>
    <x v="0"/>
    <x v="45"/>
    <x v="45"/>
    <x v="39"/>
    <x v="39"/>
    <x v="39"/>
    <x v="17"/>
    <x v="178"/>
    <x v="431"/>
    <x v="97"/>
    <x v="110"/>
    <x v="116"/>
    <x v="352"/>
    <x v="0"/>
  </r>
  <r>
    <x v="0"/>
    <x v="45"/>
    <x v="45"/>
    <x v="30"/>
    <x v="30"/>
    <x v="30"/>
    <x v="17"/>
    <x v="178"/>
    <x v="431"/>
    <x v="97"/>
    <x v="110"/>
    <x v="116"/>
    <x v="352"/>
    <x v="0"/>
  </r>
  <r>
    <x v="0"/>
    <x v="45"/>
    <x v="45"/>
    <x v="31"/>
    <x v="31"/>
    <x v="31"/>
    <x v="17"/>
    <x v="178"/>
    <x v="431"/>
    <x v="97"/>
    <x v="110"/>
    <x v="116"/>
    <x v="352"/>
    <x v="0"/>
  </r>
  <r>
    <x v="0"/>
    <x v="45"/>
    <x v="45"/>
    <x v="51"/>
    <x v="51"/>
    <x v="51"/>
    <x v="17"/>
    <x v="178"/>
    <x v="431"/>
    <x v="97"/>
    <x v="110"/>
    <x v="116"/>
    <x v="352"/>
    <x v="0"/>
  </r>
  <r>
    <x v="0"/>
    <x v="45"/>
    <x v="45"/>
    <x v="53"/>
    <x v="53"/>
    <x v="53"/>
    <x v="17"/>
    <x v="178"/>
    <x v="431"/>
    <x v="97"/>
    <x v="110"/>
    <x v="116"/>
    <x v="352"/>
    <x v="0"/>
  </r>
  <r>
    <x v="0"/>
    <x v="45"/>
    <x v="45"/>
    <x v="24"/>
    <x v="24"/>
    <x v="24"/>
    <x v="17"/>
    <x v="178"/>
    <x v="431"/>
    <x v="90"/>
    <x v="459"/>
    <x v="128"/>
    <x v="206"/>
    <x v="0"/>
  </r>
  <r>
    <x v="0"/>
    <x v="45"/>
    <x v="45"/>
    <x v="17"/>
    <x v="17"/>
    <x v="17"/>
    <x v="17"/>
    <x v="178"/>
    <x v="431"/>
    <x v="97"/>
    <x v="110"/>
    <x v="116"/>
    <x v="352"/>
    <x v="0"/>
  </r>
  <r>
    <x v="0"/>
    <x v="45"/>
    <x v="45"/>
    <x v="18"/>
    <x v="18"/>
    <x v="18"/>
    <x v="17"/>
    <x v="178"/>
    <x v="431"/>
    <x v="97"/>
    <x v="110"/>
    <x v="116"/>
    <x v="352"/>
    <x v="0"/>
  </r>
  <r>
    <x v="0"/>
    <x v="45"/>
    <x v="45"/>
    <x v="65"/>
    <x v="65"/>
    <x v="65"/>
    <x v="17"/>
    <x v="178"/>
    <x v="431"/>
    <x v="97"/>
    <x v="110"/>
    <x v="116"/>
    <x v="352"/>
    <x v="0"/>
  </r>
  <r>
    <x v="0"/>
    <x v="45"/>
    <x v="45"/>
    <x v="11"/>
    <x v="11"/>
    <x v="11"/>
    <x v="17"/>
    <x v="178"/>
    <x v="431"/>
    <x v="90"/>
    <x v="459"/>
    <x v="128"/>
    <x v="206"/>
    <x v="0"/>
  </r>
  <r>
    <x v="0"/>
    <x v="45"/>
    <x v="45"/>
    <x v="26"/>
    <x v="26"/>
    <x v="26"/>
    <x v="17"/>
    <x v="178"/>
    <x v="431"/>
    <x v="97"/>
    <x v="110"/>
    <x v="116"/>
    <x v="352"/>
    <x v="0"/>
  </r>
  <r>
    <x v="0"/>
    <x v="45"/>
    <x v="45"/>
    <x v="3"/>
    <x v="3"/>
    <x v="3"/>
    <x v="17"/>
    <x v="178"/>
    <x v="431"/>
    <x v="90"/>
    <x v="459"/>
    <x v="128"/>
    <x v="206"/>
    <x v="0"/>
  </r>
  <r>
    <x v="0"/>
    <x v="45"/>
    <x v="45"/>
    <x v="56"/>
    <x v="56"/>
    <x v="56"/>
    <x v="17"/>
    <x v="178"/>
    <x v="431"/>
    <x v="97"/>
    <x v="110"/>
    <x v="116"/>
    <x v="352"/>
    <x v="0"/>
  </r>
  <r>
    <x v="0"/>
    <x v="45"/>
    <x v="45"/>
    <x v="70"/>
    <x v="70"/>
    <x v="70"/>
    <x v="17"/>
    <x v="178"/>
    <x v="431"/>
    <x v="97"/>
    <x v="110"/>
    <x v="116"/>
    <x v="352"/>
    <x v="0"/>
  </r>
  <r>
    <x v="0"/>
    <x v="45"/>
    <x v="45"/>
    <x v="16"/>
    <x v="16"/>
    <x v="16"/>
    <x v="17"/>
    <x v="178"/>
    <x v="431"/>
    <x v="97"/>
    <x v="110"/>
    <x v="116"/>
    <x v="352"/>
    <x v="0"/>
  </r>
  <r>
    <x v="0"/>
    <x v="45"/>
    <x v="45"/>
    <x v="19"/>
    <x v="19"/>
    <x v="19"/>
    <x v="17"/>
    <x v="178"/>
    <x v="431"/>
    <x v="97"/>
    <x v="110"/>
    <x v="116"/>
    <x v="352"/>
    <x v="0"/>
  </r>
  <r>
    <x v="0"/>
    <x v="45"/>
    <x v="45"/>
    <x v="46"/>
    <x v="46"/>
    <x v="46"/>
    <x v="17"/>
    <x v="178"/>
    <x v="431"/>
    <x v="97"/>
    <x v="110"/>
    <x v="116"/>
    <x v="352"/>
    <x v="0"/>
  </r>
  <r>
    <x v="0"/>
    <x v="45"/>
    <x v="45"/>
    <x v="8"/>
    <x v="8"/>
    <x v="8"/>
    <x v="17"/>
    <x v="178"/>
    <x v="431"/>
    <x v="90"/>
    <x v="459"/>
    <x v="128"/>
    <x v="206"/>
    <x v="0"/>
  </r>
  <r>
    <x v="0"/>
    <x v="45"/>
    <x v="45"/>
    <x v="15"/>
    <x v="15"/>
    <x v="15"/>
    <x v="17"/>
    <x v="178"/>
    <x v="431"/>
    <x v="97"/>
    <x v="110"/>
    <x v="116"/>
    <x v="352"/>
    <x v="0"/>
  </r>
  <r>
    <x v="0"/>
    <x v="45"/>
    <x v="45"/>
    <x v="37"/>
    <x v="37"/>
    <x v="37"/>
    <x v="17"/>
    <x v="178"/>
    <x v="431"/>
    <x v="97"/>
    <x v="110"/>
    <x v="116"/>
    <x v="352"/>
    <x v="0"/>
  </r>
  <r>
    <x v="0"/>
    <x v="45"/>
    <x v="45"/>
    <x v="25"/>
    <x v="25"/>
    <x v="25"/>
    <x v="17"/>
    <x v="178"/>
    <x v="431"/>
    <x v="97"/>
    <x v="110"/>
    <x v="116"/>
    <x v="352"/>
    <x v="0"/>
  </r>
  <r>
    <x v="0"/>
    <x v="45"/>
    <x v="45"/>
    <x v="57"/>
    <x v="57"/>
    <x v="57"/>
    <x v="17"/>
    <x v="178"/>
    <x v="431"/>
    <x v="97"/>
    <x v="110"/>
    <x v="116"/>
    <x v="352"/>
    <x v="0"/>
  </r>
  <r>
    <x v="0"/>
    <x v="46"/>
    <x v="46"/>
    <x v="0"/>
    <x v="0"/>
    <x v="0"/>
    <x v="0"/>
    <x v="103"/>
    <x v="432"/>
    <x v="64"/>
    <x v="460"/>
    <x v="116"/>
    <x v="155"/>
    <x v="0"/>
  </r>
  <r>
    <x v="0"/>
    <x v="46"/>
    <x v="46"/>
    <x v="4"/>
    <x v="4"/>
    <x v="4"/>
    <x v="1"/>
    <x v="127"/>
    <x v="433"/>
    <x v="78"/>
    <x v="461"/>
    <x v="120"/>
    <x v="354"/>
    <x v="0"/>
  </r>
  <r>
    <x v="0"/>
    <x v="46"/>
    <x v="46"/>
    <x v="5"/>
    <x v="5"/>
    <x v="5"/>
    <x v="2"/>
    <x v="143"/>
    <x v="434"/>
    <x v="109"/>
    <x v="462"/>
    <x v="117"/>
    <x v="355"/>
    <x v="0"/>
  </r>
  <r>
    <x v="0"/>
    <x v="46"/>
    <x v="46"/>
    <x v="1"/>
    <x v="1"/>
    <x v="1"/>
    <x v="3"/>
    <x v="144"/>
    <x v="376"/>
    <x v="50"/>
    <x v="463"/>
    <x v="101"/>
    <x v="99"/>
    <x v="0"/>
  </r>
  <r>
    <x v="0"/>
    <x v="46"/>
    <x v="46"/>
    <x v="6"/>
    <x v="6"/>
    <x v="6"/>
    <x v="4"/>
    <x v="136"/>
    <x v="435"/>
    <x v="131"/>
    <x v="464"/>
    <x v="92"/>
    <x v="77"/>
    <x v="0"/>
  </r>
  <r>
    <x v="0"/>
    <x v="46"/>
    <x v="46"/>
    <x v="2"/>
    <x v="2"/>
    <x v="2"/>
    <x v="5"/>
    <x v="168"/>
    <x v="436"/>
    <x v="52"/>
    <x v="465"/>
    <x v="101"/>
    <x v="99"/>
    <x v="0"/>
  </r>
  <r>
    <x v="0"/>
    <x v="46"/>
    <x v="46"/>
    <x v="28"/>
    <x v="28"/>
    <x v="28"/>
    <x v="6"/>
    <x v="169"/>
    <x v="437"/>
    <x v="33"/>
    <x v="466"/>
    <x v="92"/>
    <x v="77"/>
    <x v="0"/>
  </r>
  <r>
    <x v="0"/>
    <x v="46"/>
    <x v="46"/>
    <x v="10"/>
    <x v="10"/>
    <x v="10"/>
    <x v="7"/>
    <x v="171"/>
    <x v="261"/>
    <x v="66"/>
    <x v="349"/>
    <x v="116"/>
    <x v="155"/>
    <x v="0"/>
  </r>
  <r>
    <x v="0"/>
    <x v="46"/>
    <x v="46"/>
    <x v="3"/>
    <x v="3"/>
    <x v="3"/>
    <x v="7"/>
    <x v="171"/>
    <x v="261"/>
    <x v="66"/>
    <x v="349"/>
    <x v="116"/>
    <x v="155"/>
    <x v="0"/>
  </r>
  <r>
    <x v="0"/>
    <x v="46"/>
    <x v="46"/>
    <x v="7"/>
    <x v="7"/>
    <x v="7"/>
    <x v="9"/>
    <x v="172"/>
    <x v="32"/>
    <x v="91"/>
    <x v="467"/>
    <x v="92"/>
    <x v="77"/>
    <x v="0"/>
  </r>
  <r>
    <x v="0"/>
    <x v="46"/>
    <x v="46"/>
    <x v="32"/>
    <x v="32"/>
    <x v="32"/>
    <x v="9"/>
    <x v="172"/>
    <x v="32"/>
    <x v="37"/>
    <x v="468"/>
    <x v="101"/>
    <x v="99"/>
    <x v="0"/>
  </r>
  <r>
    <x v="0"/>
    <x v="46"/>
    <x v="46"/>
    <x v="8"/>
    <x v="8"/>
    <x v="8"/>
    <x v="9"/>
    <x v="172"/>
    <x v="32"/>
    <x v="38"/>
    <x v="469"/>
    <x v="128"/>
    <x v="206"/>
    <x v="0"/>
  </r>
  <r>
    <x v="0"/>
    <x v="46"/>
    <x v="46"/>
    <x v="9"/>
    <x v="9"/>
    <x v="9"/>
    <x v="9"/>
    <x v="172"/>
    <x v="32"/>
    <x v="66"/>
    <x v="349"/>
    <x v="128"/>
    <x v="206"/>
    <x v="0"/>
  </r>
  <r>
    <x v="0"/>
    <x v="46"/>
    <x v="46"/>
    <x v="50"/>
    <x v="50"/>
    <x v="50"/>
    <x v="13"/>
    <x v="173"/>
    <x v="133"/>
    <x v="38"/>
    <x v="469"/>
    <x v="128"/>
    <x v="206"/>
    <x v="0"/>
  </r>
  <r>
    <x v="0"/>
    <x v="46"/>
    <x v="46"/>
    <x v="11"/>
    <x v="11"/>
    <x v="11"/>
    <x v="13"/>
    <x v="173"/>
    <x v="133"/>
    <x v="37"/>
    <x v="468"/>
    <x v="116"/>
    <x v="155"/>
    <x v="0"/>
  </r>
  <r>
    <x v="0"/>
    <x v="46"/>
    <x v="46"/>
    <x v="12"/>
    <x v="12"/>
    <x v="12"/>
    <x v="13"/>
    <x v="173"/>
    <x v="133"/>
    <x v="37"/>
    <x v="468"/>
    <x v="116"/>
    <x v="155"/>
    <x v="0"/>
  </r>
  <r>
    <x v="0"/>
    <x v="46"/>
    <x v="46"/>
    <x v="29"/>
    <x v="29"/>
    <x v="29"/>
    <x v="16"/>
    <x v="174"/>
    <x v="263"/>
    <x v="90"/>
    <x v="470"/>
    <x v="101"/>
    <x v="99"/>
    <x v="0"/>
  </r>
  <r>
    <x v="0"/>
    <x v="46"/>
    <x v="46"/>
    <x v="59"/>
    <x v="59"/>
    <x v="59"/>
    <x v="16"/>
    <x v="174"/>
    <x v="263"/>
    <x v="90"/>
    <x v="470"/>
    <x v="101"/>
    <x v="99"/>
    <x v="0"/>
  </r>
  <r>
    <x v="0"/>
    <x v="46"/>
    <x v="46"/>
    <x v="34"/>
    <x v="34"/>
    <x v="34"/>
    <x v="16"/>
    <x v="174"/>
    <x v="263"/>
    <x v="97"/>
    <x v="110"/>
    <x v="92"/>
    <x v="77"/>
    <x v="0"/>
  </r>
  <r>
    <x v="0"/>
    <x v="46"/>
    <x v="46"/>
    <x v="15"/>
    <x v="15"/>
    <x v="15"/>
    <x v="16"/>
    <x v="174"/>
    <x v="263"/>
    <x v="97"/>
    <x v="110"/>
    <x v="101"/>
    <x v="99"/>
    <x v="0"/>
  </r>
  <r>
    <x v="0"/>
    <x v="46"/>
    <x v="46"/>
    <x v="14"/>
    <x v="14"/>
    <x v="14"/>
    <x v="16"/>
    <x v="174"/>
    <x v="263"/>
    <x v="37"/>
    <x v="468"/>
    <x v="128"/>
    <x v="206"/>
    <x v="0"/>
  </r>
  <r>
    <x v="0"/>
    <x v="47"/>
    <x v="47"/>
    <x v="4"/>
    <x v="4"/>
    <x v="4"/>
    <x v="0"/>
    <x v="156"/>
    <x v="438"/>
    <x v="50"/>
    <x v="471"/>
    <x v="114"/>
    <x v="356"/>
    <x v="0"/>
  </r>
  <r>
    <x v="0"/>
    <x v="47"/>
    <x v="47"/>
    <x v="0"/>
    <x v="0"/>
    <x v="0"/>
    <x v="1"/>
    <x v="135"/>
    <x v="136"/>
    <x v="51"/>
    <x v="375"/>
    <x v="128"/>
    <x v="206"/>
    <x v="0"/>
  </r>
  <r>
    <x v="0"/>
    <x v="47"/>
    <x v="47"/>
    <x v="5"/>
    <x v="5"/>
    <x v="5"/>
    <x v="2"/>
    <x v="127"/>
    <x v="439"/>
    <x v="96"/>
    <x v="472"/>
    <x v="92"/>
    <x v="357"/>
    <x v="0"/>
  </r>
  <r>
    <x v="0"/>
    <x v="47"/>
    <x v="47"/>
    <x v="6"/>
    <x v="6"/>
    <x v="6"/>
    <x v="2"/>
    <x v="127"/>
    <x v="439"/>
    <x v="89"/>
    <x v="473"/>
    <x v="116"/>
    <x v="167"/>
    <x v="0"/>
  </r>
  <r>
    <x v="0"/>
    <x v="47"/>
    <x v="47"/>
    <x v="2"/>
    <x v="2"/>
    <x v="2"/>
    <x v="4"/>
    <x v="137"/>
    <x v="440"/>
    <x v="98"/>
    <x v="474"/>
    <x v="92"/>
    <x v="357"/>
    <x v="0"/>
  </r>
  <r>
    <x v="0"/>
    <x v="47"/>
    <x v="47"/>
    <x v="1"/>
    <x v="1"/>
    <x v="1"/>
    <x v="5"/>
    <x v="167"/>
    <x v="441"/>
    <x v="52"/>
    <x v="475"/>
    <x v="116"/>
    <x v="167"/>
    <x v="0"/>
  </r>
  <r>
    <x v="0"/>
    <x v="47"/>
    <x v="47"/>
    <x v="7"/>
    <x v="7"/>
    <x v="7"/>
    <x v="6"/>
    <x v="171"/>
    <x v="442"/>
    <x v="66"/>
    <x v="476"/>
    <x v="116"/>
    <x v="167"/>
    <x v="0"/>
  </r>
  <r>
    <x v="0"/>
    <x v="47"/>
    <x v="47"/>
    <x v="14"/>
    <x v="14"/>
    <x v="14"/>
    <x v="6"/>
    <x v="171"/>
    <x v="442"/>
    <x v="33"/>
    <x v="477"/>
    <x v="128"/>
    <x v="206"/>
    <x v="0"/>
  </r>
  <r>
    <x v="0"/>
    <x v="47"/>
    <x v="47"/>
    <x v="28"/>
    <x v="28"/>
    <x v="28"/>
    <x v="8"/>
    <x v="172"/>
    <x v="277"/>
    <x v="38"/>
    <x v="478"/>
    <x v="116"/>
    <x v="167"/>
    <x v="0"/>
  </r>
  <r>
    <x v="0"/>
    <x v="47"/>
    <x v="47"/>
    <x v="33"/>
    <x v="33"/>
    <x v="33"/>
    <x v="8"/>
    <x v="172"/>
    <x v="277"/>
    <x v="38"/>
    <x v="478"/>
    <x v="116"/>
    <x v="167"/>
    <x v="0"/>
  </r>
  <r>
    <x v="0"/>
    <x v="47"/>
    <x v="47"/>
    <x v="41"/>
    <x v="41"/>
    <x v="41"/>
    <x v="10"/>
    <x v="173"/>
    <x v="86"/>
    <x v="90"/>
    <x v="49"/>
    <x v="92"/>
    <x v="357"/>
    <x v="0"/>
  </r>
  <r>
    <x v="0"/>
    <x v="47"/>
    <x v="47"/>
    <x v="10"/>
    <x v="10"/>
    <x v="10"/>
    <x v="10"/>
    <x v="173"/>
    <x v="86"/>
    <x v="38"/>
    <x v="478"/>
    <x v="128"/>
    <x v="206"/>
    <x v="0"/>
  </r>
  <r>
    <x v="0"/>
    <x v="47"/>
    <x v="47"/>
    <x v="50"/>
    <x v="50"/>
    <x v="50"/>
    <x v="12"/>
    <x v="174"/>
    <x v="88"/>
    <x v="37"/>
    <x v="113"/>
    <x v="128"/>
    <x v="206"/>
    <x v="0"/>
  </r>
  <r>
    <x v="0"/>
    <x v="47"/>
    <x v="47"/>
    <x v="11"/>
    <x v="11"/>
    <x v="11"/>
    <x v="12"/>
    <x v="174"/>
    <x v="88"/>
    <x v="91"/>
    <x v="126"/>
    <x v="116"/>
    <x v="167"/>
    <x v="0"/>
  </r>
  <r>
    <x v="0"/>
    <x v="47"/>
    <x v="47"/>
    <x v="9"/>
    <x v="9"/>
    <x v="9"/>
    <x v="12"/>
    <x v="174"/>
    <x v="88"/>
    <x v="37"/>
    <x v="113"/>
    <x v="128"/>
    <x v="206"/>
    <x v="0"/>
  </r>
  <r>
    <x v="0"/>
    <x v="47"/>
    <x v="47"/>
    <x v="30"/>
    <x v="30"/>
    <x v="30"/>
    <x v="15"/>
    <x v="176"/>
    <x v="160"/>
    <x v="90"/>
    <x v="49"/>
    <x v="116"/>
    <x v="167"/>
    <x v="0"/>
  </r>
  <r>
    <x v="0"/>
    <x v="47"/>
    <x v="47"/>
    <x v="32"/>
    <x v="32"/>
    <x v="32"/>
    <x v="15"/>
    <x v="176"/>
    <x v="160"/>
    <x v="91"/>
    <x v="126"/>
    <x v="128"/>
    <x v="206"/>
    <x v="0"/>
  </r>
  <r>
    <x v="0"/>
    <x v="47"/>
    <x v="47"/>
    <x v="34"/>
    <x v="34"/>
    <x v="34"/>
    <x v="15"/>
    <x v="176"/>
    <x v="160"/>
    <x v="97"/>
    <x v="110"/>
    <x v="101"/>
    <x v="123"/>
    <x v="0"/>
  </r>
  <r>
    <x v="0"/>
    <x v="47"/>
    <x v="47"/>
    <x v="24"/>
    <x v="24"/>
    <x v="24"/>
    <x v="15"/>
    <x v="176"/>
    <x v="160"/>
    <x v="97"/>
    <x v="110"/>
    <x v="101"/>
    <x v="123"/>
    <x v="0"/>
  </r>
  <r>
    <x v="0"/>
    <x v="47"/>
    <x v="47"/>
    <x v="56"/>
    <x v="56"/>
    <x v="56"/>
    <x v="15"/>
    <x v="176"/>
    <x v="160"/>
    <x v="97"/>
    <x v="110"/>
    <x v="101"/>
    <x v="123"/>
    <x v="0"/>
  </r>
  <r>
    <x v="0"/>
    <x v="47"/>
    <x v="47"/>
    <x v="12"/>
    <x v="12"/>
    <x v="12"/>
    <x v="15"/>
    <x v="176"/>
    <x v="160"/>
    <x v="91"/>
    <x v="126"/>
    <x v="128"/>
    <x v="206"/>
    <x v="0"/>
  </r>
  <r>
    <x v="0"/>
    <x v="47"/>
    <x v="47"/>
    <x v="16"/>
    <x v="16"/>
    <x v="16"/>
    <x v="15"/>
    <x v="176"/>
    <x v="160"/>
    <x v="91"/>
    <x v="126"/>
    <x v="128"/>
    <x v="206"/>
    <x v="0"/>
  </r>
  <r>
    <x v="0"/>
    <x v="47"/>
    <x v="47"/>
    <x v="27"/>
    <x v="27"/>
    <x v="27"/>
    <x v="15"/>
    <x v="176"/>
    <x v="160"/>
    <x v="91"/>
    <x v="126"/>
    <x v="128"/>
    <x v="206"/>
    <x v="0"/>
  </r>
  <r>
    <x v="0"/>
    <x v="47"/>
    <x v="47"/>
    <x v="37"/>
    <x v="37"/>
    <x v="37"/>
    <x v="15"/>
    <x v="176"/>
    <x v="160"/>
    <x v="97"/>
    <x v="110"/>
    <x v="101"/>
    <x v="123"/>
    <x v="0"/>
  </r>
  <r>
    <x v="0"/>
    <x v="48"/>
    <x v="48"/>
    <x v="0"/>
    <x v="0"/>
    <x v="0"/>
    <x v="0"/>
    <x v="112"/>
    <x v="443"/>
    <x v="130"/>
    <x v="479"/>
    <x v="101"/>
    <x v="13"/>
    <x v="0"/>
  </r>
  <r>
    <x v="0"/>
    <x v="48"/>
    <x v="48"/>
    <x v="4"/>
    <x v="4"/>
    <x v="4"/>
    <x v="1"/>
    <x v="133"/>
    <x v="444"/>
    <x v="121"/>
    <x v="30"/>
    <x v="129"/>
    <x v="358"/>
    <x v="0"/>
  </r>
  <r>
    <x v="0"/>
    <x v="48"/>
    <x v="48"/>
    <x v="1"/>
    <x v="1"/>
    <x v="1"/>
    <x v="1"/>
    <x v="133"/>
    <x v="444"/>
    <x v="133"/>
    <x v="480"/>
    <x v="96"/>
    <x v="308"/>
    <x v="0"/>
  </r>
  <r>
    <x v="0"/>
    <x v="48"/>
    <x v="48"/>
    <x v="2"/>
    <x v="2"/>
    <x v="2"/>
    <x v="3"/>
    <x v="101"/>
    <x v="349"/>
    <x v="96"/>
    <x v="481"/>
    <x v="111"/>
    <x v="359"/>
    <x v="4"/>
  </r>
  <r>
    <x v="0"/>
    <x v="48"/>
    <x v="48"/>
    <x v="5"/>
    <x v="5"/>
    <x v="5"/>
    <x v="4"/>
    <x v="114"/>
    <x v="445"/>
    <x v="78"/>
    <x v="188"/>
    <x v="90"/>
    <x v="360"/>
    <x v="0"/>
  </r>
  <r>
    <x v="0"/>
    <x v="48"/>
    <x v="48"/>
    <x v="6"/>
    <x v="6"/>
    <x v="6"/>
    <x v="5"/>
    <x v="103"/>
    <x v="446"/>
    <x v="88"/>
    <x v="482"/>
    <x v="96"/>
    <x v="308"/>
    <x v="0"/>
  </r>
  <r>
    <x v="0"/>
    <x v="48"/>
    <x v="48"/>
    <x v="3"/>
    <x v="3"/>
    <x v="3"/>
    <x v="6"/>
    <x v="143"/>
    <x v="388"/>
    <x v="131"/>
    <x v="483"/>
    <x v="120"/>
    <x v="282"/>
    <x v="0"/>
  </r>
  <r>
    <x v="0"/>
    <x v="48"/>
    <x v="48"/>
    <x v="9"/>
    <x v="9"/>
    <x v="9"/>
    <x v="6"/>
    <x v="143"/>
    <x v="388"/>
    <x v="108"/>
    <x v="484"/>
    <x v="116"/>
    <x v="361"/>
    <x v="0"/>
  </r>
  <r>
    <x v="0"/>
    <x v="48"/>
    <x v="48"/>
    <x v="7"/>
    <x v="7"/>
    <x v="7"/>
    <x v="8"/>
    <x v="136"/>
    <x v="447"/>
    <x v="38"/>
    <x v="195"/>
    <x v="99"/>
    <x v="362"/>
    <x v="0"/>
  </r>
  <r>
    <x v="0"/>
    <x v="48"/>
    <x v="48"/>
    <x v="10"/>
    <x v="10"/>
    <x v="10"/>
    <x v="9"/>
    <x v="137"/>
    <x v="327"/>
    <x v="80"/>
    <x v="485"/>
    <x v="120"/>
    <x v="282"/>
    <x v="0"/>
  </r>
  <r>
    <x v="0"/>
    <x v="48"/>
    <x v="48"/>
    <x v="12"/>
    <x v="12"/>
    <x v="12"/>
    <x v="9"/>
    <x v="137"/>
    <x v="327"/>
    <x v="66"/>
    <x v="486"/>
    <x v="107"/>
    <x v="363"/>
    <x v="0"/>
  </r>
  <r>
    <x v="0"/>
    <x v="48"/>
    <x v="48"/>
    <x v="11"/>
    <x v="11"/>
    <x v="11"/>
    <x v="11"/>
    <x v="170"/>
    <x v="448"/>
    <x v="33"/>
    <x v="487"/>
    <x v="101"/>
    <x v="13"/>
    <x v="0"/>
  </r>
  <r>
    <x v="0"/>
    <x v="48"/>
    <x v="48"/>
    <x v="15"/>
    <x v="15"/>
    <x v="15"/>
    <x v="12"/>
    <x v="175"/>
    <x v="430"/>
    <x v="97"/>
    <x v="110"/>
    <x v="101"/>
    <x v="13"/>
    <x v="0"/>
  </r>
  <r>
    <x v="0"/>
    <x v="48"/>
    <x v="48"/>
    <x v="14"/>
    <x v="14"/>
    <x v="14"/>
    <x v="12"/>
    <x v="175"/>
    <x v="430"/>
    <x v="38"/>
    <x v="195"/>
    <x v="92"/>
    <x v="364"/>
    <x v="0"/>
  </r>
  <r>
    <x v="0"/>
    <x v="48"/>
    <x v="48"/>
    <x v="31"/>
    <x v="31"/>
    <x v="31"/>
    <x v="14"/>
    <x v="171"/>
    <x v="449"/>
    <x v="90"/>
    <x v="488"/>
    <x v="118"/>
    <x v="82"/>
    <x v="0"/>
  </r>
  <r>
    <x v="0"/>
    <x v="48"/>
    <x v="48"/>
    <x v="16"/>
    <x v="16"/>
    <x v="16"/>
    <x v="14"/>
    <x v="171"/>
    <x v="449"/>
    <x v="37"/>
    <x v="489"/>
    <x v="92"/>
    <x v="364"/>
    <x v="0"/>
  </r>
  <r>
    <x v="0"/>
    <x v="48"/>
    <x v="48"/>
    <x v="19"/>
    <x v="19"/>
    <x v="19"/>
    <x v="14"/>
    <x v="171"/>
    <x v="449"/>
    <x v="37"/>
    <x v="489"/>
    <x v="92"/>
    <x v="364"/>
    <x v="0"/>
  </r>
  <r>
    <x v="0"/>
    <x v="48"/>
    <x v="48"/>
    <x v="18"/>
    <x v="18"/>
    <x v="18"/>
    <x v="17"/>
    <x v="172"/>
    <x v="450"/>
    <x v="90"/>
    <x v="488"/>
    <x v="117"/>
    <x v="365"/>
    <x v="0"/>
  </r>
  <r>
    <x v="0"/>
    <x v="48"/>
    <x v="48"/>
    <x v="13"/>
    <x v="13"/>
    <x v="13"/>
    <x v="17"/>
    <x v="172"/>
    <x v="450"/>
    <x v="38"/>
    <x v="195"/>
    <x v="116"/>
    <x v="361"/>
    <x v="0"/>
  </r>
  <r>
    <x v="0"/>
    <x v="48"/>
    <x v="48"/>
    <x v="8"/>
    <x v="8"/>
    <x v="8"/>
    <x v="17"/>
    <x v="172"/>
    <x v="450"/>
    <x v="38"/>
    <x v="195"/>
    <x v="116"/>
    <x v="361"/>
    <x v="0"/>
  </r>
  <r>
    <x v="0"/>
    <x v="49"/>
    <x v="49"/>
    <x v="0"/>
    <x v="0"/>
    <x v="0"/>
    <x v="0"/>
    <x v="185"/>
    <x v="451"/>
    <x v="18"/>
    <x v="490"/>
    <x v="92"/>
    <x v="366"/>
    <x v="0"/>
  </r>
  <r>
    <x v="0"/>
    <x v="49"/>
    <x v="49"/>
    <x v="2"/>
    <x v="2"/>
    <x v="2"/>
    <x v="1"/>
    <x v="114"/>
    <x v="452"/>
    <x v="89"/>
    <x v="462"/>
    <x v="110"/>
    <x v="367"/>
    <x v="0"/>
  </r>
  <r>
    <x v="0"/>
    <x v="49"/>
    <x v="49"/>
    <x v="4"/>
    <x v="4"/>
    <x v="4"/>
    <x v="2"/>
    <x v="156"/>
    <x v="453"/>
    <x v="78"/>
    <x v="384"/>
    <x v="115"/>
    <x v="368"/>
    <x v="0"/>
  </r>
  <r>
    <x v="0"/>
    <x v="49"/>
    <x v="49"/>
    <x v="1"/>
    <x v="1"/>
    <x v="1"/>
    <x v="3"/>
    <x v="184"/>
    <x v="454"/>
    <x v="113"/>
    <x v="491"/>
    <x v="120"/>
    <x v="369"/>
    <x v="0"/>
  </r>
  <r>
    <x v="0"/>
    <x v="49"/>
    <x v="49"/>
    <x v="6"/>
    <x v="6"/>
    <x v="6"/>
    <x v="4"/>
    <x v="125"/>
    <x v="455"/>
    <x v="113"/>
    <x v="491"/>
    <x v="92"/>
    <x v="366"/>
    <x v="4"/>
  </r>
  <r>
    <x v="0"/>
    <x v="49"/>
    <x v="49"/>
    <x v="5"/>
    <x v="5"/>
    <x v="5"/>
    <x v="5"/>
    <x v="150"/>
    <x v="456"/>
    <x v="52"/>
    <x v="385"/>
    <x v="120"/>
    <x v="369"/>
    <x v="0"/>
  </r>
  <r>
    <x v="0"/>
    <x v="49"/>
    <x v="49"/>
    <x v="7"/>
    <x v="7"/>
    <x v="7"/>
    <x v="6"/>
    <x v="168"/>
    <x v="457"/>
    <x v="80"/>
    <x v="492"/>
    <x v="117"/>
    <x v="370"/>
    <x v="0"/>
  </r>
  <r>
    <x v="0"/>
    <x v="49"/>
    <x v="49"/>
    <x v="3"/>
    <x v="3"/>
    <x v="3"/>
    <x v="7"/>
    <x v="169"/>
    <x v="458"/>
    <x v="38"/>
    <x v="493"/>
    <x v="118"/>
    <x v="371"/>
    <x v="0"/>
  </r>
  <r>
    <x v="0"/>
    <x v="49"/>
    <x v="49"/>
    <x v="8"/>
    <x v="8"/>
    <x v="8"/>
    <x v="7"/>
    <x v="169"/>
    <x v="458"/>
    <x v="33"/>
    <x v="383"/>
    <x v="116"/>
    <x v="372"/>
    <x v="0"/>
  </r>
  <r>
    <x v="0"/>
    <x v="49"/>
    <x v="49"/>
    <x v="11"/>
    <x v="11"/>
    <x v="11"/>
    <x v="9"/>
    <x v="170"/>
    <x v="459"/>
    <x v="91"/>
    <x v="494"/>
    <x v="120"/>
    <x v="369"/>
    <x v="0"/>
  </r>
  <r>
    <x v="0"/>
    <x v="49"/>
    <x v="49"/>
    <x v="10"/>
    <x v="10"/>
    <x v="10"/>
    <x v="9"/>
    <x v="170"/>
    <x v="459"/>
    <x v="33"/>
    <x v="383"/>
    <x v="116"/>
    <x v="372"/>
    <x v="4"/>
  </r>
  <r>
    <x v="0"/>
    <x v="49"/>
    <x v="49"/>
    <x v="9"/>
    <x v="9"/>
    <x v="9"/>
    <x v="9"/>
    <x v="170"/>
    <x v="459"/>
    <x v="80"/>
    <x v="492"/>
    <x v="116"/>
    <x v="372"/>
    <x v="0"/>
  </r>
  <r>
    <x v="0"/>
    <x v="49"/>
    <x v="49"/>
    <x v="30"/>
    <x v="30"/>
    <x v="30"/>
    <x v="12"/>
    <x v="175"/>
    <x v="460"/>
    <x v="37"/>
    <x v="7"/>
    <x v="117"/>
    <x v="370"/>
    <x v="0"/>
  </r>
  <r>
    <x v="0"/>
    <x v="49"/>
    <x v="49"/>
    <x v="16"/>
    <x v="16"/>
    <x v="16"/>
    <x v="12"/>
    <x v="175"/>
    <x v="460"/>
    <x v="37"/>
    <x v="7"/>
    <x v="117"/>
    <x v="370"/>
    <x v="0"/>
  </r>
  <r>
    <x v="0"/>
    <x v="49"/>
    <x v="49"/>
    <x v="28"/>
    <x v="28"/>
    <x v="28"/>
    <x v="14"/>
    <x v="172"/>
    <x v="298"/>
    <x v="38"/>
    <x v="493"/>
    <x v="116"/>
    <x v="372"/>
    <x v="0"/>
  </r>
  <r>
    <x v="0"/>
    <x v="49"/>
    <x v="49"/>
    <x v="14"/>
    <x v="14"/>
    <x v="14"/>
    <x v="14"/>
    <x v="172"/>
    <x v="298"/>
    <x v="37"/>
    <x v="7"/>
    <x v="101"/>
    <x v="323"/>
    <x v="0"/>
  </r>
  <r>
    <x v="0"/>
    <x v="49"/>
    <x v="49"/>
    <x v="23"/>
    <x v="23"/>
    <x v="23"/>
    <x v="16"/>
    <x v="173"/>
    <x v="17"/>
    <x v="37"/>
    <x v="7"/>
    <x v="116"/>
    <x v="372"/>
    <x v="0"/>
  </r>
  <r>
    <x v="0"/>
    <x v="49"/>
    <x v="49"/>
    <x v="24"/>
    <x v="24"/>
    <x v="24"/>
    <x v="17"/>
    <x v="174"/>
    <x v="384"/>
    <x v="90"/>
    <x v="495"/>
    <x v="101"/>
    <x v="323"/>
    <x v="0"/>
  </r>
  <r>
    <x v="0"/>
    <x v="49"/>
    <x v="49"/>
    <x v="17"/>
    <x v="17"/>
    <x v="17"/>
    <x v="17"/>
    <x v="174"/>
    <x v="384"/>
    <x v="91"/>
    <x v="494"/>
    <x v="116"/>
    <x v="372"/>
    <x v="0"/>
  </r>
  <r>
    <x v="0"/>
    <x v="49"/>
    <x v="49"/>
    <x v="19"/>
    <x v="19"/>
    <x v="19"/>
    <x v="17"/>
    <x v="174"/>
    <x v="384"/>
    <x v="90"/>
    <x v="495"/>
    <x v="101"/>
    <x v="323"/>
    <x v="0"/>
  </r>
  <r>
    <x v="0"/>
    <x v="49"/>
    <x v="49"/>
    <x v="37"/>
    <x v="37"/>
    <x v="37"/>
    <x v="17"/>
    <x v="174"/>
    <x v="384"/>
    <x v="90"/>
    <x v="495"/>
    <x v="101"/>
    <x v="323"/>
    <x v="0"/>
  </r>
  <r>
    <x v="0"/>
    <x v="50"/>
    <x v="50"/>
    <x v="7"/>
    <x v="7"/>
    <x v="7"/>
    <x v="0"/>
    <x v="143"/>
    <x v="461"/>
    <x v="97"/>
    <x v="110"/>
    <x v="111"/>
    <x v="373"/>
    <x v="0"/>
  </r>
  <r>
    <x v="0"/>
    <x v="50"/>
    <x v="50"/>
    <x v="2"/>
    <x v="2"/>
    <x v="2"/>
    <x v="1"/>
    <x v="168"/>
    <x v="462"/>
    <x v="121"/>
    <x v="496"/>
    <x v="92"/>
    <x v="207"/>
    <x v="0"/>
  </r>
  <r>
    <x v="0"/>
    <x v="50"/>
    <x v="50"/>
    <x v="1"/>
    <x v="1"/>
    <x v="1"/>
    <x v="1"/>
    <x v="168"/>
    <x v="462"/>
    <x v="121"/>
    <x v="496"/>
    <x v="92"/>
    <x v="207"/>
    <x v="0"/>
  </r>
  <r>
    <x v="0"/>
    <x v="50"/>
    <x v="50"/>
    <x v="0"/>
    <x v="0"/>
    <x v="0"/>
    <x v="3"/>
    <x v="167"/>
    <x v="463"/>
    <x v="52"/>
    <x v="497"/>
    <x v="116"/>
    <x v="374"/>
    <x v="0"/>
  </r>
  <r>
    <x v="0"/>
    <x v="50"/>
    <x v="50"/>
    <x v="4"/>
    <x v="4"/>
    <x v="4"/>
    <x v="4"/>
    <x v="169"/>
    <x v="2"/>
    <x v="91"/>
    <x v="330"/>
    <x v="96"/>
    <x v="375"/>
    <x v="0"/>
  </r>
  <r>
    <x v="0"/>
    <x v="50"/>
    <x v="50"/>
    <x v="5"/>
    <x v="5"/>
    <x v="5"/>
    <x v="4"/>
    <x v="169"/>
    <x v="2"/>
    <x v="37"/>
    <x v="77"/>
    <x v="120"/>
    <x v="204"/>
    <x v="0"/>
  </r>
  <r>
    <x v="0"/>
    <x v="50"/>
    <x v="50"/>
    <x v="16"/>
    <x v="16"/>
    <x v="16"/>
    <x v="4"/>
    <x v="169"/>
    <x v="2"/>
    <x v="90"/>
    <x v="194"/>
    <x v="107"/>
    <x v="376"/>
    <x v="0"/>
  </r>
  <r>
    <x v="0"/>
    <x v="50"/>
    <x v="50"/>
    <x v="17"/>
    <x v="17"/>
    <x v="17"/>
    <x v="7"/>
    <x v="171"/>
    <x v="464"/>
    <x v="91"/>
    <x v="330"/>
    <x v="117"/>
    <x v="377"/>
    <x v="0"/>
  </r>
  <r>
    <x v="0"/>
    <x v="50"/>
    <x v="50"/>
    <x v="6"/>
    <x v="6"/>
    <x v="6"/>
    <x v="8"/>
    <x v="173"/>
    <x v="465"/>
    <x v="91"/>
    <x v="330"/>
    <x v="116"/>
    <x v="374"/>
    <x v="4"/>
  </r>
  <r>
    <x v="0"/>
    <x v="50"/>
    <x v="50"/>
    <x v="8"/>
    <x v="8"/>
    <x v="8"/>
    <x v="9"/>
    <x v="174"/>
    <x v="466"/>
    <x v="91"/>
    <x v="330"/>
    <x v="128"/>
    <x v="206"/>
    <x v="0"/>
  </r>
  <r>
    <x v="0"/>
    <x v="50"/>
    <x v="50"/>
    <x v="25"/>
    <x v="25"/>
    <x v="25"/>
    <x v="9"/>
    <x v="174"/>
    <x v="466"/>
    <x v="97"/>
    <x v="110"/>
    <x v="92"/>
    <x v="207"/>
    <x v="0"/>
  </r>
  <r>
    <x v="0"/>
    <x v="50"/>
    <x v="50"/>
    <x v="32"/>
    <x v="32"/>
    <x v="32"/>
    <x v="11"/>
    <x v="176"/>
    <x v="467"/>
    <x v="97"/>
    <x v="110"/>
    <x v="101"/>
    <x v="378"/>
    <x v="0"/>
  </r>
  <r>
    <x v="0"/>
    <x v="50"/>
    <x v="50"/>
    <x v="43"/>
    <x v="43"/>
    <x v="43"/>
    <x v="11"/>
    <x v="176"/>
    <x v="467"/>
    <x v="91"/>
    <x v="330"/>
    <x v="128"/>
    <x v="206"/>
    <x v="0"/>
  </r>
  <r>
    <x v="0"/>
    <x v="50"/>
    <x v="50"/>
    <x v="10"/>
    <x v="10"/>
    <x v="10"/>
    <x v="11"/>
    <x v="176"/>
    <x v="467"/>
    <x v="91"/>
    <x v="330"/>
    <x v="128"/>
    <x v="206"/>
    <x v="0"/>
  </r>
  <r>
    <x v="0"/>
    <x v="50"/>
    <x v="50"/>
    <x v="3"/>
    <x v="3"/>
    <x v="3"/>
    <x v="11"/>
    <x v="176"/>
    <x v="467"/>
    <x v="97"/>
    <x v="110"/>
    <x v="101"/>
    <x v="378"/>
    <x v="0"/>
  </r>
  <r>
    <x v="0"/>
    <x v="50"/>
    <x v="50"/>
    <x v="12"/>
    <x v="12"/>
    <x v="12"/>
    <x v="11"/>
    <x v="176"/>
    <x v="467"/>
    <x v="97"/>
    <x v="110"/>
    <x v="101"/>
    <x v="378"/>
    <x v="0"/>
  </r>
  <r>
    <x v="0"/>
    <x v="50"/>
    <x v="50"/>
    <x v="46"/>
    <x v="46"/>
    <x v="46"/>
    <x v="11"/>
    <x v="176"/>
    <x v="467"/>
    <x v="97"/>
    <x v="110"/>
    <x v="101"/>
    <x v="378"/>
    <x v="0"/>
  </r>
  <r>
    <x v="0"/>
    <x v="50"/>
    <x v="50"/>
    <x v="62"/>
    <x v="62"/>
    <x v="62"/>
    <x v="11"/>
    <x v="176"/>
    <x v="467"/>
    <x v="97"/>
    <x v="110"/>
    <x v="101"/>
    <x v="378"/>
    <x v="0"/>
  </r>
  <r>
    <x v="0"/>
    <x v="50"/>
    <x v="50"/>
    <x v="48"/>
    <x v="48"/>
    <x v="48"/>
    <x v="18"/>
    <x v="178"/>
    <x v="339"/>
    <x v="97"/>
    <x v="110"/>
    <x v="116"/>
    <x v="374"/>
    <x v="0"/>
  </r>
  <r>
    <x v="0"/>
    <x v="50"/>
    <x v="50"/>
    <x v="41"/>
    <x v="41"/>
    <x v="41"/>
    <x v="18"/>
    <x v="178"/>
    <x v="339"/>
    <x v="90"/>
    <x v="194"/>
    <x v="128"/>
    <x v="206"/>
    <x v="0"/>
  </r>
  <r>
    <x v="0"/>
    <x v="50"/>
    <x v="50"/>
    <x v="71"/>
    <x v="71"/>
    <x v="71"/>
    <x v="18"/>
    <x v="178"/>
    <x v="339"/>
    <x v="90"/>
    <x v="194"/>
    <x v="128"/>
    <x v="206"/>
    <x v="0"/>
  </r>
  <r>
    <x v="0"/>
    <x v="50"/>
    <x v="50"/>
    <x v="35"/>
    <x v="35"/>
    <x v="35"/>
    <x v="18"/>
    <x v="178"/>
    <x v="339"/>
    <x v="97"/>
    <x v="110"/>
    <x v="116"/>
    <x v="374"/>
    <x v="0"/>
  </r>
  <r>
    <x v="0"/>
    <x v="50"/>
    <x v="50"/>
    <x v="31"/>
    <x v="31"/>
    <x v="31"/>
    <x v="18"/>
    <x v="178"/>
    <x v="339"/>
    <x v="97"/>
    <x v="110"/>
    <x v="116"/>
    <x v="374"/>
    <x v="0"/>
  </r>
  <r>
    <x v="0"/>
    <x v="50"/>
    <x v="50"/>
    <x v="22"/>
    <x v="22"/>
    <x v="22"/>
    <x v="18"/>
    <x v="178"/>
    <x v="339"/>
    <x v="97"/>
    <x v="110"/>
    <x v="116"/>
    <x v="374"/>
    <x v="0"/>
  </r>
  <r>
    <x v="0"/>
    <x v="50"/>
    <x v="50"/>
    <x v="63"/>
    <x v="63"/>
    <x v="63"/>
    <x v="18"/>
    <x v="178"/>
    <x v="339"/>
    <x v="97"/>
    <x v="110"/>
    <x v="116"/>
    <x v="374"/>
    <x v="0"/>
  </r>
  <r>
    <x v="0"/>
    <x v="50"/>
    <x v="50"/>
    <x v="34"/>
    <x v="34"/>
    <x v="34"/>
    <x v="18"/>
    <x v="178"/>
    <x v="339"/>
    <x v="97"/>
    <x v="110"/>
    <x v="116"/>
    <x v="374"/>
    <x v="0"/>
  </r>
  <r>
    <x v="0"/>
    <x v="50"/>
    <x v="50"/>
    <x v="58"/>
    <x v="58"/>
    <x v="58"/>
    <x v="18"/>
    <x v="178"/>
    <x v="339"/>
    <x v="97"/>
    <x v="110"/>
    <x v="116"/>
    <x v="374"/>
    <x v="0"/>
  </r>
  <r>
    <x v="0"/>
    <x v="50"/>
    <x v="50"/>
    <x v="18"/>
    <x v="18"/>
    <x v="18"/>
    <x v="18"/>
    <x v="178"/>
    <x v="339"/>
    <x v="97"/>
    <x v="110"/>
    <x v="116"/>
    <x v="374"/>
    <x v="0"/>
  </r>
  <r>
    <x v="0"/>
    <x v="50"/>
    <x v="50"/>
    <x v="27"/>
    <x v="27"/>
    <x v="27"/>
    <x v="18"/>
    <x v="178"/>
    <x v="339"/>
    <x v="97"/>
    <x v="110"/>
    <x v="116"/>
    <x v="374"/>
    <x v="0"/>
  </r>
  <r>
    <x v="0"/>
    <x v="50"/>
    <x v="50"/>
    <x v="19"/>
    <x v="19"/>
    <x v="19"/>
    <x v="18"/>
    <x v="178"/>
    <x v="339"/>
    <x v="97"/>
    <x v="110"/>
    <x v="116"/>
    <x v="374"/>
    <x v="0"/>
  </r>
  <r>
    <x v="0"/>
    <x v="50"/>
    <x v="50"/>
    <x v="37"/>
    <x v="37"/>
    <x v="37"/>
    <x v="18"/>
    <x v="178"/>
    <x v="339"/>
    <x v="97"/>
    <x v="110"/>
    <x v="116"/>
    <x v="374"/>
    <x v="0"/>
  </r>
  <r>
    <x v="0"/>
    <x v="50"/>
    <x v="50"/>
    <x v="14"/>
    <x v="14"/>
    <x v="14"/>
    <x v="18"/>
    <x v="178"/>
    <x v="339"/>
    <x v="90"/>
    <x v="194"/>
    <x v="128"/>
    <x v="206"/>
    <x v="0"/>
  </r>
  <r>
    <x v="0"/>
    <x v="50"/>
    <x v="50"/>
    <x v="57"/>
    <x v="57"/>
    <x v="57"/>
    <x v="18"/>
    <x v="178"/>
    <x v="339"/>
    <x v="97"/>
    <x v="110"/>
    <x v="116"/>
    <x v="374"/>
    <x v="0"/>
  </r>
  <r>
    <x v="0"/>
    <x v="51"/>
    <x v="51"/>
    <x v="4"/>
    <x v="4"/>
    <x v="4"/>
    <x v="0"/>
    <x v="144"/>
    <x v="468"/>
    <x v="66"/>
    <x v="498"/>
    <x v="51"/>
    <x v="379"/>
    <x v="0"/>
  </r>
  <r>
    <x v="0"/>
    <x v="51"/>
    <x v="51"/>
    <x v="2"/>
    <x v="2"/>
    <x v="2"/>
    <x v="1"/>
    <x v="168"/>
    <x v="469"/>
    <x v="33"/>
    <x v="499"/>
    <x v="118"/>
    <x v="380"/>
    <x v="0"/>
  </r>
  <r>
    <x v="0"/>
    <x v="51"/>
    <x v="51"/>
    <x v="0"/>
    <x v="0"/>
    <x v="0"/>
    <x v="2"/>
    <x v="167"/>
    <x v="316"/>
    <x v="98"/>
    <x v="500"/>
    <x v="128"/>
    <x v="206"/>
    <x v="0"/>
  </r>
  <r>
    <x v="0"/>
    <x v="51"/>
    <x v="51"/>
    <x v="1"/>
    <x v="1"/>
    <x v="1"/>
    <x v="3"/>
    <x v="175"/>
    <x v="418"/>
    <x v="80"/>
    <x v="501"/>
    <x v="128"/>
    <x v="206"/>
    <x v="0"/>
  </r>
  <r>
    <x v="0"/>
    <x v="51"/>
    <x v="51"/>
    <x v="7"/>
    <x v="7"/>
    <x v="7"/>
    <x v="4"/>
    <x v="172"/>
    <x v="319"/>
    <x v="90"/>
    <x v="194"/>
    <x v="117"/>
    <x v="381"/>
    <x v="0"/>
  </r>
  <r>
    <x v="0"/>
    <x v="51"/>
    <x v="51"/>
    <x v="17"/>
    <x v="17"/>
    <x v="17"/>
    <x v="5"/>
    <x v="173"/>
    <x v="344"/>
    <x v="90"/>
    <x v="194"/>
    <x v="92"/>
    <x v="313"/>
    <x v="0"/>
  </r>
  <r>
    <x v="0"/>
    <x v="51"/>
    <x v="51"/>
    <x v="6"/>
    <x v="6"/>
    <x v="6"/>
    <x v="5"/>
    <x v="173"/>
    <x v="344"/>
    <x v="37"/>
    <x v="77"/>
    <x v="116"/>
    <x v="312"/>
    <x v="0"/>
  </r>
  <r>
    <x v="0"/>
    <x v="51"/>
    <x v="51"/>
    <x v="3"/>
    <x v="3"/>
    <x v="3"/>
    <x v="5"/>
    <x v="173"/>
    <x v="344"/>
    <x v="97"/>
    <x v="110"/>
    <x v="117"/>
    <x v="381"/>
    <x v="0"/>
  </r>
  <r>
    <x v="0"/>
    <x v="51"/>
    <x v="51"/>
    <x v="5"/>
    <x v="5"/>
    <x v="5"/>
    <x v="8"/>
    <x v="174"/>
    <x v="47"/>
    <x v="97"/>
    <x v="110"/>
    <x v="92"/>
    <x v="313"/>
    <x v="0"/>
  </r>
  <r>
    <x v="0"/>
    <x v="51"/>
    <x v="51"/>
    <x v="31"/>
    <x v="31"/>
    <x v="31"/>
    <x v="8"/>
    <x v="174"/>
    <x v="47"/>
    <x v="97"/>
    <x v="110"/>
    <x v="92"/>
    <x v="313"/>
    <x v="0"/>
  </r>
  <r>
    <x v="0"/>
    <x v="51"/>
    <x v="51"/>
    <x v="18"/>
    <x v="18"/>
    <x v="18"/>
    <x v="8"/>
    <x v="174"/>
    <x v="47"/>
    <x v="97"/>
    <x v="110"/>
    <x v="92"/>
    <x v="313"/>
    <x v="0"/>
  </r>
  <r>
    <x v="0"/>
    <x v="51"/>
    <x v="51"/>
    <x v="10"/>
    <x v="10"/>
    <x v="10"/>
    <x v="8"/>
    <x v="174"/>
    <x v="47"/>
    <x v="90"/>
    <x v="194"/>
    <x v="101"/>
    <x v="314"/>
    <x v="0"/>
  </r>
  <r>
    <x v="0"/>
    <x v="51"/>
    <x v="51"/>
    <x v="56"/>
    <x v="56"/>
    <x v="56"/>
    <x v="8"/>
    <x v="174"/>
    <x v="47"/>
    <x v="97"/>
    <x v="110"/>
    <x v="92"/>
    <x v="313"/>
    <x v="0"/>
  </r>
  <r>
    <x v="0"/>
    <x v="51"/>
    <x v="51"/>
    <x v="33"/>
    <x v="33"/>
    <x v="33"/>
    <x v="13"/>
    <x v="176"/>
    <x v="345"/>
    <x v="91"/>
    <x v="330"/>
    <x v="128"/>
    <x v="206"/>
    <x v="0"/>
  </r>
  <r>
    <x v="0"/>
    <x v="51"/>
    <x v="51"/>
    <x v="30"/>
    <x v="30"/>
    <x v="30"/>
    <x v="13"/>
    <x v="176"/>
    <x v="345"/>
    <x v="97"/>
    <x v="110"/>
    <x v="101"/>
    <x v="314"/>
    <x v="0"/>
  </r>
  <r>
    <x v="0"/>
    <x v="51"/>
    <x v="51"/>
    <x v="32"/>
    <x v="32"/>
    <x v="32"/>
    <x v="13"/>
    <x v="176"/>
    <x v="345"/>
    <x v="97"/>
    <x v="110"/>
    <x v="101"/>
    <x v="314"/>
    <x v="0"/>
  </r>
  <r>
    <x v="0"/>
    <x v="51"/>
    <x v="51"/>
    <x v="13"/>
    <x v="13"/>
    <x v="13"/>
    <x v="13"/>
    <x v="176"/>
    <x v="345"/>
    <x v="90"/>
    <x v="194"/>
    <x v="116"/>
    <x v="312"/>
    <x v="0"/>
  </r>
  <r>
    <x v="0"/>
    <x v="51"/>
    <x v="51"/>
    <x v="12"/>
    <x v="12"/>
    <x v="12"/>
    <x v="13"/>
    <x v="176"/>
    <x v="345"/>
    <x v="97"/>
    <x v="110"/>
    <x v="101"/>
    <x v="314"/>
    <x v="0"/>
  </r>
  <r>
    <x v="0"/>
    <x v="51"/>
    <x v="51"/>
    <x v="19"/>
    <x v="19"/>
    <x v="19"/>
    <x v="13"/>
    <x v="176"/>
    <x v="345"/>
    <x v="90"/>
    <x v="194"/>
    <x v="116"/>
    <x v="312"/>
    <x v="0"/>
  </r>
  <r>
    <x v="0"/>
    <x v="51"/>
    <x v="51"/>
    <x v="37"/>
    <x v="37"/>
    <x v="37"/>
    <x v="13"/>
    <x v="176"/>
    <x v="345"/>
    <x v="97"/>
    <x v="110"/>
    <x v="116"/>
    <x v="312"/>
    <x v="0"/>
  </r>
  <r>
    <x v="0"/>
    <x v="52"/>
    <x v="52"/>
    <x v="4"/>
    <x v="4"/>
    <x v="4"/>
    <x v="0"/>
    <x v="167"/>
    <x v="378"/>
    <x v="97"/>
    <x v="110"/>
    <x v="106"/>
    <x v="382"/>
    <x v="4"/>
  </r>
  <r>
    <x v="0"/>
    <x v="52"/>
    <x v="52"/>
    <x v="5"/>
    <x v="5"/>
    <x v="5"/>
    <x v="1"/>
    <x v="170"/>
    <x v="470"/>
    <x v="90"/>
    <x v="347"/>
    <x v="96"/>
    <x v="383"/>
    <x v="0"/>
  </r>
  <r>
    <x v="0"/>
    <x v="52"/>
    <x v="52"/>
    <x v="7"/>
    <x v="7"/>
    <x v="7"/>
    <x v="1"/>
    <x v="170"/>
    <x v="470"/>
    <x v="97"/>
    <x v="110"/>
    <x v="107"/>
    <x v="384"/>
    <x v="0"/>
  </r>
  <r>
    <x v="0"/>
    <x v="52"/>
    <x v="52"/>
    <x v="12"/>
    <x v="12"/>
    <x v="12"/>
    <x v="3"/>
    <x v="172"/>
    <x v="471"/>
    <x v="97"/>
    <x v="110"/>
    <x v="118"/>
    <x v="385"/>
    <x v="0"/>
  </r>
  <r>
    <x v="0"/>
    <x v="52"/>
    <x v="52"/>
    <x v="2"/>
    <x v="2"/>
    <x v="2"/>
    <x v="4"/>
    <x v="173"/>
    <x v="472"/>
    <x v="97"/>
    <x v="110"/>
    <x v="117"/>
    <x v="386"/>
    <x v="0"/>
  </r>
  <r>
    <x v="0"/>
    <x v="52"/>
    <x v="52"/>
    <x v="17"/>
    <x v="17"/>
    <x v="17"/>
    <x v="5"/>
    <x v="174"/>
    <x v="419"/>
    <x v="97"/>
    <x v="110"/>
    <x v="92"/>
    <x v="232"/>
    <x v="0"/>
  </r>
  <r>
    <x v="0"/>
    <x v="52"/>
    <x v="52"/>
    <x v="72"/>
    <x v="72"/>
    <x v="72"/>
    <x v="6"/>
    <x v="176"/>
    <x v="383"/>
    <x v="97"/>
    <x v="110"/>
    <x v="101"/>
    <x v="387"/>
    <x v="0"/>
  </r>
  <r>
    <x v="0"/>
    <x v="52"/>
    <x v="52"/>
    <x v="56"/>
    <x v="56"/>
    <x v="56"/>
    <x v="6"/>
    <x v="176"/>
    <x v="383"/>
    <x v="97"/>
    <x v="110"/>
    <x v="101"/>
    <x v="387"/>
    <x v="0"/>
  </r>
  <r>
    <x v="0"/>
    <x v="52"/>
    <x v="52"/>
    <x v="0"/>
    <x v="0"/>
    <x v="0"/>
    <x v="6"/>
    <x v="176"/>
    <x v="383"/>
    <x v="90"/>
    <x v="347"/>
    <x v="116"/>
    <x v="388"/>
    <x v="0"/>
  </r>
  <r>
    <x v="0"/>
    <x v="52"/>
    <x v="52"/>
    <x v="8"/>
    <x v="8"/>
    <x v="8"/>
    <x v="6"/>
    <x v="176"/>
    <x v="383"/>
    <x v="97"/>
    <x v="110"/>
    <x v="116"/>
    <x v="388"/>
    <x v="0"/>
  </r>
  <r>
    <x v="0"/>
    <x v="52"/>
    <x v="52"/>
    <x v="9"/>
    <x v="9"/>
    <x v="9"/>
    <x v="6"/>
    <x v="176"/>
    <x v="383"/>
    <x v="91"/>
    <x v="502"/>
    <x v="128"/>
    <x v="206"/>
    <x v="0"/>
  </r>
  <r>
    <x v="0"/>
    <x v="52"/>
    <x v="52"/>
    <x v="25"/>
    <x v="25"/>
    <x v="25"/>
    <x v="6"/>
    <x v="176"/>
    <x v="383"/>
    <x v="97"/>
    <x v="110"/>
    <x v="101"/>
    <x v="387"/>
    <x v="0"/>
  </r>
  <r>
    <x v="0"/>
    <x v="52"/>
    <x v="52"/>
    <x v="30"/>
    <x v="30"/>
    <x v="30"/>
    <x v="12"/>
    <x v="178"/>
    <x v="16"/>
    <x v="97"/>
    <x v="110"/>
    <x v="116"/>
    <x v="388"/>
    <x v="0"/>
  </r>
  <r>
    <x v="0"/>
    <x v="52"/>
    <x v="52"/>
    <x v="32"/>
    <x v="32"/>
    <x v="32"/>
    <x v="12"/>
    <x v="178"/>
    <x v="16"/>
    <x v="97"/>
    <x v="110"/>
    <x v="116"/>
    <x v="388"/>
    <x v="0"/>
  </r>
  <r>
    <x v="0"/>
    <x v="52"/>
    <x v="52"/>
    <x v="31"/>
    <x v="31"/>
    <x v="31"/>
    <x v="12"/>
    <x v="178"/>
    <x v="16"/>
    <x v="97"/>
    <x v="110"/>
    <x v="116"/>
    <x v="388"/>
    <x v="0"/>
  </r>
  <r>
    <x v="0"/>
    <x v="52"/>
    <x v="52"/>
    <x v="63"/>
    <x v="63"/>
    <x v="63"/>
    <x v="12"/>
    <x v="178"/>
    <x v="16"/>
    <x v="97"/>
    <x v="110"/>
    <x v="116"/>
    <x v="388"/>
    <x v="0"/>
  </r>
  <r>
    <x v="0"/>
    <x v="52"/>
    <x v="52"/>
    <x v="53"/>
    <x v="53"/>
    <x v="53"/>
    <x v="12"/>
    <x v="178"/>
    <x v="16"/>
    <x v="97"/>
    <x v="110"/>
    <x v="116"/>
    <x v="388"/>
    <x v="0"/>
  </r>
  <r>
    <x v="0"/>
    <x v="52"/>
    <x v="52"/>
    <x v="69"/>
    <x v="69"/>
    <x v="69"/>
    <x v="12"/>
    <x v="178"/>
    <x v="16"/>
    <x v="97"/>
    <x v="110"/>
    <x v="116"/>
    <x v="388"/>
    <x v="0"/>
  </r>
  <r>
    <x v="0"/>
    <x v="52"/>
    <x v="52"/>
    <x v="20"/>
    <x v="20"/>
    <x v="20"/>
    <x v="12"/>
    <x v="178"/>
    <x v="16"/>
    <x v="97"/>
    <x v="110"/>
    <x v="116"/>
    <x v="388"/>
    <x v="0"/>
  </r>
  <r>
    <x v="0"/>
    <x v="52"/>
    <x v="52"/>
    <x v="21"/>
    <x v="21"/>
    <x v="21"/>
    <x v="12"/>
    <x v="178"/>
    <x v="16"/>
    <x v="97"/>
    <x v="110"/>
    <x v="116"/>
    <x v="388"/>
    <x v="0"/>
  </r>
  <r>
    <x v="0"/>
    <x v="52"/>
    <x v="52"/>
    <x v="13"/>
    <x v="13"/>
    <x v="13"/>
    <x v="12"/>
    <x v="178"/>
    <x v="16"/>
    <x v="90"/>
    <x v="347"/>
    <x v="128"/>
    <x v="206"/>
    <x v="0"/>
  </r>
  <r>
    <x v="0"/>
    <x v="52"/>
    <x v="52"/>
    <x v="16"/>
    <x v="16"/>
    <x v="16"/>
    <x v="12"/>
    <x v="178"/>
    <x v="16"/>
    <x v="90"/>
    <x v="347"/>
    <x v="128"/>
    <x v="206"/>
    <x v="0"/>
  </r>
  <r>
    <x v="0"/>
    <x v="52"/>
    <x v="52"/>
    <x v="1"/>
    <x v="1"/>
    <x v="1"/>
    <x v="12"/>
    <x v="178"/>
    <x v="16"/>
    <x v="90"/>
    <x v="347"/>
    <x v="128"/>
    <x v="206"/>
    <x v="0"/>
  </r>
  <r>
    <x v="0"/>
    <x v="52"/>
    <x v="52"/>
    <x v="27"/>
    <x v="27"/>
    <x v="27"/>
    <x v="12"/>
    <x v="178"/>
    <x v="16"/>
    <x v="97"/>
    <x v="110"/>
    <x v="116"/>
    <x v="388"/>
    <x v="0"/>
  </r>
  <r>
    <x v="0"/>
    <x v="52"/>
    <x v="52"/>
    <x v="19"/>
    <x v="19"/>
    <x v="19"/>
    <x v="12"/>
    <x v="178"/>
    <x v="16"/>
    <x v="97"/>
    <x v="110"/>
    <x v="116"/>
    <x v="388"/>
    <x v="0"/>
  </r>
  <r>
    <x v="0"/>
    <x v="52"/>
    <x v="52"/>
    <x v="37"/>
    <x v="37"/>
    <x v="37"/>
    <x v="12"/>
    <x v="178"/>
    <x v="16"/>
    <x v="97"/>
    <x v="110"/>
    <x v="116"/>
    <x v="388"/>
    <x v="0"/>
  </r>
  <r>
    <x v="0"/>
    <x v="52"/>
    <x v="52"/>
    <x v="14"/>
    <x v="14"/>
    <x v="14"/>
    <x v="12"/>
    <x v="178"/>
    <x v="16"/>
    <x v="97"/>
    <x v="110"/>
    <x v="116"/>
    <x v="388"/>
    <x v="0"/>
  </r>
  <r>
    <x v="0"/>
    <x v="52"/>
    <x v="52"/>
    <x v="38"/>
    <x v="38"/>
    <x v="38"/>
    <x v="12"/>
    <x v="178"/>
    <x v="16"/>
    <x v="97"/>
    <x v="110"/>
    <x v="116"/>
    <x v="388"/>
    <x v="0"/>
  </r>
  <r>
    <x v="0"/>
    <x v="53"/>
    <x v="53"/>
    <x v="6"/>
    <x v="6"/>
    <x v="6"/>
    <x v="0"/>
    <x v="170"/>
    <x v="473"/>
    <x v="80"/>
    <x v="503"/>
    <x v="116"/>
    <x v="389"/>
    <x v="0"/>
  </r>
  <r>
    <x v="0"/>
    <x v="53"/>
    <x v="53"/>
    <x v="7"/>
    <x v="7"/>
    <x v="7"/>
    <x v="1"/>
    <x v="172"/>
    <x v="301"/>
    <x v="91"/>
    <x v="259"/>
    <x v="92"/>
    <x v="390"/>
    <x v="0"/>
  </r>
  <r>
    <x v="0"/>
    <x v="53"/>
    <x v="53"/>
    <x v="4"/>
    <x v="4"/>
    <x v="4"/>
    <x v="2"/>
    <x v="173"/>
    <x v="474"/>
    <x v="91"/>
    <x v="259"/>
    <x v="101"/>
    <x v="202"/>
    <x v="0"/>
  </r>
  <r>
    <x v="0"/>
    <x v="53"/>
    <x v="53"/>
    <x v="28"/>
    <x v="28"/>
    <x v="28"/>
    <x v="2"/>
    <x v="173"/>
    <x v="474"/>
    <x v="37"/>
    <x v="504"/>
    <x v="116"/>
    <x v="389"/>
    <x v="0"/>
  </r>
  <r>
    <x v="0"/>
    <x v="53"/>
    <x v="53"/>
    <x v="1"/>
    <x v="1"/>
    <x v="1"/>
    <x v="2"/>
    <x v="173"/>
    <x v="474"/>
    <x v="38"/>
    <x v="505"/>
    <x v="128"/>
    <x v="206"/>
    <x v="0"/>
  </r>
  <r>
    <x v="0"/>
    <x v="53"/>
    <x v="53"/>
    <x v="5"/>
    <x v="5"/>
    <x v="5"/>
    <x v="5"/>
    <x v="174"/>
    <x v="377"/>
    <x v="91"/>
    <x v="259"/>
    <x v="116"/>
    <x v="389"/>
    <x v="0"/>
  </r>
  <r>
    <x v="0"/>
    <x v="53"/>
    <x v="53"/>
    <x v="2"/>
    <x v="2"/>
    <x v="2"/>
    <x v="5"/>
    <x v="174"/>
    <x v="377"/>
    <x v="91"/>
    <x v="259"/>
    <x v="116"/>
    <x v="389"/>
    <x v="0"/>
  </r>
  <r>
    <x v="0"/>
    <x v="53"/>
    <x v="53"/>
    <x v="20"/>
    <x v="20"/>
    <x v="20"/>
    <x v="7"/>
    <x v="176"/>
    <x v="475"/>
    <x v="97"/>
    <x v="110"/>
    <x v="101"/>
    <x v="202"/>
    <x v="0"/>
  </r>
  <r>
    <x v="0"/>
    <x v="53"/>
    <x v="53"/>
    <x v="0"/>
    <x v="0"/>
    <x v="0"/>
    <x v="7"/>
    <x v="176"/>
    <x v="475"/>
    <x v="90"/>
    <x v="506"/>
    <x v="116"/>
    <x v="389"/>
    <x v="0"/>
  </r>
  <r>
    <x v="0"/>
    <x v="53"/>
    <x v="53"/>
    <x v="29"/>
    <x v="29"/>
    <x v="29"/>
    <x v="9"/>
    <x v="178"/>
    <x v="476"/>
    <x v="97"/>
    <x v="110"/>
    <x v="116"/>
    <x v="389"/>
    <x v="0"/>
  </r>
  <r>
    <x v="0"/>
    <x v="53"/>
    <x v="53"/>
    <x v="60"/>
    <x v="60"/>
    <x v="60"/>
    <x v="9"/>
    <x v="178"/>
    <x v="476"/>
    <x v="97"/>
    <x v="110"/>
    <x v="116"/>
    <x v="389"/>
    <x v="0"/>
  </r>
  <r>
    <x v="0"/>
    <x v="53"/>
    <x v="53"/>
    <x v="30"/>
    <x v="30"/>
    <x v="30"/>
    <x v="9"/>
    <x v="178"/>
    <x v="476"/>
    <x v="97"/>
    <x v="110"/>
    <x v="116"/>
    <x v="389"/>
    <x v="0"/>
  </r>
  <r>
    <x v="0"/>
    <x v="53"/>
    <x v="53"/>
    <x v="59"/>
    <x v="59"/>
    <x v="59"/>
    <x v="9"/>
    <x v="178"/>
    <x v="476"/>
    <x v="97"/>
    <x v="110"/>
    <x v="116"/>
    <x v="389"/>
    <x v="0"/>
  </r>
  <r>
    <x v="0"/>
    <x v="53"/>
    <x v="53"/>
    <x v="11"/>
    <x v="11"/>
    <x v="11"/>
    <x v="9"/>
    <x v="178"/>
    <x v="476"/>
    <x v="97"/>
    <x v="110"/>
    <x v="116"/>
    <x v="389"/>
    <x v="0"/>
  </r>
  <r>
    <x v="0"/>
    <x v="53"/>
    <x v="53"/>
    <x v="16"/>
    <x v="16"/>
    <x v="16"/>
    <x v="9"/>
    <x v="178"/>
    <x v="476"/>
    <x v="90"/>
    <x v="506"/>
    <x v="128"/>
    <x v="206"/>
    <x v="0"/>
  </r>
  <r>
    <x v="0"/>
    <x v="53"/>
    <x v="53"/>
    <x v="27"/>
    <x v="27"/>
    <x v="27"/>
    <x v="9"/>
    <x v="178"/>
    <x v="476"/>
    <x v="97"/>
    <x v="110"/>
    <x v="116"/>
    <x v="389"/>
    <x v="0"/>
  </r>
  <r>
    <x v="0"/>
    <x v="53"/>
    <x v="53"/>
    <x v="15"/>
    <x v="15"/>
    <x v="15"/>
    <x v="9"/>
    <x v="178"/>
    <x v="476"/>
    <x v="97"/>
    <x v="110"/>
    <x v="116"/>
    <x v="389"/>
    <x v="0"/>
  </r>
  <r>
    <x v="0"/>
    <x v="53"/>
    <x v="53"/>
    <x v="37"/>
    <x v="37"/>
    <x v="37"/>
    <x v="9"/>
    <x v="178"/>
    <x v="476"/>
    <x v="97"/>
    <x v="110"/>
    <x v="128"/>
    <x v="206"/>
    <x v="4"/>
  </r>
  <r>
    <x v="0"/>
    <x v="53"/>
    <x v="53"/>
    <x v="14"/>
    <x v="14"/>
    <x v="14"/>
    <x v="9"/>
    <x v="178"/>
    <x v="476"/>
    <x v="97"/>
    <x v="110"/>
    <x v="116"/>
    <x v="389"/>
    <x v="0"/>
  </r>
  <r>
    <x v="0"/>
    <x v="54"/>
    <x v="54"/>
    <x v="4"/>
    <x v="4"/>
    <x v="4"/>
    <x v="0"/>
    <x v="176"/>
    <x v="477"/>
    <x v="97"/>
    <x v="110"/>
    <x v="101"/>
    <x v="391"/>
    <x v="0"/>
  </r>
  <r>
    <x v="0"/>
    <x v="54"/>
    <x v="54"/>
    <x v="2"/>
    <x v="2"/>
    <x v="2"/>
    <x v="0"/>
    <x v="176"/>
    <x v="477"/>
    <x v="97"/>
    <x v="110"/>
    <x v="101"/>
    <x v="391"/>
    <x v="0"/>
  </r>
  <r>
    <x v="0"/>
    <x v="54"/>
    <x v="54"/>
    <x v="1"/>
    <x v="1"/>
    <x v="1"/>
    <x v="0"/>
    <x v="176"/>
    <x v="477"/>
    <x v="91"/>
    <x v="507"/>
    <x v="128"/>
    <x v="206"/>
    <x v="0"/>
  </r>
  <r>
    <x v="0"/>
    <x v="54"/>
    <x v="54"/>
    <x v="30"/>
    <x v="30"/>
    <x v="30"/>
    <x v="3"/>
    <x v="178"/>
    <x v="301"/>
    <x v="97"/>
    <x v="110"/>
    <x v="116"/>
    <x v="350"/>
    <x v="0"/>
  </r>
  <r>
    <x v="0"/>
    <x v="54"/>
    <x v="54"/>
    <x v="10"/>
    <x v="10"/>
    <x v="10"/>
    <x v="3"/>
    <x v="178"/>
    <x v="301"/>
    <x v="90"/>
    <x v="508"/>
    <x v="128"/>
    <x v="206"/>
    <x v="0"/>
  </r>
  <r>
    <x v="0"/>
    <x v="54"/>
    <x v="54"/>
    <x v="15"/>
    <x v="15"/>
    <x v="15"/>
    <x v="3"/>
    <x v="178"/>
    <x v="301"/>
    <x v="97"/>
    <x v="110"/>
    <x v="128"/>
    <x v="206"/>
    <x v="0"/>
  </r>
  <r>
    <x v="0"/>
    <x v="55"/>
    <x v="55"/>
    <x v="4"/>
    <x v="4"/>
    <x v="4"/>
    <x v="0"/>
    <x v="178"/>
    <x v="478"/>
    <x v="97"/>
    <x v="509"/>
    <x v="116"/>
    <x v="392"/>
    <x v="0"/>
  </r>
  <r>
    <x v="0"/>
    <x v="55"/>
    <x v="55"/>
    <x v="5"/>
    <x v="5"/>
    <x v="5"/>
    <x v="0"/>
    <x v="178"/>
    <x v="478"/>
    <x v="97"/>
    <x v="509"/>
    <x v="116"/>
    <x v="392"/>
    <x v="0"/>
  </r>
  <r>
    <x v="0"/>
    <x v="55"/>
    <x v="55"/>
    <x v="35"/>
    <x v="35"/>
    <x v="35"/>
    <x v="0"/>
    <x v="178"/>
    <x v="478"/>
    <x v="97"/>
    <x v="509"/>
    <x v="116"/>
    <x v="392"/>
    <x v="0"/>
  </r>
  <r>
    <x v="0"/>
    <x v="56"/>
    <x v="56"/>
    <x v="1"/>
    <x v="1"/>
    <x v="1"/>
    <x v="0"/>
    <x v="175"/>
    <x v="479"/>
    <x v="66"/>
    <x v="510"/>
    <x v="101"/>
    <x v="257"/>
    <x v="0"/>
  </r>
  <r>
    <x v="0"/>
    <x v="56"/>
    <x v="56"/>
    <x v="4"/>
    <x v="4"/>
    <x v="4"/>
    <x v="1"/>
    <x v="171"/>
    <x v="122"/>
    <x v="90"/>
    <x v="174"/>
    <x v="118"/>
    <x v="393"/>
    <x v="0"/>
  </r>
  <r>
    <x v="0"/>
    <x v="56"/>
    <x v="56"/>
    <x v="2"/>
    <x v="2"/>
    <x v="2"/>
    <x v="2"/>
    <x v="172"/>
    <x v="301"/>
    <x v="37"/>
    <x v="511"/>
    <x v="101"/>
    <x v="257"/>
    <x v="0"/>
  </r>
  <r>
    <x v="0"/>
    <x v="56"/>
    <x v="56"/>
    <x v="5"/>
    <x v="5"/>
    <x v="5"/>
    <x v="3"/>
    <x v="173"/>
    <x v="474"/>
    <x v="97"/>
    <x v="110"/>
    <x v="117"/>
    <x v="394"/>
    <x v="0"/>
  </r>
  <r>
    <x v="0"/>
    <x v="56"/>
    <x v="56"/>
    <x v="7"/>
    <x v="7"/>
    <x v="7"/>
    <x v="3"/>
    <x v="173"/>
    <x v="474"/>
    <x v="97"/>
    <x v="110"/>
    <x v="117"/>
    <x v="394"/>
    <x v="0"/>
  </r>
  <r>
    <x v="0"/>
    <x v="56"/>
    <x v="56"/>
    <x v="14"/>
    <x v="14"/>
    <x v="14"/>
    <x v="5"/>
    <x v="174"/>
    <x v="377"/>
    <x v="91"/>
    <x v="347"/>
    <x v="116"/>
    <x v="261"/>
    <x v="0"/>
  </r>
  <r>
    <x v="0"/>
    <x v="56"/>
    <x v="56"/>
    <x v="30"/>
    <x v="30"/>
    <x v="30"/>
    <x v="6"/>
    <x v="176"/>
    <x v="475"/>
    <x v="97"/>
    <x v="110"/>
    <x v="101"/>
    <x v="257"/>
    <x v="0"/>
  </r>
  <r>
    <x v="0"/>
    <x v="56"/>
    <x v="56"/>
    <x v="72"/>
    <x v="72"/>
    <x v="72"/>
    <x v="6"/>
    <x v="176"/>
    <x v="475"/>
    <x v="97"/>
    <x v="110"/>
    <x v="101"/>
    <x v="257"/>
    <x v="0"/>
  </r>
  <r>
    <x v="0"/>
    <x v="56"/>
    <x v="56"/>
    <x v="49"/>
    <x v="49"/>
    <x v="49"/>
    <x v="8"/>
    <x v="178"/>
    <x v="476"/>
    <x v="97"/>
    <x v="110"/>
    <x v="116"/>
    <x v="261"/>
    <x v="0"/>
  </r>
  <r>
    <x v="0"/>
    <x v="56"/>
    <x v="56"/>
    <x v="28"/>
    <x v="28"/>
    <x v="28"/>
    <x v="8"/>
    <x v="178"/>
    <x v="476"/>
    <x v="97"/>
    <x v="110"/>
    <x v="116"/>
    <x v="261"/>
    <x v="0"/>
  </r>
  <r>
    <x v="0"/>
    <x v="56"/>
    <x v="56"/>
    <x v="40"/>
    <x v="40"/>
    <x v="40"/>
    <x v="8"/>
    <x v="178"/>
    <x v="476"/>
    <x v="97"/>
    <x v="110"/>
    <x v="116"/>
    <x v="261"/>
    <x v="0"/>
  </r>
  <r>
    <x v="0"/>
    <x v="56"/>
    <x v="56"/>
    <x v="6"/>
    <x v="6"/>
    <x v="6"/>
    <x v="8"/>
    <x v="178"/>
    <x v="476"/>
    <x v="97"/>
    <x v="110"/>
    <x v="116"/>
    <x v="261"/>
    <x v="0"/>
  </r>
  <r>
    <x v="0"/>
    <x v="56"/>
    <x v="56"/>
    <x v="10"/>
    <x v="10"/>
    <x v="10"/>
    <x v="8"/>
    <x v="178"/>
    <x v="476"/>
    <x v="90"/>
    <x v="174"/>
    <x v="128"/>
    <x v="206"/>
    <x v="0"/>
  </r>
  <r>
    <x v="0"/>
    <x v="56"/>
    <x v="56"/>
    <x v="3"/>
    <x v="3"/>
    <x v="3"/>
    <x v="8"/>
    <x v="178"/>
    <x v="476"/>
    <x v="97"/>
    <x v="110"/>
    <x v="116"/>
    <x v="261"/>
    <x v="0"/>
  </r>
  <r>
    <x v="0"/>
    <x v="56"/>
    <x v="56"/>
    <x v="12"/>
    <x v="12"/>
    <x v="12"/>
    <x v="8"/>
    <x v="178"/>
    <x v="476"/>
    <x v="97"/>
    <x v="110"/>
    <x v="116"/>
    <x v="261"/>
    <x v="0"/>
  </r>
  <r>
    <x v="0"/>
    <x v="56"/>
    <x v="56"/>
    <x v="27"/>
    <x v="27"/>
    <x v="27"/>
    <x v="8"/>
    <x v="178"/>
    <x v="476"/>
    <x v="90"/>
    <x v="174"/>
    <x v="128"/>
    <x v="206"/>
    <x v="0"/>
  </r>
  <r>
    <x v="0"/>
    <x v="56"/>
    <x v="56"/>
    <x v="0"/>
    <x v="0"/>
    <x v="0"/>
    <x v="8"/>
    <x v="178"/>
    <x v="476"/>
    <x v="97"/>
    <x v="110"/>
    <x v="116"/>
    <x v="261"/>
    <x v="0"/>
  </r>
  <r>
    <x v="0"/>
    <x v="56"/>
    <x v="56"/>
    <x v="9"/>
    <x v="9"/>
    <x v="9"/>
    <x v="8"/>
    <x v="178"/>
    <x v="476"/>
    <x v="90"/>
    <x v="174"/>
    <x v="128"/>
    <x v="206"/>
    <x v="0"/>
  </r>
  <r>
    <x v="0"/>
    <x v="56"/>
    <x v="56"/>
    <x v="37"/>
    <x v="37"/>
    <x v="37"/>
    <x v="8"/>
    <x v="178"/>
    <x v="476"/>
    <x v="97"/>
    <x v="110"/>
    <x v="116"/>
    <x v="261"/>
    <x v="0"/>
  </r>
  <r>
    <x v="0"/>
    <x v="56"/>
    <x v="56"/>
    <x v="25"/>
    <x v="25"/>
    <x v="25"/>
    <x v="8"/>
    <x v="178"/>
    <x v="476"/>
    <x v="97"/>
    <x v="110"/>
    <x v="116"/>
    <x v="261"/>
    <x v="0"/>
  </r>
  <r>
    <x v="0"/>
    <x v="57"/>
    <x v="57"/>
    <x v="4"/>
    <x v="4"/>
    <x v="4"/>
    <x v="0"/>
    <x v="176"/>
    <x v="480"/>
    <x v="97"/>
    <x v="110"/>
    <x v="101"/>
    <x v="292"/>
    <x v="0"/>
  </r>
  <r>
    <x v="0"/>
    <x v="57"/>
    <x v="57"/>
    <x v="5"/>
    <x v="5"/>
    <x v="5"/>
    <x v="0"/>
    <x v="176"/>
    <x v="480"/>
    <x v="97"/>
    <x v="110"/>
    <x v="101"/>
    <x v="292"/>
    <x v="0"/>
  </r>
  <r>
    <x v="0"/>
    <x v="57"/>
    <x v="57"/>
    <x v="2"/>
    <x v="2"/>
    <x v="2"/>
    <x v="0"/>
    <x v="176"/>
    <x v="480"/>
    <x v="91"/>
    <x v="507"/>
    <x v="128"/>
    <x v="206"/>
    <x v="0"/>
  </r>
  <r>
    <x v="0"/>
    <x v="57"/>
    <x v="57"/>
    <x v="29"/>
    <x v="29"/>
    <x v="29"/>
    <x v="3"/>
    <x v="178"/>
    <x v="376"/>
    <x v="97"/>
    <x v="110"/>
    <x v="116"/>
    <x v="293"/>
    <x v="0"/>
  </r>
  <r>
    <x v="0"/>
    <x v="57"/>
    <x v="57"/>
    <x v="36"/>
    <x v="36"/>
    <x v="36"/>
    <x v="3"/>
    <x v="178"/>
    <x v="376"/>
    <x v="97"/>
    <x v="110"/>
    <x v="116"/>
    <x v="293"/>
    <x v="0"/>
  </r>
  <r>
    <x v="0"/>
    <x v="57"/>
    <x v="57"/>
    <x v="20"/>
    <x v="20"/>
    <x v="20"/>
    <x v="3"/>
    <x v="178"/>
    <x v="376"/>
    <x v="97"/>
    <x v="110"/>
    <x v="116"/>
    <x v="293"/>
    <x v="0"/>
  </r>
  <r>
    <x v="0"/>
    <x v="57"/>
    <x v="57"/>
    <x v="13"/>
    <x v="13"/>
    <x v="13"/>
    <x v="3"/>
    <x v="178"/>
    <x v="376"/>
    <x v="97"/>
    <x v="110"/>
    <x v="116"/>
    <x v="293"/>
    <x v="0"/>
  </r>
  <r>
    <x v="0"/>
    <x v="57"/>
    <x v="57"/>
    <x v="8"/>
    <x v="8"/>
    <x v="8"/>
    <x v="3"/>
    <x v="178"/>
    <x v="376"/>
    <x v="97"/>
    <x v="110"/>
    <x v="128"/>
    <x v="206"/>
    <x v="0"/>
  </r>
  <r>
    <x v="0"/>
    <x v="57"/>
    <x v="57"/>
    <x v="9"/>
    <x v="9"/>
    <x v="9"/>
    <x v="3"/>
    <x v="178"/>
    <x v="376"/>
    <x v="90"/>
    <x v="508"/>
    <x v="128"/>
    <x v="206"/>
    <x v="0"/>
  </r>
  <r>
    <x v="0"/>
    <x v="58"/>
    <x v="58"/>
    <x v="0"/>
    <x v="0"/>
    <x v="0"/>
    <x v="0"/>
    <x v="104"/>
    <x v="481"/>
    <x v="118"/>
    <x v="512"/>
    <x v="128"/>
    <x v="206"/>
    <x v="0"/>
  </r>
  <r>
    <x v="0"/>
    <x v="58"/>
    <x v="58"/>
    <x v="4"/>
    <x v="4"/>
    <x v="4"/>
    <x v="1"/>
    <x v="135"/>
    <x v="482"/>
    <x v="38"/>
    <x v="513"/>
    <x v="111"/>
    <x v="350"/>
    <x v="0"/>
  </r>
  <r>
    <x v="0"/>
    <x v="58"/>
    <x v="58"/>
    <x v="7"/>
    <x v="7"/>
    <x v="7"/>
    <x v="2"/>
    <x v="137"/>
    <x v="483"/>
    <x v="38"/>
    <x v="513"/>
    <x v="106"/>
    <x v="134"/>
    <x v="0"/>
  </r>
  <r>
    <x v="0"/>
    <x v="58"/>
    <x v="58"/>
    <x v="1"/>
    <x v="1"/>
    <x v="1"/>
    <x v="2"/>
    <x v="137"/>
    <x v="483"/>
    <x v="78"/>
    <x v="514"/>
    <x v="116"/>
    <x v="395"/>
    <x v="0"/>
  </r>
  <r>
    <x v="0"/>
    <x v="58"/>
    <x v="58"/>
    <x v="6"/>
    <x v="6"/>
    <x v="6"/>
    <x v="4"/>
    <x v="167"/>
    <x v="484"/>
    <x v="52"/>
    <x v="515"/>
    <x v="116"/>
    <x v="395"/>
    <x v="0"/>
  </r>
  <r>
    <x v="0"/>
    <x v="58"/>
    <x v="58"/>
    <x v="5"/>
    <x v="5"/>
    <x v="5"/>
    <x v="5"/>
    <x v="169"/>
    <x v="485"/>
    <x v="91"/>
    <x v="516"/>
    <x v="96"/>
    <x v="396"/>
    <x v="0"/>
  </r>
  <r>
    <x v="0"/>
    <x v="58"/>
    <x v="58"/>
    <x v="2"/>
    <x v="2"/>
    <x v="2"/>
    <x v="6"/>
    <x v="175"/>
    <x v="486"/>
    <x v="38"/>
    <x v="513"/>
    <x v="92"/>
    <x v="397"/>
    <x v="0"/>
  </r>
  <r>
    <x v="0"/>
    <x v="58"/>
    <x v="58"/>
    <x v="31"/>
    <x v="31"/>
    <x v="31"/>
    <x v="7"/>
    <x v="171"/>
    <x v="487"/>
    <x v="91"/>
    <x v="516"/>
    <x v="117"/>
    <x v="398"/>
    <x v="0"/>
  </r>
  <r>
    <x v="0"/>
    <x v="58"/>
    <x v="58"/>
    <x v="32"/>
    <x v="32"/>
    <x v="32"/>
    <x v="8"/>
    <x v="172"/>
    <x v="49"/>
    <x v="37"/>
    <x v="517"/>
    <x v="101"/>
    <x v="399"/>
    <x v="0"/>
  </r>
  <r>
    <x v="0"/>
    <x v="58"/>
    <x v="58"/>
    <x v="23"/>
    <x v="23"/>
    <x v="23"/>
    <x v="8"/>
    <x v="172"/>
    <x v="49"/>
    <x v="90"/>
    <x v="518"/>
    <x v="117"/>
    <x v="398"/>
    <x v="0"/>
  </r>
  <r>
    <x v="0"/>
    <x v="58"/>
    <x v="58"/>
    <x v="10"/>
    <x v="10"/>
    <x v="10"/>
    <x v="8"/>
    <x v="172"/>
    <x v="49"/>
    <x v="91"/>
    <x v="516"/>
    <x v="92"/>
    <x v="397"/>
    <x v="0"/>
  </r>
  <r>
    <x v="0"/>
    <x v="58"/>
    <x v="58"/>
    <x v="8"/>
    <x v="8"/>
    <x v="8"/>
    <x v="8"/>
    <x v="172"/>
    <x v="49"/>
    <x v="37"/>
    <x v="517"/>
    <x v="128"/>
    <x v="206"/>
    <x v="0"/>
  </r>
  <r>
    <x v="0"/>
    <x v="58"/>
    <x v="58"/>
    <x v="9"/>
    <x v="9"/>
    <x v="9"/>
    <x v="8"/>
    <x v="172"/>
    <x v="49"/>
    <x v="66"/>
    <x v="121"/>
    <x v="128"/>
    <x v="206"/>
    <x v="0"/>
  </r>
  <r>
    <x v="0"/>
    <x v="58"/>
    <x v="58"/>
    <x v="14"/>
    <x v="14"/>
    <x v="14"/>
    <x v="8"/>
    <x v="172"/>
    <x v="49"/>
    <x v="66"/>
    <x v="121"/>
    <x v="128"/>
    <x v="206"/>
    <x v="0"/>
  </r>
  <r>
    <x v="0"/>
    <x v="58"/>
    <x v="58"/>
    <x v="12"/>
    <x v="12"/>
    <x v="12"/>
    <x v="14"/>
    <x v="173"/>
    <x v="488"/>
    <x v="90"/>
    <x v="518"/>
    <x v="92"/>
    <x v="397"/>
    <x v="0"/>
  </r>
  <r>
    <x v="0"/>
    <x v="58"/>
    <x v="58"/>
    <x v="15"/>
    <x v="15"/>
    <x v="15"/>
    <x v="14"/>
    <x v="173"/>
    <x v="488"/>
    <x v="97"/>
    <x v="110"/>
    <x v="92"/>
    <x v="397"/>
    <x v="0"/>
  </r>
  <r>
    <x v="0"/>
    <x v="58"/>
    <x v="58"/>
    <x v="29"/>
    <x v="29"/>
    <x v="29"/>
    <x v="16"/>
    <x v="174"/>
    <x v="489"/>
    <x v="91"/>
    <x v="516"/>
    <x v="116"/>
    <x v="395"/>
    <x v="0"/>
  </r>
  <r>
    <x v="0"/>
    <x v="58"/>
    <x v="58"/>
    <x v="17"/>
    <x v="17"/>
    <x v="17"/>
    <x v="16"/>
    <x v="174"/>
    <x v="489"/>
    <x v="97"/>
    <x v="110"/>
    <x v="92"/>
    <x v="397"/>
    <x v="0"/>
  </r>
  <r>
    <x v="0"/>
    <x v="58"/>
    <x v="58"/>
    <x v="11"/>
    <x v="11"/>
    <x v="11"/>
    <x v="16"/>
    <x v="174"/>
    <x v="489"/>
    <x v="37"/>
    <x v="517"/>
    <x v="128"/>
    <x v="206"/>
    <x v="0"/>
  </r>
  <r>
    <x v="0"/>
    <x v="58"/>
    <x v="58"/>
    <x v="46"/>
    <x v="46"/>
    <x v="46"/>
    <x v="16"/>
    <x v="174"/>
    <x v="489"/>
    <x v="97"/>
    <x v="110"/>
    <x v="101"/>
    <x v="399"/>
    <x v="0"/>
  </r>
  <r>
    <x v="0"/>
    <x v="58"/>
    <x v="58"/>
    <x v="25"/>
    <x v="25"/>
    <x v="25"/>
    <x v="16"/>
    <x v="174"/>
    <x v="489"/>
    <x v="97"/>
    <x v="110"/>
    <x v="92"/>
    <x v="397"/>
    <x v="0"/>
  </r>
  <r>
    <x v="0"/>
    <x v="59"/>
    <x v="59"/>
    <x v="5"/>
    <x v="5"/>
    <x v="5"/>
    <x v="0"/>
    <x v="169"/>
    <x v="490"/>
    <x v="80"/>
    <x v="519"/>
    <x v="101"/>
    <x v="293"/>
    <x v="0"/>
  </r>
  <r>
    <x v="0"/>
    <x v="59"/>
    <x v="59"/>
    <x v="10"/>
    <x v="10"/>
    <x v="10"/>
    <x v="1"/>
    <x v="174"/>
    <x v="334"/>
    <x v="90"/>
    <x v="276"/>
    <x v="101"/>
    <x v="293"/>
    <x v="0"/>
  </r>
  <r>
    <x v="0"/>
    <x v="59"/>
    <x v="59"/>
    <x v="2"/>
    <x v="2"/>
    <x v="2"/>
    <x v="1"/>
    <x v="174"/>
    <x v="334"/>
    <x v="90"/>
    <x v="276"/>
    <x v="101"/>
    <x v="293"/>
    <x v="0"/>
  </r>
  <r>
    <x v="0"/>
    <x v="59"/>
    <x v="59"/>
    <x v="4"/>
    <x v="4"/>
    <x v="4"/>
    <x v="3"/>
    <x v="176"/>
    <x v="377"/>
    <x v="97"/>
    <x v="110"/>
    <x v="101"/>
    <x v="293"/>
    <x v="0"/>
  </r>
  <r>
    <x v="0"/>
    <x v="59"/>
    <x v="59"/>
    <x v="7"/>
    <x v="7"/>
    <x v="7"/>
    <x v="3"/>
    <x v="176"/>
    <x v="377"/>
    <x v="97"/>
    <x v="110"/>
    <x v="101"/>
    <x v="293"/>
    <x v="0"/>
  </r>
  <r>
    <x v="0"/>
    <x v="59"/>
    <x v="59"/>
    <x v="30"/>
    <x v="30"/>
    <x v="30"/>
    <x v="3"/>
    <x v="176"/>
    <x v="377"/>
    <x v="97"/>
    <x v="110"/>
    <x v="101"/>
    <x v="293"/>
    <x v="0"/>
  </r>
  <r>
    <x v="0"/>
    <x v="59"/>
    <x v="59"/>
    <x v="47"/>
    <x v="47"/>
    <x v="47"/>
    <x v="6"/>
    <x v="178"/>
    <x v="338"/>
    <x v="90"/>
    <x v="276"/>
    <x v="128"/>
    <x v="206"/>
    <x v="0"/>
  </r>
  <r>
    <x v="0"/>
    <x v="59"/>
    <x v="59"/>
    <x v="31"/>
    <x v="31"/>
    <x v="31"/>
    <x v="6"/>
    <x v="178"/>
    <x v="338"/>
    <x v="97"/>
    <x v="110"/>
    <x v="116"/>
    <x v="269"/>
    <x v="0"/>
  </r>
  <r>
    <x v="0"/>
    <x v="59"/>
    <x v="59"/>
    <x v="36"/>
    <x v="36"/>
    <x v="36"/>
    <x v="6"/>
    <x v="178"/>
    <x v="338"/>
    <x v="97"/>
    <x v="110"/>
    <x v="116"/>
    <x v="269"/>
    <x v="0"/>
  </r>
  <r>
    <x v="0"/>
    <x v="59"/>
    <x v="59"/>
    <x v="17"/>
    <x v="17"/>
    <x v="17"/>
    <x v="6"/>
    <x v="178"/>
    <x v="338"/>
    <x v="97"/>
    <x v="110"/>
    <x v="116"/>
    <x v="269"/>
    <x v="0"/>
  </r>
  <r>
    <x v="0"/>
    <x v="59"/>
    <x v="59"/>
    <x v="0"/>
    <x v="0"/>
    <x v="0"/>
    <x v="6"/>
    <x v="178"/>
    <x v="338"/>
    <x v="90"/>
    <x v="276"/>
    <x v="128"/>
    <x v="206"/>
    <x v="0"/>
  </r>
  <r>
    <x v="0"/>
    <x v="59"/>
    <x v="59"/>
    <x v="9"/>
    <x v="9"/>
    <x v="9"/>
    <x v="6"/>
    <x v="178"/>
    <x v="338"/>
    <x v="90"/>
    <x v="276"/>
    <x v="128"/>
    <x v="206"/>
    <x v="0"/>
  </r>
  <r>
    <x v="0"/>
    <x v="59"/>
    <x v="59"/>
    <x v="15"/>
    <x v="15"/>
    <x v="15"/>
    <x v="6"/>
    <x v="178"/>
    <x v="338"/>
    <x v="97"/>
    <x v="110"/>
    <x v="128"/>
    <x v="206"/>
    <x v="0"/>
  </r>
  <r>
    <x v="0"/>
    <x v="59"/>
    <x v="59"/>
    <x v="62"/>
    <x v="62"/>
    <x v="62"/>
    <x v="6"/>
    <x v="178"/>
    <x v="338"/>
    <x v="90"/>
    <x v="276"/>
    <x v="128"/>
    <x v="206"/>
    <x v="0"/>
  </r>
  <r>
    <x v="0"/>
    <x v="59"/>
    <x v="59"/>
    <x v="25"/>
    <x v="25"/>
    <x v="25"/>
    <x v="6"/>
    <x v="178"/>
    <x v="338"/>
    <x v="97"/>
    <x v="110"/>
    <x v="116"/>
    <x v="269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6"/>
    <x v="6"/>
    <x v="6"/>
    <x v="7"/>
    <x v="7"/>
    <x v="7"/>
    <x v="7"/>
    <x v="0"/>
  </r>
  <r>
    <x v="0"/>
    <x v="0"/>
    <x v="0"/>
    <x v="8"/>
    <x v="8"/>
    <x v="8"/>
    <x v="7"/>
    <x v="7"/>
    <x v="7"/>
    <x v="8"/>
    <x v="8"/>
    <x v="8"/>
    <x v="8"/>
    <x v="2"/>
  </r>
  <r>
    <x v="0"/>
    <x v="0"/>
    <x v="0"/>
    <x v="9"/>
    <x v="9"/>
    <x v="9"/>
    <x v="8"/>
    <x v="8"/>
    <x v="8"/>
    <x v="9"/>
    <x v="9"/>
    <x v="9"/>
    <x v="9"/>
    <x v="0"/>
  </r>
  <r>
    <x v="0"/>
    <x v="0"/>
    <x v="0"/>
    <x v="10"/>
    <x v="10"/>
    <x v="10"/>
    <x v="9"/>
    <x v="9"/>
    <x v="9"/>
    <x v="10"/>
    <x v="10"/>
    <x v="10"/>
    <x v="10"/>
    <x v="3"/>
  </r>
  <r>
    <x v="0"/>
    <x v="0"/>
    <x v="0"/>
    <x v="11"/>
    <x v="11"/>
    <x v="11"/>
    <x v="10"/>
    <x v="10"/>
    <x v="10"/>
    <x v="11"/>
    <x v="11"/>
    <x v="11"/>
    <x v="11"/>
    <x v="1"/>
  </r>
  <r>
    <x v="0"/>
    <x v="0"/>
    <x v="0"/>
    <x v="12"/>
    <x v="12"/>
    <x v="12"/>
    <x v="11"/>
    <x v="11"/>
    <x v="11"/>
    <x v="12"/>
    <x v="12"/>
    <x v="12"/>
    <x v="12"/>
    <x v="4"/>
  </r>
  <r>
    <x v="0"/>
    <x v="0"/>
    <x v="0"/>
    <x v="13"/>
    <x v="13"/>
    <x v="13"/>
    <x v="12"/>
    <x v="12"/>
    <x v="12"/>
    <x v="13"/>
    <x v="13"/>
    <x v="13"/>
    <x v="13"/>
    <x v="0"/>
  </r>
  <r>
    <x v="0"/>
    <x v="0"/>
    <x v="0"/>
    <x v="14"/>
    <x v="14"/>
    <x v="14"/>
    <x v="13"/>
    <x v="13"/>
    <x v="13"/>
    <x v="14"/>
    <x v="14"/>
    <x v="14"/>
    <x v="14"/>
    <x v="0"/>
  </r>
  <r>
    <x v="0"/>
    <x v="0"/>
    <x v="0"/>
    <x v="15"/>
    <x v="15"/>
    <x v="15"/>
    <x v="14"/>
    <x v="14"/>
    <x v="14"/>
    <x v="15"/>
    <x v="15"/>
    <x v="15"/>
    <x v="15"/>
    <x v="0"/>
  </r>
  <r>
    <x v="0"/>
    <x v="0"/>
    <x v="0"/>
    <x v="16"/>
    <x v="16"/>
    <x v="16"/>
    <x v="15"/>
    <x v="15"/>
    <x v="15"/>
    <x v="16"/>
    <x v="16"/>
    <x v="16"/>
    <x v="16"/>
    <x v="0"/>
  </r>
  <r>
    <x v="0"/>
    <x v="0"/>
    <x v="0"/>
    <x v="17"/>
    <x v="17"/>
    <x v="17"/>
    <x v="16"/>
    <x v="16"/>
    <x v="16"/>
    <x v="17"/>
    <x v="17"/>
    <x v="17"/>
    <x v="17"/>
    <x v="0"/>
  </r>
  <r>
    <x v="0"/>
    <x v="0"/>
    <x v="0"/>
    <x v="18"/>
    <x v="18"/>
    <x v="18"/>
    <x v="17"/>
    <x v="17"/>
    <x v="16"/>
    <x v="18"/>
    <x v="18"/>
    <x v="18"/>
    <x v="18"/>
    <x v="0"/>
  </r>
  <r>
    <x v="0"/>
    <x v="0"/>
    <x v="0"/>
    <x v="19"/>
    <x v="19"/>
    <x v="19"/>
    <x v="18"/>
    <x v="18"/>
    <x v="17"/>
    <x v="19"/>
    <x v="19"/>
    <x v="19"/>
    <x v="19"/>
    <x v="2"/>
  </r>
  <r>
    <x v="0"/>
    <x v="1"/>
    <x v="1"/>
    <x v="1"/>
    <x v="1"/>
    <x v="1"/>
    <x v="0"/>
    <x v="19"/>
    <x v="18"/>
    <x v="20"/>
    <x v="20"/>
    <x v="20"/>
    <x v="20"/>
    <x v="0"/>
  </r>
  <r>
    <x v="0"/>
    <x v="1"/>
    <x v="1"/>
    <x v="0"/>
    <x v="0"/>
    <x v="0"/>
    <x v="1"/>
    <x v="20"/>
    <x v="19"/>
    <x v="21"/>
    <x v="21"/>
    <x v="21"/>
    <x v="21"/>
    <x v="0"/>
  </r>
  <r>
    <x v="0"/>
    <x v="1"/>
    <x v="1"/>
    <x v="2"/>
    <x v="2"/>
    <x v="2"/>
    <x v="2"/>
    <x v="21"/>
    <x v="20"/>
    <x v="22"/>
    <x v="22"/>
    <x v="22"/>
    <x v="22"/>
    <x v="0"/>
  </r>
  <r>
    <x v="0"/>
    <x v="1"/>
    <x v="1"/>
    <x v="3"/>
    <x v="3"/>
    <x v="3"/>
    <x v="3"/>
    <x v="22"/>
    <x v="21"/>
    <x v="23"/>
    <x v="23"/>
    <x v="23"/>
    <x v="23"/>
    <x v="0"/>
  </r>
  <r>
    <x v="0"/>
    <x v="1"/>
    <x v="1"/>
    <x v="7"/>
    <x v="7"/>
    <x v="7"/>
    <x v="4"/>
    <x v="23"/>
    <x v="22"/>
    <x v="6"/>
    <x v="24"/>
    <x v="22"/>
    <x v="22"/>
    <x v="0"/>
  </r>
  <r>
    <x v="0"/>
    <x v="1"/>
    <x v="1"/>
    <x v="8"/>
    <x v="8"/>
    <x v="8"/>
    <x v="5"/>
    <x v="24"/>
    <x v="23"/>
    <x v="24"/>
    <x v="25"/>
    <x v="24"/>
    <x v="24"/>
    <x v="5"/>
  </r>
  <r>
    <x v="0"/>
    <x v="1"/>
    <x v="1"/>
    <x v="4"/>
    <x v="4"/>
    <x v="4"/>
    <x v="6"/>
    <x v="25"/>
    <x v="24"/>
    <x v="15"/>
    <x v="26"/>
    <x v="25"/>
    <x v="25"/>
    <x v="0"/>
  </r>
  <r>
    <x v="0"/>
    <x v="1"/>
    <x v="1"/>
    <x v="17"/>
    <x v="17"/>
    <x v="17"/>
    <x v="19"/>
    <x v="26"/>
    <x v="25"/>
    <x v="25"/>
    <x v="27"/>
    <x v="26"/>
    <x v="26"/>
    <x v="0"/>
  </r>
  <r>
    <x v="0"/>
    <x v="1"/>
    <x v="1"/>
    <x v="18"/>
    <x v="18"/>
    <x v="18"/>
    <x v="7"/>
    <x v="27"/>
    <x v="26"/>
    <x v="26"/>
    <x v="28"/>
    <x v="27"/>
    <x v="27"/>
    <x v="0"/>
  </r>
  <r>
    <x v="0"/>
    <x v="1"/>
    <x v="1"/>
    <x v="9"/>
    <x v="9"/>
    <x v="9"/>
    <x v="7"/>
    <x v="27"/>
    <x v="26"/>
    <x v="27"/>
    <x v="29"/>
    <x v="28"/>
    <x v="28"/>
    <x v="0"/>
  </r>
  <r>
    <x v="0"/>
    <x v="1"/>
    <x v="1"/>
    <x v="19"/>
    <x v="19"/>
    <x v="19"/>
    <x v="9"/>
    <x v="28"/>
    <x v="27"/>
    <x v="28"/>
    <x v="30"/>
    <x v="29"/>
    <x v="29"/>
    <x v="1"/>
  </r>
  <r>
    <x v="0"/>
    <x v="1"/>
    <x v="1"/>
    <x v="11"/>
    <x v="11"/>
    <x v="11"/>
    <x v="10"/>
    <x v="29"/>
    <x v="28"/>
    <x v="29"/>
    <x v="31"/>
    <x v="30"/>
    <x v="18"/>
    <x v="0"/>
  </r>
  <r>
    <x v="0"/>
    <x v="1"/>
    <x v="1"/>
    <x v="10"/>
    <x v="10"/>
    <x v="10"/>
    <x v="11"/>
    <x v="30"/>
    <x v="29"/>
    <x v="30"/>
    <x v="32"/>
    <x v="31"/>
    <x v="30"/>
    <x v="0"/>
  </r>
  <r>
    <x v="0"/>
    <x v="1"/>
    <x v="1"/>
    <x v="6"/>
    <x v="6"/>
    <x v="6"/>
    <x v="12"/>
    <x v="31"/>
    <x v="30"/>
    <x v="31"/>
    <x v="33"/>
    <x v="32"/>
    <x v="31"/>
    <x v="0"/>
  </r>
  <r>
    <x v="0"/>
    <x v="1"/>
    <x v="1"/>
    <x v="12"/>
    <x v="12"/>
    <x v="12"/>
    <x v="13"/>
    <x v="32"/>
    <x v="31"/>
    <x v="32"/>
    <x v="34"/>
    <x v="33"/>
    <x v="32"/>
    <x v="1"/>
  </r>
  <r>
    <x v="0"/>
    <x v="1"/>
    <x v="1"/>
    <x v="5"/>
    <x v="5"/>
    <x v="5"/>
    <x v="14"/>
    <x v="33"/>
    <x v="32"/>
    <x v="33"/>
    <x v="35"/>
    <x v="34"/>
    <x v="33"/>
    <x v="0"/>
  </r>
  <r>
    <x v="0"/>
    <x v="1"/>
    <x v="1"/>
    <x v="14"/>
    <x v="14"/>
    <x v="14"/>
    <x v="14"/>
    <x v="33"/>
    <x v="32"/>
    <x v="29"/>
    <x v="31"/>
    <x v="35"/>
    <x v="34"/>
    <x v="0"/>
  </r>
  <r>
    <x v="0"/>
    <x v="1"/>
    <x v="1"/>
    <x v="15"/>
    <x v="15"/>
    <x v="15"/>
    <x v="16"/>
    <x v="34"/>
    <x v="33"/>
    <x v="34"/>
    <x v="36"/>
    <x v="29"/>
    <x v="29"/>
    <x v="0"/>
  </r>
  <r>
    <x v="0"/>
    <x v="1"/>
    <x v="1"/>
    <x v="20"/>
    <x v="20"/>
    <x v="20"/>
    <x v="17"/>
    <x v="35"/>
    <x v="34"/>
    <x v="35"/>
    <x v="37"/>
    <x v="36"/>
    <x v="35"/>
    <x v="0"/>
  </r>
  <r>
    <x v="0"/>
    <x v="1"/>
    <x v="1"/>
    <x v="13"/>
    <x v="13"/>
    <x v="13"/>
    <x v="18"/>
    <x v="36"/>
    <x v="35"/>
    <x v="36"/>
    <x v="38"/>
    <x v="37"/>
    <x v="36"/>
    <x v="0"/>
  </r>
  <r>
    <x v="0"/>
    <x v="1"/>
    <x v="1"/>
    <x v="21"/>
    <x v="21"/>
    <x v="21"/>
    <x v="18"/>
    <x v="36"/>
    <x v="35"/>
    <x v="37"/>
    <x v="39"/>
    <x v="38"/>
    <x v="37"/>
    <x v="0"/>
  </r>
  <r>
    <x v="0"/>
    <x v="2"/>
    <x v="2"/>
    <x v="0"/>
    <x v="0"/>
    <x v="0"/>
    <x v="0"/>
    <x v="37"/>
    <x v="36"/>
    <x v="38"/>
    <x v="40"/>
    <x v="39"/>
    <x v="38"/>
    <x v="0"/>
  </r>
  <r>
    <x v="0"/>
    <x v="2"/>
    <x v="2"/>
    <x v="1"/>
    <x v="1"/>
    <x v="1"/>
    <x v="1"/>
    <x v="38"/>
    <x v="37"/>
    <x v="27"/>
    <x v="41"/>
    <x v="40"/>
    <x v="39"/>
    <x v="0"/>
  </r>
  <r>
    <x v="0"/>
    <x v="2"/>
    <x v="2"/>
    <x v="2"/>
    <x v="2"/>
    <x v="2"/>
    <x v="2"/>
    <x v="39"/>
    <x v="38"/>
    <x v="39"/>
    <x v="42"/>
    <x v="41"/>
    <x v="40"/>
    <x v="0"/>
  </r>
  <r>
    <x v="0"/>
    <x v="2"/>
    <x v="2"/>
    <x v="7"/>
    <x v="7"/>
    <x v="7"/>
    <x v="3"/>
    <x v="40"/>
    <x v="20"/>
    <x v="40"/>
    <x v="43"/>
    <x v="42"/>
    <x v="41"/>
    <x v="0"/>
  </r>
  <r>
    <x v="0"/>
    <x v="2"/>
    <x v="2"/>
    <x v="3"/>
    <x v="3"/>
    <x v="3"/>
    <x v="4"/>
    <x v="41"/>
    <x v="39"/>
    <x v="41"/>
    <x v="44"/>
    <x v="43"/>
    <x v="42"/>
    <x v="0"/>
  </r>
  <r>
    <x v="0"/>
    <x v="2"/>
    <x v="2"/>
    <x v="9"/>
    <x v="9"/>
    <x v="9"/>
    <x v="5"/>
    <x v="42"/>
    <x v="40"/>
    <x v="42"/>
    <x v="45"/>
    <x v="22"/>
    <x v="43"/>
    <x v="0"/>
  </r>
  <r>
    <x v="0"/>
    <x v="2"/>
    <x v="2"/>
    <x v="8"/>
    <x v="8"/>
    <x v="8"/>
    <x v="6"/>
    <x v="36"/>
    <x v="41"/>
    <x v="28"/>
    <x v="46"/>
    <x v="36"/>
    <x v="44"/>
    <x v="0"/>
  </r>
  <r>
    <x v="0"/>
    <x v="2"/>
    <x v="2"/>
    <x v="5"/>
    <x v="5"/>
    <x v="5"/>
    <x v="19"/>
    <x v="43"/>
    <x v="7"/>
    <x v="43"/>
    <x v="47"/>
    <x v="44"/>
    <x v="45"/>
    <x v="0"/>
  </r>
  <r>
    <x v="0"/>
    <x v="2"/>
    <x v="2"/>
    <x v="22"/>
    <x v="22"/>
    <x v="22"/>
    <x v="7"/>
    <x v="44"/>
    <x v="42"/>
    <x v="44"/>
    <x v="48"/>
    <x v="45"/>
    <x v="46"/>
    <x v="0"/>
  </r>
  <r>
    <x v="0"/>
    <x v="2"/>
    <x v="2"/>
    <x v="13"/>
    <x v="13"/>
    <x v="13"/>
    <x v="8"/>
    <x v="45"/>
    <x v="29"/>
    <x v="31"/>
    <x v="49"/>
    <x v="35"/>
    <x v="47"/>
    <x v="0"/>
  </r>
  <r>
    <x v="0"/>
    <x v="2"/>
    <x v="2"/>
    <x v="23"/>
    <x v="23"/>
    <x v="23"/>
    <x v="9"/>
    <x v="46"/>
    <x v="43"/>
    <x v="45"/>
    <x v="50"/>
    <x v="45"/>
    <x v="46"/>
    <x v="0"/>
  </r>
  <r>
    <x v="0"/>
    <x v="2"/>
    <x v="2"/>
    <x v="10"/>
    <x v="10"/>
    <x v="10"/>
    <x v="10"/>
    <x v="47"/>
    <x v="44"/>
    <x v="46"/>
    <x v="51"/>
    <x v="45"/>
    <x v="46"/>
    <x v="0"/>
  </r>
  <r>
    <x v="0"/>
    <x v="2"/>
    <x v="2"/>
    <x v="15"/>
    <x v="15"/>
    <x v="15"/>
    <x v="11"/>
    <x v="48"/>
    <x v="45"/>
    <x v="36"/>
    <x v="52"/>
    <x v="46"/>
    <x v="13"/>
    <x v="0"/>
  </r>
  <r>
    <x v="0"/>
    <x v="2"/>
    <x v="2"/>
    <x v="4"/>
    <x v="4"/>
    <x v="4"/>
    <x v="12"/>
    <x v="49"/>
    <x v="46"/>
    <x v="32"/>
    <x v="53"/>
    <x v="25"/>
    <x v="22"/>
    <x v="0"/>
  </r>
  <r>
    <x v="0"/>
    <x v="2"/>
    <x v="2"/>
    <x v="18"/>
    <x v="18"/>
    <x v="18"/>
    <x v="13"/>
    <x v="50"/>
    <x v="14"/>
    <x v="31"/>
    <x v="49"/>
    <x v="47"/>
    <x v="48"/>
    <x v="0"/>
  </r>
  <r>
    <x v="0"/>
    <x v="2"/>
    <x v="2"/>
    <x v="24"/>
    <x v="24"/>
    <x v="24"/>
    <x v="14"/>
    <x v="51"/>
    <x v="47"/>
    <x v="47"/>
    <x v="54"/>
    <x v="36"/>
    <x v="44"/>
    <x v="0"/>
  </r>
  <r>
    <x v="0"/>
    <x v="2"/>
    <x v="2"/>
    <x v="16"/>
    <x v="16"/>
    <x v="16"/>
    <x v="15"/>
    <x v="52"/>
    <x v="48"/>
    <x v="48"/>
    <x v="55"/>
    <x v="48"/>
    <x v="16"/>
    <x v="0"/>
  </r>
  <r>
    <x v="0"/>
    <x v="2"/>
    <x v="2"/>
    <x v="12"/>
    <x v="12"/>
    <x v="12"/>
    <x v="15"/>
    <x v="52"/>
    <x v="48"/>
    <x v="49"/>
    <x v="56"/>
    <x v="49"/>
    <x v="49"/>
    <x v="0"/>
  </r>
  <r>
    <x v="0"/>
    <x v="2"/>
    <x v="2"/>
    <x v="11"/>
    <x v="11"/>
    <x v="11"/>
    <x v="15"/>
    <x v="52"/>
    <x v="48"/>
    <x v="50"/>
    <x v="57"/>
    <x v="50"/>
    <x v="50"/>
    <x v="0"/>
  </r>
  <r>
    <x v="0"/>
    <x v="2"/>
    <x v="2"/>
    <x v="6"/>
    <x v="6"/>
    <x v="6"/>
    <x v="18"/>
    <x v="53"/>
    <x v="17"/>
    <x v="51"/>
    <x v="58"/>
    <x v="51"/>
    <x v="15"/>
    <x v="0"/>
  </r>
  <r>
    <x v="0"/>
    <x v="3"/>
    <x v="3"/>
    <x v="1"/>
    <x v="1"/>
    <x v="1"/>
    <x v="0"/>
    <x v="54"/>
    <x v="49"/>
    <x v="52"/>
    <x v="59"/>
    <x v="52"/>
    <x v="51"/>
    <x v="0"/>
  </r>
  <r>
    <x v="0"/>
    <x v="3"/>
    <x v="3"/>
    <x v="0"/>
    <x v="0"/>
    <x v="0"/>
    <x v="1"/>
    <x v="55"/>
    <x v="50"/>
    <x v="53"/>
    <x v="60"/>
    <x v="53"/>
    <x v="52"/>
    <x v="0"/>
  </r>
  <r>
    <x v="0"/>
    <x v="3"/>
    <x v="3"/>
    <x v="2"/>
    <x v="2"/>
    <x v="2"/>
    <x v="2"/>
    <x v="56"/>
    <x v="51"/>
    <x v="54"/>
    <x v="61"/>
    <x v="54"/>
    <x v="53"/>
    <x v="0"/>
  </r>
  <r>
    <x v="0"/>
    <x v="3"/>
    <x v="3"/>
    <x v="4"/>
    <x v="4"/>
    <x v="4"/>
    <x v="3"/>
    <x v="57"/>
    <x v="52"/>
    <x v="55"/>
    <x v="62"/>
    <x v="55"/>
    <x v="54"/>
    <x v="0"/>
  </r>
  <r>
    <x v="0"/>
    <x v="3"/>
    <x v="3"/>
    <x v="19"/>
    <x v="19"/>
    <x v="19"/>
    <x v="4"/>
    <x v="58"/>
    <x v="53"/>
    <x v="56"/>
    <x v="63"/>
    <x v="56"/>
    <x v="55"/>
    <x v="0"/>
  </r>
  <r>
    <x v="0"/>
    <x v="3"/>
    <x v="3"/>
    <x v="3"/>
    <x v="3"/>
    <x v="3"/>
    <x v="5"/>
    <x v="59"/>
    <x v="54"/>
    <x v="57"/>
    <x v="64"/>
    <x v="57"/>
    <x v="56"/>
    <x v="0"/>
  </r>
  <r>
    <x v="0"/>
    <x v="3"/>
    <x v="3"/>
    <x v="16"/>
    <x v="16"/>
    <x v="16"/>
    <x v="6"/>
    <x v="60"/>
    <x v="55"/>
    <x v="58"/>
    <x v="65"/>
    <x v="58"/>
    <x v="57"/>
    <x v="0"/>
  </r>
  <r>
    <x v="0"/>
    <x v="3"/>
    <x v="3"/>
    <x v="17"/>
    <x v="17"/>
    <x v="17"/>
    <x v="19"/>
    <x v="61"/>
    <x v="56"/>
    <x v="59"/>
    <x v="66"/>
    <x v="59"/>
    <x v="58"/>
    <x v="0"/>
  </r>
  <r>
    <x v="0"/>
    <x v="3"/>
    <x v="3"/>
    <x v="25"/>
    <x v="25"/>
    <x v="25"/>
    <x v="7"/>
    <x v="62"/>
    <x v="28"/>
    <x v="60"/>
    <x v="67"/>
    <x v="60"/>
    <x v="59"/>
    <x v="0"/>
  </r>
  <r>
    <x v="0"/>
    <x v="3"/>
    <x v="3"/>
    <x v="10"/>
    <x v="10"/>
    <x v="10"/>
    <x v="8"/>
    <x v="63"/>
    <x v="57"/>
    <x v="61"/>
    <x v="68"/>
    <x v="61"/>
    <x v="60"/>
    <x v="5"/>
  </r>
  <r>
    <x v="0"/>
    <x v="3"/>
    <x v="3"/>
    <x v="9"/>
    <x v="9"/>
    <x v="9"/>
    <x v="9"/>
    <x v="64"/>
    <x v="58"/>
    <x v="62"/>
    <x v="69"/>
    <x v="50"/>
    <x v="61"/>
    <x v="0"/>
  </r>
  <r>
    <x v="0"/>
    <x v="3"/>
    <x v="3"/>
    <x v="7"/>
    <x v="7"/>
    <x v="7"/>
    <x v="10"/>
    <x v="65"/>
    <x v="10"/>
    <x v="57"/>
    <x v="64"/>
    <x v="62"/>
    <x v="62"/>
    <x v="0"/>
  </r>
  <r>
    <x v="0"/>
    <x v="3"/>
    <x v="3"/>
    <x v="15"/>
    <x v="15"/>
    <x v="15"/>
    <x v="11"/>
    <x v="66"/>
    <x v="44"/>
    <x v="63"/>
    <x v="70"/>
    <x v="63"/>
    <x v="63"/>
    <x v="0"/>
  </r>
  <r>
    <x v="0"/>
    <x v="3"/>
    <x v="3"/>
    <x v="8"/>
    <x v="8"/>
    <x v="8"/>
    <x v="11"/>
    <x v="66"/>
    <x v="44"/>
    <x v="64"/>
    <x v="71"/>
    <x v="64"/>
    <x v="64"/>
    <x v="0"/>
  </r>
  <r>
    <x v="0"/>
    <x v="3"/>
    <x v="3"/>
    <x v="6"/>
    <x v="6"/>
    <x v="6"/>
    <x v="13"/>
    <x v="67"/>
    <x v="46"/>
    <x v="36"/>
    <x v="72"/>
    <x v="65"/>
    <x v="65"/>
    <x v="0"/>
  </r>
  <r>
    <x v="0"/>
    <x v="3"/>
    <x v="3"/>
    <x v="13"/>
    <x v="13"/>
    <x v="13"/>
    <x v="13"/>
    <x v="67"/>
    <x v="46"/>
    <x v="65"/>
    <x v="73"/>
    <x v="66"/>
    <x v="66"/>
    <x v="0"/>
  </r>
  <r>
    <x v="0"/>
    <x v="3"/>
    <x v="3"/>
    <x v="5"/>
    <x v="5"/>
    <x v="5"/>
    <x v="15"/>
    <x v="68"/>
    <x v="59"/>
    <x v="66"/>
    <x v="74"/>
    <x v="67"/>
    <x v="67"/>
    <x v="0"/>
  </r>
  <r>
    <x v="0"/>
    <x v="3"/>
    <x v="3"/>
    <x v="11"/>
    <x v="11"/>
    <x v="11"/>
    <x v="16"/>
    <x v="69"/>
    <x v="60"/>
    <x v="67"/>
    <x v="75"/>
    <x v="37"/>
    <x v="68"/>
    <x v="0"/>
  </r>
  <r>
    <x v="0"/>
    <x v="3"/>
    <x v="3"/>
    <x v="12"/>
    <x v="12"/>
    <x v="12"/>
    <x v="17"/>
    <x v="70"/>
    <x v="61"/>
    <x v="35"/>
    <x v="31"/>
    <x v="68"/>
    <x v="69"/>
    <x v="5"/>
  </r>
  <r>
    <x v="0"/>
    <x v="3"/>
    <x v="3"/>
    <x v="14"/>
    <x v="14"/>
    <x v="14"/>
    <x v="18"/>
    <x v="71"/>
    <x v="34"/>
    <x v="68"/>
    <x v="76"/>
    <x v="35"/>
    <x v="70"/>
    <x v="0"/>
  </r>
  <r>
    <x v="0"/>
    <x v="4"/>
    <x v="4"/>
    <x v="0"/>
    <x v="0"/>
    <x v="0"/>
    <x v="0"/>
    <x v="72"/>
    <x v="62"/>
    <x v="69"/>
    <x v="77"/>
    <x v="23"/>
    <x v="71"/>
    <x v="0"/>
  </r>
  <r>
    <x v="0"/>
    <x v="4"/>
    <x v="4"/>
    <x v="2"/>
    <x v="2"/>
    <x v="2"/>
    <x v="1"/>
    <x v="73"/>
    <x v="63"/>
    <x v="70"/>
    <x v="78"/>
    <x v="43"/>
    <x v="72"/>
    <x v="0"/>
  </r>
  <r>
    <x v="0"/>
    <x v="4"/>
    <x v="4"/>
    <x v="3"/>
    <x v="3"/>
    <x v="3"/>
    <x v="2"/>
    <x v="74"/>
    <x v="64"/>
    <x v="71"/>
    <x v="79"/>
    <x v="64"/>
    <x v="73"/>
    <x v="0"/>
  </r>
  <r>
    <x v="0"/>
    <x v="4"/>
    <x v="4"/>
    <x v="4"/>
    <x v="4"/>
    <x v="4"/>
    <x v="3"/>
    <x v="75"/>
    <x v="65"/>
    <x v="72"/>
    <x v="80"/>
    <x v="69"/>
    <x v="74"/>
    <x v="0"/>
  </r>
  <r>
    <x v="0"/>
    <x v="4"/>
    <x v="4"/>
    <x v="7"/>
    <x v="7"/>
    <x v="7"/>
    <x v="4"/>
    <x v="76"/>
    <x v="66"/>
    <x v="73"/>
    <x v="81"/>
    <x v="38"/>
    <x v="4"/>
    <x v="0"/>
  </r>
  <r>
    <x v="0"/>
    <x v="4"/>
    <x v="4"/>
    <x v="6"/>
    <x v="6"/>
    <x v="6"/>
    <x v="5"/>
    <x v="77"/>
    <x v="67"/>
    <x v="48"/>
    <x v="82"/>
    <x v="70"/>
    <x v="75"/>
    <x v="0"/>
  </r>
  <r>
    <x v="0"/>
    <x v="4"/>
    <x v="4"/>
    <x v="8"/>
    <x v="8"/>
    <x v="8"/>
    <x v="6"/>
    <x v="78"/>
    <x v="68"/>
    <x v="74"/>
    <x v="83"/>
    <x v="71"/>
    <x v="76"/>
    <x v="0"/>
  </r>
  <r>
    <x v="0"/>
    <x v="4"/>
    <x v="4"/>
    <x v="9"/>
    <x v="9"/>
    <x v="9"/>
    <x v="19"/>
    <x v="79"/>
    <x v="41"/>
    <x v="75"/>
    <x v="84"/>
    <x v="72"/>
    <x v="77"/>
    <x v="0"/>
  </r>
  <r>
    <x v="0"/>
    <x v="4"/>
    <x v="4"/>
    <x v="11"/>
    <x v="11"/>
    <x v="11"/>
    <x v="7"/>
    <x v="80"/>
    <x v="69"/>
    <x v="76"/>
    <x v="85"/>
    <x v="73"/>
    <x v="65"/>
    <x v="0"/>
  </r>
  <r>
    <x v="0"/>
    <x v="4"/>
    <x v="4"/>
    <x v="1"/>
    <x v="1"/>
    <x v="1"/>
    <x v="8"/>
    <x v="81"/>
    <x v="70"/>
    <x v="56"/>
    <x v="49"/>
    <x v="9"/>
    <x v="78"/>
    <x v="0"/>
  </r>
  <r>
    <x v="0"/>
    <x v="4"/>
    <x v="4"/>
    <x v="13"/>
    <x v="13"/>
    <x v="13"/>
    <x v="9"/>
    <x v="82"/>
    <x v="71"/>
    <x v="36"/>
    <x v="72"/>
    <x v="74"/>
    <x v="79"/>
    <x v="0"/>
  </r>
  <r>
    <x v="0"/>
    <x v="4"/>
    <x v="4"/>
    <x v="10"/>
    <x v="10"/>
    <x v="10"/>
    <x v="10"/>
    <x v="63"/>
    <x v="55"/>
    <x v="77"/>
    <x v="86"/>
    <x v="48"/>
    <x v="80"/>
    <x v="0"/>
  </r>
  <r>
    <x v="0"/>
    <x v="4"/>
    <x v="4"/>
    <x v="12"/>
    <x v="12"/>
    <x v="12"/>
    <x v="11"/>
    <x v="24"/>
    <x v="72"/>
    <x v="74"/>
    <x v="83"/>
    <x v="75"/>
    <x v="81"/>
    <x v="1"/>
  </r>
  <r>
    <x v="0"/>
    <x v="4"/>
    <x v="4"/>
    <x v="14"/>
    <x v="14"/>
    <x v="14"/>
    <x v="12"/>
    <x v="27"/>
    <x v="73"/>
    <x v="78"/>
    <x v="87"/>
    <x v="75"/>
    <x v="81"/>
    <x v="0"/>
  </r>
  <r>
    <x v="0"/>
    <x v="4"/>
    <x v="4"/>
    <x v="5"/>
    <x v="5"/>
    <x v="5"/>
    <x v="13"/>
    <x v="83"/>
    <x v="12"/>
    <x v="79"/>
    <x v="88"/>
    <x v="76"/>
    <x v="29"/>
    <x v="0"/>
  </r>
  <r>
    <x v="0"/>
    <x v="4"/>
    <x v="4"/>
    <x v="18"/>
    <x v="18"/>
    <x v="18"/>
    <x v="14"/>
    <x v="84"/>
    <x v="44"/>
    <x v="43"/>
    <x v="89"/>
    <x v="77"/>
    <x v="82"/>
    <x v="0"/>
  </r>
  <r>
    <x v="0"/>
    <x v="4"/>
    <x v="4"/>
    <x v="17"/>
    <x v="17"/>
    <x v="17"/>
    <x v="15"/>
    <x v="40"/>
    <x v="74"/>
    <x v="26"/>
    <x v="90"/>
    <x v="78"/>
    <x v="83"/>
    <x v="0"/>
  </r>
  <r>
    <x v="0"/>
    <x v="4"/>
    <x v="4"/>
    <x v="16"/>
    <x v="16"/>
    <x v="16"/>
    <x v="16"/>
    <x v="68"/>
    <x v="75"/>
    <x v="36"/>
    <x v="72"/>
    <x v="79"/>
    <x v="84"/>
    <x v="0"/>
  </r>
  <r>
    <x v="0"/>
    <x v="4"/>
    <x v="4"/>
    <x v="26"/>
    <x v="26"/>
    <x v="26"/>
    <x v="17"/>
    <x v="85"/>
    <x v="76"/>
    <x v="80"/>
    <x v="91"/>
    <x v="80"/>
    <x v="85"/>
    <x v="0"/>
  </r>
  <r>
    <x v="0"/>
    <x v="4"/>
    <x v="4"/>
    <x v="15"/>
    <x v="15"/>
    <x v="15"/>
    <x v="18"/>
    <x v="86"/>
    <x v="60"/>
    <x v="81"/>
    <x v="92"/>
    <x v="81"/>
    <x v="86"/>
    <x v="0"/>
  </r>
  <r>
    <x v="0"/>
    <x v="5"/>
    <x v="5"/>
    <x v="0"/>
    <x v="0"/>
    <x v="0"/>
    <x v="0"/>
    <x v="42"/>
    <x v="77"/>
    <x v="82"/>
    <x v="93"/>
    <x v="82"/>
    <x v="87"/>
    <x v="0"/>
  </r>
  <r>
    <x v="0"/>
    <x v="5"/>
    <x v="5"/>
    <x v="3"/>
    <x v="3"/>
    <x v="3"/>
    <x v="1"/>
    <x v="87"/>
    <x v="78"/>
    <x v="83"/>
    <x v="94"/>
    <x v="39"/>
    <x v="88"/>
    <x v="0"/>
  </r>
  <r>
    <x v="0"/>
    <x v="5"/>
    <x v="5"/>
    <x v="2"/>
    <x v="2"/>
    <x v="2"/>
    <x v="1"/>
    <x v="87"/>
    <x v="78"/>
    <x v="84"/>
    <x v="95"/>
    <x v="83"/>
    <x v="89"/>
    <x v="0"/>
  </r>
  <r>
    <x v="0"/>
    <x v="5"/>
    <x v="5"/>
    <x v="1"/>
    <x v="1"/>
    <x v="1"/>
    <x v="3"/>
    <x v="88"/>
    <x v="79"/>
    <x v="85"/>
    <x v="96"/>
    <x v="50"/>
    <x v="90"/>
    <x v="0"/>
  </r>
  <r>
    <x v="0"/>
    <x v="5"/>
    <x v="5"/>
    <x v="8"/>
    <x v="8"/>
    <x v="8"/>
    <x v="4"/>
    <x v="89"/>
    <x v="80"/>
    <x v="86"/>
    <x v="97"/>
    <x v="45"/>
    <x v="91"/>
    <x v="0"/>
  </r>
  <r>
    <x v="0"/>
    <x v="5"/>
    <x v="5"/>
    <x v="10"/>
    <x v="10"/>
    <x v="10"/>
    <x v="5"/>
    <x v="90"/>
    <x v="81"/>
    <x v="87"/>
    <x v="98"/>
    <x v="84"/>
    <x v="37"/>
    <x v="0"/>
  </r>
  <r>
    <x v="0"/>
    <x v="5"/>
    <x v="5"/>
    <x v="4"/>
    <x v="4"/>
    <x v="4"/>
    <x v="6"/>
    <x v="91"/>
    <x v="82"/>
    <x v="88"/>
    <x v="99"/>
    <x v="83"/>
    <x v="89"/>
    <x v="0"/>
  </r>
  <r>
    <x v="0"/>
    <x v="5"/>
    <x v="5"/>
    <x v="7"/>
    <x v="7"/>
    <x v="7"/>
    <x v="19"/>
    <x v="92"/>
    <x v="53"/>
    <x v="79"/>
    <x v="3"/>
    <x v="83"/>
    <x v="89"/>
    <x v="0"/>
  </r>
  <r>
    <x v="0"/>
    <x v="5"/>
    <x v="5"/>
    <x v="9"/>
    <x v="9"/>
    <x v="9"/>
    <x v="7"/>
    <x v="93"/>
    <x v="55"/>
    <x v="89"/>
    <x v="100"/>
    <x v="82"/>
    <x v="87"/>
    <x v="0"/>
  </r>
  <r>
    <x v="0"/>
    <x v="5"/>
    <x v="5"/>
    <x v="6"/>
    <x v="6"/>
    <x v="6"/>
    <x v="8"/>
    <x v="94"/>
    <x v="57"/>
    <x v="51"/>
    <x v="16"/>
    <x v="85"/>
    <x v="92"/>
    <x v="0"/>
  </r>
  <r>
    <x v="0"/>
    <x v="5"/>
    <x v="5"/>
    <x v="18"/>
    <x v="18"/>
    <x v="18"/>
    <x v="9"/>
    <x v="95"/>
    <x v="83"/>
    <x v="81"/>
    <x v="101"/>
    <x v="86"/>
    <x v="93"/>
    <x v="0"/>
  </r>
  <r>
    <x v="0"/>
    <x v="5"/>
    <x v="5"/>
    <x v="15"/>
    <x v="15"/>
    <x v="15"/>
    <x v="10"/>
    <x v="96"/>
    <x v="84"/>
    <x v="63"/>
    <x v="102"/>
    <x v="43"/>
    <x v="94"/>
    <x v="0"/>
  </r>
  <r>
    <x v="0"/>
    <x v="5"/>
    <x v="5"/>
    <x v="11"/>
    <x v="11"/>
    <x v="11"/>
    <x v="10"/>
    <x v="96"/>
    <x v="84"/>
    <x v="34"/>
    <x v="103"/>
    <x v="87"/>
    <x v="95"/>
    <x v="0"/>
  </r>
  <r>
    <x v="0"/>
    <x v="5"/>
    <x v="5"/>
    <x v="27"/>
    <x v="27"/>
    <x v="27"/>
    <x v="10"/>
    <x v="96"/>
    <x v="84"/>
    <x v="90"/>
    <x v="104"/>
    <x v="88"/>
    <x v="96"/>
    <x v="0"/>
  </r>
  <r>
    <x v="0"/>
    <x v="5"/>
    <x v="5"/>
    <x v="5"/>
    <x v="5"/>
    <x v="5"/>
    <x v="13"/>
    <x v="97"/>
    <x v="85"/>
    <x v="34"/>
    <x v="103"/>
    <x v="86"/>
    <x v="93"/>
    <x v="0"/>
  </r>
  <r>
    <x v="0"/>
    <x v="5"/>
    <x v="5"/>
    <x v="12"/>
    <x v="12"/>
    <x v="12"/>
    <x v="13"/>
    <x v="97"/>
    <x v="85"/>
    <x v="58"/>
    <x v="105"/>
    <x v="82"/>
    <x v="87"/>
    <x v="5"/>
  </r>
  <r>
    <x v="0"/>
    <x v="5"/>
    <x v="5"/>
    <x v="19"/>
    <x v="19"/>
    <x v="19"/>
    <x v="15"/>
    <x v="98"/>
    <x v="86"/>
    <x v="91"/>
    <x v="106"/>
    <x v="72"/>
    <x v="78"/>
    <x v="0"/>
  </r>
  <r>
    <x v="0"/>
    <x v="5"/>
    <x v="5"/>
    <x v="13"/>
    <x v="13"/>
    <x v="13"/>
    <x v="16"/>
    <x v="99"/>
    <x v="59"/>
    <x v="92"/>
    <x v="107"/>
    <x v="43"/>
    <x v="94"/>
    <x v="0"/>
  </r>
  <r>
    <x v="0"/>
    <x v="5"/>
    <x v="5"/>
    <x v="20"/>
    <x v="20"/>
    <x v="20"/>
    <x v="16"/>
    <x v="99"/>
    <x v="59"/>
    <x v="65"/>
    <x v="71"/>
    <x v="41"/>
    <x v="97"/>
    <x v="1"/>
  </r>
  <r>
    <x v="0"/>
    <x v="5"/>
    <x v="5"/>
    <x v="16"/>
    <x v="16"/>
    <x v="16"/>
    <x v="18"/>
    <x v="100"/>
    <x v="17"/>
    <x v="48"/>
    <x v="108"/>
    <x v="39"/>
    <x v="88"/>
    <x v="0"/>
  </r>
  <r>
    <x v="0"/>
    <x v="5"/>
    <x v="5"/>
    <x v="28"/>
    <x v="28"/>
    <x v="28"/>
    <x v="18"/>
    <x v="100"/>
    <x v="17"/>
    <x v="93"/>
    <x v="109"/>
    <x v="22"/>
    <x v="98"/>
    <x v="0"/>
  </r>
  <r>
    <x v="0"/>
    <x v="5"/>
    <x v="5"/>
    <x v="17"/>
    <x v="17"/>
    <x v="17"/>
    <x v="18"/>
    <x v="100"/>
    <x v="17"/>
    <x v="94"/>
    <x v="110"/>
    <x v="89"/>
    <x v="99"/>
    <x v="0"/>
  </r>
  <r>
    <x v="0"/>
    <x v="6"/>
    <x v="6"/>
    <x v="0"/>
    <x v="0"/>
    <x v="0"/>
    <x v="0"/>
    <x v="69"/>
    <x v="87"/>
    <x v="95"/>
    <x v="111"/>
    <x v="38"/>
    <x v="100"/>
    <x v="0"/>
  </r>
  <r>
    <x v="0"/>
    <x v="6"/>
    <x v="6"/>
    <x v="2"/>
    <x v="2"/>
    <x v="2"/>
    <x v="1"/>
    <x v="101"/>
    <x v="88"/>
    <x v="96"/>
    <x v="112"/>
    <x v="90"/>
    <x v="40"/>
    <x v="0"/>
  </r>
  <r>
    <x v="0"/>
    <x v="6"/>
    <x v="6"/>
    <x v="4"/>
    <x v="4"/>
    <x v="4"/>
    <x v="2"/>
    <x v="102"/>
    <x v="89"/>
    <x v="97"/>
    <x v="113"/>
    <x v="62"/>
    <x v="101"/>
    <x v="0"/>
  </r>
  <r>
    <x v="0"/>
    <x v="6"/>
    <x v="6"/>
    <x v="10"/>
    <x v="10"/>
    <x v="10"/>
    <x v="3"/>
    <x v="103"/>
    <x v="90"/>
    <x v="98"/>
    <x v="114"/>
    <x v="25"/>
    <x v="43"/>
    <x v="0"/>
  </r>
  <r>
    <x v="0"/>
    <x v="6"/>
    <x v="6"/>
    <x v="7"/>
    <x v="7"/>
    <x v="7"/>
    <x v="4"/>
    <x v="104"/>
    <x v="91"/>
    <x v="44"/>
    <x v="115"/>
    <x v="41"/>
    <x v="102"/>
    <x v="0"/>
  </r>
  <r>
    <x v="0"/>
    <x v="6"/>
    <x v="6"/>
    <x v="1"/>
    <x v="1"/>
    <x v="1"/>
    <x v="5"/>
    <x v="52"/>
    <x v="92"/>
    <x v="49"/>
    <x v="116"/>
    <x v="91"/>
    <x v="103"/>
    <x v="0"/>
  </r>
  <r>
    <x v="0"/>
    <x v="6"/>
    <x v="6"/>
    <x v="3"/>
    <x v="3"/>
    <x v="3"/>
    <x v="6"/>
    <x v="89"/>
    <x v="93"/>
    <x v="43"/>
    <x v="117"/>
    <x v="54"/>
    <x v="104"/>
    <x v="0"/>
  </r>
  <r>
    <x v="0"/>
    <x v="6"/>
    <x v="6"/>
    <x v="14"/>
    <x v="14"/>
    <x v="14"/>
    <x v="19"/>
    <x v="91"/>
    <x v="23"/>
    <x v="59"/>
    <x v="118"/>
    <x v="39"/>
    <x v="105"/>
    <x v="0"/>
  </r>
  <r>
    <x v="0"/>
    <x v="6"/>
    <x v="6"/>
    <x v="9"/>
    <x v="9"/>
    <x v="9"/>
    <x v="7"/>
    <x v="105"/>
    <x v="6"/>
    <x v="86"/>
    <x v="119"/>
    <x v="42"/>
    <x v="106"/>
    <x v="0"/>
  </r>
  <r>
    <x v="0"/>
    <x v="6"/>
    <x v="6"/>
    <x v="8"/>
    <x v="8"/>
    <x v="8"/>
    <x v="8"/>
    <x v="106"/>
    <x v="94"/>
    <x v="89"/>
    <x v="120"/>
    <x v="92"/>
    <x v="107"/>
    <x v="0"/>
  </r>
  <r>
    <x v="0"/>
    <x v="6"/>
    <x v="6"/>
    <x v="5"/>
    <x v="5"/>
    <x v="5"/>
    <x v="9"/>
    <x v="107"/>
    <x v="95"/>
    <x v="47"/>
    <x v="121"/>
    <x v="89"/>
    <x v="88"/>
    <x v="0"/>
  </r>
  <r>
    <x v="0"/>
    <x v="6"/>
    <x v="6"/>
    <x v="6"/>
    <x v="6"/>
    <x v="6"/>
    <x v="10"/>
    <x v="92"/>
    <x v="96"/>
    <x v="34"/>
    <x v="122"/>
    <x v="88"/>
    <x v="108"/>
    <x v="0"/>
  </r>
  <r>
    <x v="0"/>
    <x v="6"/>
    <x v="6"/>
    <x v="11"/>
    <x v="11"/>
    <x v="11"/>
    <x v="11"/>
    <x v="108"/>
    <x v="42"/>
    <x v="58"/>
    <x v="123"/>
    <x v="45"/>
    <x v="67"/>
    <x v="0"/>
  </r>
  <r>
    <x v="0"/>
    <x v="6"/>
    <x v="6"/>
    <x v="12"/>
    <x v="12"/>
    <x v="12"/>
    <x v="12"/>
    <x v="94"/>
    <x v="85"/>
    <x v="60"/>
    <x v="124"/>
    <x v="62"/>
    <x v="101"/>
    <x v="0"/>
  </r>
  <r>
    <x v="0"/>
    <x v="6"/>
    <x v="6"/>
    <x v="16"/>
    <x v="16"/>
    <x v="16"/>
    <x v="13"/>
    <x v="109"/>
    <x v="16"/>
    <x v="94"/>
    <x v="125"/>
    <x v="43"/>
    <x v="109"/>
    <x v="0"/>
  </r>
  <r>
    <x v="0"/>
    <x v="6"/>
    <x v="6"/>
    <x v="18"/>
    <x v="18"/>
    <x v="18"/>
    <x v="14"/>
    <x v="97"/>
    <x v="97"/>
    <x v="34"/>
    <x v="122"/>
    <x v="86"/>
    <x v="24"/>
    <x v="0"/>
  </r>
  <r>
    <x v="0"/>
    <x v="6"/>
    <x v="6"/>
    <x v="29"/>
    <x v="29"/>
    <x v="29"/>
    <x v="15"/>
    <x v="98"/>
    <x v="33"/>
    <x v="93"/>
    <x v="90"/>
    <x v="54"/>
    <x v="104"/>
    <x v="0"/>
  </r>
  <r>
    <x v="0"/>
    <x v="6"/>
    <x v="6"/>
    <x v="20"/>
    <x v="20"/>
    <x v="20"/>
    <x v="15"/>
    <x v="98"/>
    <x v="33"/>
    <x v="65"/>
    <x v="39"/>
    <x v="25"/>
    <x v="43"/>
    <x v="0"/>
  </r>
  <r>
    <x v="0"/>
    <x v="6"/>
    <x v="6"/>
    <x v="26"/>
    <x v="26"/>
    <x v="26"/>
    <x v="15"/>
    <x v="98"/>
    <x v="33"/>
    <x v="99"/>
    <x v="12"/>
    <x v="84"/>
    <x v="110"/>
    <x v="0"/>
  </r>
  <r>
    <x v="0"/>
    <x v="6"/>
    <x v="6"/>
    <x v="30"/>
    <x v="30"/>
    <x v="30"/>
    <x v="18"/>
    <x v="110"/>
    <x v="98"/>
    <x v="100"/>
    <x v="65"/>
    <x v="87"/>
    <x v="111"/>
    <x v="0"/>
  </r>
  <r>
    <x v="0"/>
    <x v="6"/>
    <x v="6"/>
    <x v="31"/>
    <x v="31"/>
    <x v="31"/>
    <x v="18"/>
    <x v="110"/>
    <x v="98"/>
    <x v="51"/>
    <x v="19"/>
    <x v="93"/>
    <x v="112"/>
    <x v="0"/>
  </r>
  <r>
    <x v="0"/>
    <x v="7"/>
    <x v="7"/>
    <x v="0"/>
    <x v="0"/>
    <x v="0"/>
    <x v="0"/>
    <x v="111"/>
    <x v="99"/>
    <x v="42"/>
    <x v="126"/>
    <x v="83"/>
    <x v="38"/>
    <x v="0"/>
  </r>
  <r>
    <x v="0"/>
    <x v="7"/>
    <x v="7"/>
    <x v="2"/>
    <x v="2"/>
    <x v="2"/>
    <x v="1"/>
    <x v="112"/>
    <x v="100"/>
    <x v="101"/>
    <x v="127"/>
    <x v="94"/>
    <x v="113"/>
    <x v="0"/>
  </r>
  <r>
    <x v="0"/>
    <x v="7"/>
    <x v="7"/>
    <x v="3"/>
    <x v="3"/>
    <x v="3"/>
    <x v="2"/>
    <x v="113"/>
    <x v="101"/>
    <x v="102"/>
    <x v="128"/>
    <x v="42"/>
    <x v="114"/>
    <x v="0"/>
  </r>
  <r>
    <x v="0"/>
    <x v="7"/>
    <x v="7"/>
    <x v="1"/>
    <x v="1"/>
    <x v="1"/>
    <x v="3"/>
    <x v="114"/>
    <x v="102"/>
    <x v="25"/>
    <x v="129"/>
    <x v="39"/>
    <x v="115"/>
    <x v="0"/>
  </r>
  <r>
    <x v="0"/>
    <x v="7"/>
    <x v="7"/>
    <x v="5"/>
    <x v="5"/>
    <x v="5"/>
    <x v="4"/>
    <x v="115"/>
    <x v="103"/>
    <x v="79"/>
    <x v="130"/>
    <x v="42"/>
    <x v="114"/>
    <x v="0"/>
  </r>
  <r>
    <x v="0"/>
    <x v="7"/>
    <x v="7"/>
    <x v="32"/>
    <x v="32"/>
    <x v="32"/>
    <x v="5"/>
    <x v="107"/>
    <x v="92"/>
    <x v="66"/>
    <x v="131"/>
    <x v="62"/>
    <x v="116"/>
    <x v="0"/>
  </r>
  <r>
    <x v="0"/>
    <x v="7"/>
    <x v="7"/>
    <x v="7"/>
    <x v="7"/>
    <x v="7"/>
    <x v="6"/>
    <x v="93"/>
    <x v="104"/>
    <x v="25"/>
    <x v="129"/>
    <x v="90"/>
    <x v="117"/>
    <x v="0"/>
  </r>
  <r>
    <x v="0"/>
    <x v="7"/>
    <x v="7"/>
    <x v="12"/>
    <x v="12"/>
    <x v="12"/>
    <x v="19"/>
    <x v="94"/>
    <x v="24"/>
    <x v="47"/>
    <x v="132"/>
    <x v="42"/>
    <x v="114"/>
    <x v="0"/>
  </r>
  <r>
    <x v="0"/>
    <x v="7"/>
    <x v="7"/>
    <x v="11"/>
    <x v="11"/>
    <x v="11"/>
    <x v="19"/>
    <x v="94"/>
    <x v="24"/>
    <x v="103"/>
    <x v="133"/>
    <x v="82"/>
    <x v="105"/>
    <x v="0"/>
  </r>
  <r>
    <x v="0"/>
    <x v="7"/>
    <x v="7"/>
    <x v="8"/>
    <x v="8"/>
    <x v="8"/>
    <x v="8"/>
    <x v="96"/>
    <x v="26"/>
    <x v="103"/>
    <x v="133"/>
    <x v="84"/>
    <x v="118"/>
    <x v="0"/>
  </r>
  <r>
    <x v="0"/>
    <x v="7"/>
    <x v="7"/>
    <x v="28"/>
    <x v="28"/>
    <x v="28"/>
    <x v="9"/>
    <x v="97"/>
    <x v="72"/>
    <x v="34"/>
    <x v="134"/>
    <x v="86"/>
    <x v="119"/>
    <x v="0"/>
  </r>
  <r>
    <x v="0"/>
    <x v="7"/>
    <x v="7"/>
    <x v="13"/>
    <x v="13"/>
    <x v="13"/>
    <x v="10"/>
    <x v="98"/>
    <x v="105"/>
    <x v="93"/>
    <x v="135"/>
    <x v="54"/>
    <x v="120"/>
    <x v="0"/>
  </r>
  <r>
    <x v="0"/>
    <x v="7"/>
    <x v="7"/>
    <x v="10"/>
    <x v="10"/>
    <x v="10"/>
    <x v="10"/>
    <x v="98"/>
    <x v="105"/>
    <x v="31"/>
    <x v="136"/>
    <x v="95"/>
    <x v="121"/>
    <x v="0"/>
  </r>
  <r>
    <x v="0"/>
    <x v="7"/>
    <x v="7"/>
    <x v="6"/>
    <x v="6"/>
    <x v="6"/>
    <x v="12"/>
    <x v="110"/>
    <x v="84"/>
    <x v="100"/>
    <x v="137"/>
    <x v="87"/>
    <x v="122"/>
    <x v="0"/>
  </r>
  <r>
    <x v="0"/>
    <x v="7"/>
    <x v="7"/>
    <x v="33"/>
    <x v="33"/>
    <x v="33"/>
    <x v="12"/>
    <x v="110"/>
    <x v="84"/>
    <x v="36"/>
    <x v="138"/>
    <x v="22"/>
    <x v="17"/>
    <x v="0"/>
  </r>
  <r>
    <x v="0"/>
    <x v="7"/>
    <x v="7"/>
    <x v="22"/>
    <x v="22"/>
    <x v="22"/>
    <x v="14"/>
    <x v="99"/>
    <x v="43"/>
    <x v="47"/>
    <x v="132"/>
    <x v="94"/>
    <x v="113"/>
    <x v="0"/>
  </r>
  <r>
    <x v="0"/>
    <x v="7"/>
    <x v="7"/>
    <x v="20"/>
    <x v="20"/>
    <x v="20"/>
    <x v="15"/>
    <x v="100"/>
    <x v="106"/>
    <x v="65"/>
    <x v="139"/>
    <x v="41"/>
    <x v="123"/>
    <x v="0"/>
  </r>
  <r>
    <x v="0"/>
    <x v="7"/>
    <x v="7"/>
    <x v="9"/>
    <x v="9"/>
    <x v="9"/>
    <x v="15"/>
    <x v="100"/>
    <x v="106"/>
    <x v="65"/>
    <x v="139"/>
    <x v="41"/>
    <x v="123"/>
    <x v="0"/>
  </r>
  <r>
    <x v="0"/>
    <x v="7"/>
    <x v="7"/>
    <x v="27"/>
    <x v="27"/>
    <x v="27"/>
    <x v="17"/>
    <x v="116"/>
    <x v="32"/>
    <x v="92"/>
    <x v="140"/>
    <x v="45"/>
    <x v="124"/>
    <x v="0"/>
  </r>
  <r>
    <x v="0"/>
    <x v="7"/>
    <x v="7"/>
    <x v="14"/>
    <x v="14"/>
    <x v="14"/>
    <x v="17"/>
    <x v="116"/>
    <x v="32"/>
    <x v="104"/>
    <x v="141"/>
    <x v="84"/>
    <x v="118"/>
    <x v="0"/>
  </r>
  <r>
    <x v="0"/>
    <x v="8"/>
    <x v="8"/>
    <x v="0"/>
    <x v="0"/>
    <x v="0"/>
    <x v="0"/>
    <x v="117"/>
    <x v="107"/>
    <x v="105"/>
    <x v="142"/>
    <x v="90"/>
    <x v="2"/>
    <x v="0"/>
  </r>
  <r>
    <x v="0"/>
    <x v="8"/>
    <x v="8"/>
    <x v="1"/>
    <x v="1"/>
    <x v="1"/>
    <x v="1"/>
    <x v="118"/>
    <x v="108"/>
    <x v="102"/>
    <x v="143"/>
    <x v="22"/>
    <x v="125"/>
    <x v="0"/>
  </r>
  <r>
    <x v="0"/>
    <x v="8"/>
    <x v="8"/>
    <x v="2"/>
    <x v="2"/>
    <x v="2"/>
    <x v="2"/>
    <x v="106"/>
    <x v="109"/>
    <x v="88"/>
    <x v="144"/>
    <x v="94"/>
    <x v="113"/>
    <x v="0"/>
  </r>
  <r>
    <x v="0"/>
    <x v="8"/>
    <x v="8"/>
    <x v="9"/>
    <x v="9"/>
    <x v="9"/>
    <x v="3"/>
    <x v="108"/>
    <x v="110"/>
    <x v="59"/>
    <x v="145"/>
    <x v="83"/>
    <x v="30"/>
    <x v="0"/>
  </r>
  <r>
    <x v="0"/>
    <x v="8"/>
    <x v="8"/>
    <x v="7"/>
    <x v="7"/>
    <x v="7"/>
    <x v="4"/>
    <x v="93"/>
    <x v="111"/>
    <x v="25"/>
    <x v="146"/>
    <x v="90"/>
    <x v="2"/>
    <x v="0"/>
  </r>
  <r>
    <x v="0"/>
    <x v="8"/>
    <x v="8"/>
    <x v="3"/>
    <x v="3"/>
    <x v="3"/>
    <x v="5"/>
    <x v="94"/>
    <x v="112"/>
    <x v="103"/>
    <x v="147"/>
    <x v="82"/>
    <x v="126"/>
    <x v="0"/>
  </r>
  <r>
    <x v="0"/>
    <x v="8"/>
    <x v="8"/>
    <x v="8"/>
    <x v="8"/>
    <x v="8"/>
    <x v="6"/>
    <x v="95"/>
    <x v="113"/>
    <x v="104"/>
    <x v="148"/>
    <x v="92"/>
    <x v="127"/>
    <x v="0"/>
  </r>
  <r>
    <x v="0"/>
    <x v="8"/>
    <x v="8"/>
    <x v="13"/>
    <x v="13"/>
    <x v="13"/>
    <x v="19"/>
    <x v="99"/>
    <x v="67"/>
    <x v="93"/>
    <x v="149"/>
    <x v="39"/>
    <x v="128"/>
    <x v="0"/>
  </r>
  <r>
    <x v="0"/>
    <x v="8"/>
    <x v="8"/>
    <x v="18"/>
    <x v="18"/>
    <x v="18"/>
    <x v="19"/>
    <x v="99"/>
    <x v="67"/>
    <x v="34"/>
    <x v="150"/>
    <x v="54"/>
    <x v="129"/>
    <x v="0"/>
  </r>
  <r>
    <x v="0"/>
    <x v="8"/>
    <x v="8"/>
    <x v="6"/>
    <x v="6"/>
    <x v="6"/>
    <x v="8"/>
    <x v="100"/>
    <x v="24"/>
    <x v="92"/>
    <x v="55"/>
    <x v="87"/>
    <x v="130"/>
    <x v="0"/>
  </r>
  <r>
    <x v="0"/>
    <x v="8"/>
    <x v="8"/>
    <x v="5"/>
    <x v="5"/>
    <x v="5"/>
    <x v="8"/>
    <x v="100"/>
    <x v="24"/>
    <x v="106"/>
    <x v="25"/>
    <x v="42"/>
    <x v="131"/>
    <x v="0"/>
  </r>
  <r>
    <x v="0"/>
    <x v="8"/>
    <x v="8"/>
    <x v="14"/>
    <x v="14"/>
    <x v="14"/>
    <x v="10"/>
    <x v="119"/>
    <x v="55"/>
    <x v="58"/>
    <x v="151"/>
    <x v="41"/>
    <x v="132"/>
    <x v="0"/>
  </r>
  <r>
    <x v="0"/>
    <x v="8"/>
    <x v="8"/>
    <x v="12"/>
    <x v="12"/>
    <x v="12"/>
    <x v="11"/>
    <x v="120"/>
    <x v="72"/>
    <x v="51"/>
    <x v="152"/>
    <x v="92"/>
    <x v="127"/>
    <x v="0"/>
  </r>
  <r>
    <x v="0"/>
    <x v="8"/>
    <x v="8"/>
    <x v="33"/>
    <x v="33"/>
    <x v="33"/>
    <x v="12"/>
    <x v="121"/>
    <x v="45"/>
    <x v="63"/>
    <x v="153"/>
    <x v="42"/>
    <x v="131"/>
    <x v="0"/>
  </r>
  <r>
    <x v="0"/>
    <x v="8"/>
    <x v="8"/>
    <x v="10"/>
    <x v="10"/>
    <x v="10"/>
    <x v="12"/>
    <x v="121"/>
    <x v="45"/>
    <x v="36"/>
    <x v="51"/>
    <x v="41"/>
    <x v="132"/>
    <x v="0"/>
  </r>
  <r>
    <x v="0"/>
    <x v="8"/>
    <x v="8"/>
    <x v="4"/>
    <x v="4"/>
    <x v="4"/>
    <x v="12"/>
    <x v="121"/>
    <x v="45"/>
    <x v="36"/>
    <x v="51"/>
    <x v="41"/>
    <x v="132"/>
    <x v="0"/>
  </r>
  <r>
    <x v="0"/>
    <x v="8"/>
    <x v="8"/>
    <x v="28"/>
    <x v="28"/>
    <x v="28"/>
    <x v="15"/>
    <x v="122"/>
    <x v="114"/>
    <x v="90"/>
    <x v="154"/>
    <x v="54"/>
    <x v="129"/>
    <x v="0"/>
  </r>
  <r>
    <x v="0"/>
    <x v="8"/>
    <x v="8"/>
    <x v="17"/>
    <x v="17"/>
    <x v="17"/>
    <x v="15"/>
    <x v="122"/>
    <x v="114"/>
    <x v="107"/>
    <x v="140"/>
    <x v="39"/>
    <x v="128"/>
    <x v="0"/>
  </r>
  <r>
    <x v="0"/>
    <x v="8"/>
    <x v="8"/>
    <x v="34"/>
    <x v="34"/>
    <x v="34"/>
    <x v="17"/>
    <x v="123"/>
    <x v="115"/>
    <x v="90"/>
    <x v="154"/>
    <x v="39"/>
    <x v="128"/>
    <x v="0"/>
  </r>
  <r>
    <x v="0"/>
    <x v="8"/>
    <x v="8"/>
    <x v="20"/>
    <x v="20"/>
    <x v="20"/>
    <x v="17"/>
    <x v="123"/>
    <x v="115"/>
    <x v="94"/>
    <x v="28"/>
    <x v="25"/>
    <x v="133"/>
    <x v="0"/>
  </r>
  <r>
    <x v="0"/>
    <x v="8"/>
    <x v="8"/>
    <x v="35"/>
    <x v="35"/>
    <x v="35"/>
    <x v="17"/>
    <x v="123"/>
    <x v="115"/>
    <x v="48"/>
    <x v="47"/>
    <x v="41"/>
    <x v="132"/>
    <x v="0"/>
  </r>
  <r>
    <x v="0"/>
    <x v="9"/>
    <x v="9"/>
    <x v="1"/>
    <x v="1"/>
    <x v="1"/>
    <x v="0"/>
    <x v="124"/>
    <x v="116"/>
    <x v="108"/>
    <x v="155"/>
    <x v="92"/>
    <x v="48"/>
    <x v="0"/>
  </r>
  <r>
    <x v="0"/>
    <x v="9"/>
    <x v="9"/>
    <x v="0"/>
    <x v="0"/>
    <x v="0"/>
    <x v="1"/>
    <x v="112"/>
    <x v="117"/>
    <x v="109"/>
    <x v="156"/>
    <x v="41"/>
    <x v="134"/>
    <x v="0"/>
  </r>
  <r>
    <x v="0"/>
    <x v="9"/>
    <x v="9"/>
    <x v="2"/>
    <x v="2"/>
    <x v="2"/>
    <x v="2"/>
    <x v="49"/>
    <x v="118"/>
    <x v="28"/>
    <x v="157"/>
    <x v="83"/>
    <x v="135"/>
    <x v="0"/>
  </r>
  <r>
    <x v="0"/>
    <x v="9"/>
    <x v="9"/>
    <x v="6"/>
    <x v="6"/>
    <x v="6"/>
    <x v="3"/>
    <x v="125"/>
    <x v="119"/>
    <x v="63"/>
    <x v="158"/>
    <x v="49"/>
    <x v="130"/>
    <x v="0"/>
  </r>
  <r>
    <x v="0"/>
    <x v="9"/>
    <x v="9"/>
    <x v="8"/>
    <x v="8"/>
    <x v="8"/>
    <x v="3"/>
    <x v="125"/>
    <x v="119"/>
    <x v="50"/>
    <x v="159"/>
    <x v="45"/>
    <x v="136"/>
    <x v="0"/>
  </r>
  <r>
    <x v="0"/>
    <x v="9"/>
    <x v="9"/>
    <x v="14"/>
    <x v="14"/>
    <x v="14"/>
    <x v="5"/>
    <x v="108"/>
    <x v="68"/>
    <x v="89"/>
    <x v="96"/>
    <x v="42"/>
    <x v="105"/>
    <x v="0"/>
  </r>
  <r>
    <x v="0"/>
    <x v="9"/>
    <x v="9"/>
    <x v="12"/>
    <x v="12"/>
    <x v="12"/>
    <x v="6"/>
    <x v="93"/>
    <x v="23"/>
    <x v="103"/>
    <x v="160"/>
    <x v="62"/>
    <x v="52"/>
    <x v="0"/>
  </r>
  <r>
    <x v="0"/>
    <x v="9"/>
    <x v="9"/>
    <x v="5"/>
    <x v="5"/>
    <x v="5"/>
    <x v="19"/>
    <x v="126"/>
    <x v="120"/>
    <x v="89"/>
    <x v="96"/>
    <x v="25"/>
    <x v="137"/>
    <x v="0"/>
  </r>
  <r>
    <x v="0"/>
    <x v="9"/>
    <x v="9"/>
    <x v="7"/>
    <x v="7"/>
    <x v="7"/>
    <x v="19"/>
    <x v="126"/>
    <x v="120"/>
    <x v="59"/>
    <x v="161"/>
    <x v="90"/>
    <x v="138"/>
    <x v="0"/>
  </r>
  <r>
    <x v="0"/>
    <x v="9"/>
    <x v="9"/>
    <x v="20"/>
    <x v="20"/>
    <x v="20"/>
    <x v="8"/>
    <x v="94"/>
    <x v="7"/>
    <x v="60"/>
    <x v="162"/>
    <x v="62"/>
    <x v="52"/>
    <x v="0"/>
  </r>
  <r>
    <x v="0"/>
    <x v="9"/>
    <x v="9"/>
    <x v="22"/>
    <x v="22"/>
    <x v="22"/>
    <x v="9"/>
    <x v="95"/>
    <x v="27"/>
    <x v="60"/>
    <x v="162"/>
    <x v="42"/>
    <x v="105"/>
    <x v="0"/>
  </r>
  <r>
    <x v="0"/>
    <x v="9"/>
    <x v="9"/>
    <x v="13"/>
    <x v="13"/>
    <x v="13"/>
    <x v="10"/>
    <x v="98"/>
    <x v="73"/>
    <x v="34"/>
    <x v="163"/>
    <x v="45"/>
    <x v="136"/>
    <x v="0"/>
  </r>
  <r>
    <x v="0"/>
    <x v="9"/>
    <x v="9"/>
    <x v="3"/>
    <x v="3"/>
    <x v="3"/>
    <x v="11"/>
    <x v="110"/>
    <x v="121"/>
    <x v="36"/>
    <x v="11"/>
    <x v="22"/>
    <x v="139"/>
    <x v="0"/>
  </r>
  <r>
    <x v="0"/>
    <x v="9"/>
    <x v="9"/>
    <x v="32"/>
    <x v="32"/>
    <x v="32"/>
    <x v="12"/>
    <x v="99"/>
    <x v="106"/>
    <x v="50"/>
    <x v="159"/>
    <x v="84"/>
    <x v="74"/>
    <x v="0"/>
  </r>
  <r>
    <x v="0"/>
    <x v="9"/>
    <x v="9"/>
    <x v="4"/>
    <x v="4"/>
    <x v="4"/>
    <x v="12"/>
    <x v="99"/>
    <x v="106"/>
    <x v="47"/>
    <x v="120"/>
    <x v="94"/>
    <x v="113"/>
    <x v="0"/>
  </r>
  <r>
    <x v="0"/>
    <x v="9"/>
    <x v="9"/>
    <x v="36"/>
    <x v="36"/>
    <x v="36"/>
    <x v="14"/>
    <x v="100"/>
    <x v="32"/>
    <x v="81"/>
    <x v="164"/>
    <x v="95"/>
    <x v="140"/>
    <x v="0"/>
  </r>
  <r>
    <x v="0"/>
    <x v="9"/>
    <x v="9"/>
    <x v="37"/>
    <x v="37"/>
    <x v="37"/>
    <x v="14"/>
    <x v="100"/>
    <x v="32"/>
    <x v="81"/>
    <x v="164"/>
    <x v="95"/>
    <x v="140"/>
    <x v="0"/>
  </r>
  <r>
    <x v="0"/>
    <x v="9"/>
    <x v="9"/>
    <x v="18"/>
    <x v="18"/>
    <x v="18"/>
    <x v="14"/>
    <x v="100"/>
    <x v="32"/>
    <x v="51"/>
    <x v="165"/>
    <x v="45"/>
    <x v="136"/>
    <x v="0"/>
  </r>
  <r>
    <x v="0"/>
    <x v="9"/>
    <x v="9"/>
    <x v="9"/>
    <x v="9"/>
    <x v="9"/>
    <x v="14"/>
    <x v="100"/>
    <x v="32"/>
    <x v="50"/>
    <x v="159"/>
    <x v="83"/>
    <x v="135"/>
    <x v="0"/>
  </r>
  <r>
    <x v="0"/>
    <x v="9"/>
    <x v="9"/>
    <x v="35"/>
    <x v="35"/>
    <x v="35"/>
    <x v="18"/>
    <x v="116"/>
    <x v="47"/>
    <x v="48"/>
    <x v="54"/>
    <x v="22"/>
    <x v="139"/>
    <x v="0"/>
  </r>
  <r>
    <x v="0"/>
    <x v="10"/>
    <x v="10"/>
    <x v="2"/>
    <x v="2"/>
    <x v="2"/>
    <x v="0"/>
    <x v="47"/>
    <x v="122"/>
    <x v="110"/>
    <x v="166"/>
    <x v="90"/>
    <x v="7"/>
    <x v="0"/>
  </r>
  <r>
    <x v="0"/>
    <x v="10"/>
    <x v="10"/>
    <x v="0"/>
    <x v="0"/>
    <x v="0"/>
    <x v="1"/>
    <x v="127"/>
    <x v="123"/>
    <x v="111"/>
    <x v="167"/>
    <x v="41"/>
    <x v="141"/>
    <x v="0"/>
  </r>
  <r>
    <x v="0"/>
    <x v="10"/>
    <x v="10"/>
    <x v="5"/>
    <x v="5"/>
    <x v="5"/>
    <x v="2"/>
    <x v="114"/>
    <x v="124"/>
    <x v="86"/>
    <x v="168"/>
    <x v="22"/>
    <x v="13"/>
    <x v="0"/>
  </r>
  <r>
    <x v="0"/>
    <x v="10"/>
    <x v="10"/>
    <x v="14"/>
    <x v="14"/>
    <x v="14"/>
    <x v="3"/>
    <x v="126"/>
    <x v="125"/>
    <x v="99"/>
    <x v="169"/>
    <x v="22"/>
    <x v="13"/>
    <x v="0"/>
  </r>
  <r>
    <x v="0"/>
    <x v="10"/>
    <x v="10"/>
    <x v="6"/>
    <x v="6"/>
    <x v="6"/>
    <x v="4"/>
    <x v="94"/>
    <x v="80"/>
    <x v="94"/>
    <x v="170"/>
    <x v="96"/>
    <x v="142"/>
    <x v="0"/>
  </r>
  <r>
    <x v="0"/>
    <x v="10"/>
    <x v="10"/>
    <x v="8"/>
    <x v="8"/>
    <x v="8"/>
    <x v="5"/>
    <x v="109"/>
    <x v="126"/>
    <x v="31"/>
    <x v="132"/>
    <x v="39"/>
    <x v="143"/>
    <x v="0"/>
  </r>
  <r>
    <x v="0"/>
    <x v="10"/>
    <x v="10"/>
    <x v="15"/>
    <x v="15"/>
    <x v="15"/>
    <x v="6"/>
    <x v="97"/>
    <x v="93"/>
    <x v="63"/>
    <x v="171"/>
    <x v="93"/>
    <x v="144"/>
    <x v="0"/>
  </r>
  <r>
    <x v="0"/>
    <x v="10"/>
    <x v="10"/>
    <x v="11"/>
    <x v="11"/>
    <x v="11"/>
    <x v="19"/>
    <x v="98"/>
    <x v="127"/>
    <x v="106"/>
    <x v="172"/>
    <x v="22"/>
    <x v="13"/>
    <x v="0"/>
  </r>
  <r>
    <x v="0"/>
    <x v="10"/>
    <x v="10"/>
    <x v="36"/>
    <x v="36"/>
    <x v="36"/>
    <x v="7"/>
    <x v="110"/>
    <x v="104"/>
    <x v="36"/>
    <x v="173"/>
    <x v="22"/>
    <x v="13"/>
    <x v="0"/>
  </r>
  <r>
    <x v="0"/>
    <x v="10"/>
    <x v="10"/>
    <x v="1"/>
    <x v="1"/>
    <x v="1"/>
    <x v="7"/>
    <x v="110"/>
    <x v="104"/>
    <x v="60"/>
    <x v="174"/>
    <x v="41"/>
    <x v="141"/>
    <x v="0"/>
  </r>
  <r>
    <x v="0"/>
    <x v="10"/>
    <x v="10"/>
    <x v="32"/>
    <x v="32"/>
    <x v="32"/>
    <x v="9"/>
    <x v="100"/>
    <x v="4"/>
    <x v="50"/>
    <x v="175"/>
    <x v="83"/>
    <x v="54"/>
    <x v="0"/>
  </r>
  <r>
    <x v="0"/>
    <x v="10"/>
    <x v="10"/>
    <x v="12"/>
    <x v="12"/>
    <x v="12"/>
    <x v="10"/>
    <x v="119"/>
    <x v="96"/>
    <x v="58"/>
    <x v="176"/>
    <x v="41"/>
    <x v="141"/>
    <x v="0"/>
  </r>
  <r>
    <x v="0"/>
    <x v="10"/>
    <x v="10"/>
    <x v="20"/>
    <x v="20"/>
    <x v="20"/>
    <x v="11"/>
    <x v="120"/>
    <x v="128"/>
    <x v="36"/>
    <x v="173"/>
    <x v="25"/>
    <x v="145"/>
    <x v="0"/>
  </r>
  <r>
    <x v="0"/>
    <x v="10"/>
    <x v="10"/>
    <x v="28"/>
    <x v="28"/>
    <x v="28"/>
    <x v="11"/>
    <x v="120"/>
    <x v="128"/>
    <x v="51"/>
    <x v="177"/>
    <x v="92"/>
    <x v="78"/>
    <x v="0"/>
  </r>
  <r>
    <x v="0"/>
    <x v="10"/>
    <x v="10"/>
    <x v="13"/>
    <x v="13"/>
    <x v="13"/>
    <x v="13"/>
    <x v="128"/>
    <x v="84"/>
    <x v="48"/>
    <x v="178"/>
    <x v="42"/>
    <x v="146"/>
    <x v="0"/>
  </r>
  <r>
    <x v="0"/>
    <x v="10"/>
    <x v="10"/>
    <x v="9"/>
    <x v="9"/>
    <x v="9"/>
    <x v="14"/>
    <x v="129"/>
    <x v="129"/>
    <x v="106"/>
    <x v="172"/>
    <x v="41"/>
    <x v="141"/>
    <x v="0"/>
  </r>
  <r>
    <x v="0"/>
    <x v="10"/>
    <x v="10"/>
    <x v="4"/>
    <x v="4"/>
    <x v="4"/>
    <x v="14"/>
    <x v="129"/>
    <x v="129"/>
    <x v="106"/>
    <x v="172"/>
    <x v="41"/>
    <x v="141"/>
    <x v="0"/>
  </r>
  <r>
    <x v="0"/>
    <x v="10"/>
    <x v="10"/>
    <x v="33"/>
    <x v="33"/>
    <x v="33"/>
    <x v="16"/>
    <x v="122"/>
    <x v="130"/>
    <x v="81"/>
    <x v="179"/>
    <x v="41"/>
    <x v="141"/>
    <x v="0"/>
  </r>
  <r>
    <x v="0"/>
    <x v="10"/>
    <x v="10"/>
    <x v="38"/>
    <x v="38"/>
    <x v="38"/>
    <x v="17"/>
    <x v="130"/>
    <x v="60"/>
    <x v="107"/>
    <x v="107"/>
    <x v="39"/>
    <x v="143"/>
    <x v="0"/>
  </r>
  <r>
    <x v="0"/>
    <x v="10"/>
    <x v="10"/>
    <x v="35"/>
    <x v="35"/>
    <x v="35"/>
    <x v="17"/>
    <x v="130"/>
    <x v="60"/>
    <x v="94"/>
    <x v="170"/>
    <x v="82"/>
    <x v="114"/>
    <x v="0"/>
  </r>
  <r>
    <x v="0"/>
    <x v="10"/>
    <x v="10"/>
    <x v="18"/>
    <x v="18"/>
    <x v="18"/>
    <x v="17"/>
    <x v="130"/>
    <x v="60"/>
    <x v="91"/>
    <x v="180"/>
    <x v="95"/>
    <x v="91"/>
    <x v="0"/>
  </r>
  <r>
    <x v="0"/>
    <x v="11"/>
    <x v="11"/>
    <x v="1"/>
    <x v="1"/>
    <x v="1"/>
    <x v="0"/>
    <x v="131"/>
    <x v="131"/>
    <x v="112"/>
    <x v="181"/>
    <x v="86"/>
    <x v="65"/>
    <x v="0"/>
  </r>
  <r>
    <x v="0"/>
    <x v="11"/>
    <x v="11"/>
    <x v="0"/>
    <x v="0"/>
    <x v="0"/>
    <x v="1"/>
    <x v="111"/>
    <x v="132"/>
    <x v="109"/>
    <x v="182"/>
    <x v="42"/>
    <x v="69"/>
    <x v="0"/>
  </r>
  <r>
    <x v="0"/>
    <x v="11"/>
    <x v="11"/>
    <x v="2"/>
    <x v="2"/>
    <x v="2"/>
    <x v="2"/>
    <x v="102"/>
    <x v="133"/>
    <x v="113"/>
    <x v="183"/>
    <x v="83"/>
    <x v="72"/>
    <x v="0"/>
  </r>
  <r>
    <x v="0"/>
    <x v="11"/>
    <x v="11"/>
    <x v="6"/>
    <x v="6"/>
    <x v="6"/>
    <x v="3"/>
    <x v="127"/>
    <x v="103"/>
    <x v="91"/>
    <x v="184"/>
    <x v="97"/>
    <x v="147"/>
    <x v="0"/>
  </r>
  <r>
    <x v="0"/>
    <x v="11"/>
    <x v="11"/>
    <x v="4"/>
    <x v="4"/>
    <x v="4"/>
    <x v="4"/>
    <x v="115"/>
    <x v="66"/>
    <x v="102"/>
    <x v="185"/>
    <x v="84"/>
    <x v="148"/>
    <x v="0"/>
  </r>
  <r>
    <x v="0"/>
    <x v="11"/>
    <x v="11"/>
    <x v="5"/>
    <x v="5"/>
    <x v="5"/>
    <x v="5"/>
    <x v="105"/>
    <x v="134"/>
    <x v="50"/>
    <x v="121"/>
    <x v="72"/>
    <x v="149"/>
    <x v="0"/>
  </r>
  <r>
    <x v="0"/>
    <x v="11"/>
    <x v="11"/>
    <x v="7"/>
    <x v="7"/>
    <x v="7"/>
    <x v="6"/>
    <x v="108"/>
    <x v="4"/>
    <x v="79"/>
    <x v="186"/>
    <x v="94"/>
    <x v="113"/>
    <x v="0"/>
  </r>
  <r>
    <x v="0"/>
    <x v="11"/>
    <x v="11"/>
    <x v="8"/>
    <x v="8"/>
    <x v="8"/>
    <x v="19"/>
    <x v="94"/>
    <x v="96"/>
    <x v="104"/>
    <x v="187"/>
    <x v="54"/>
    <x v="150"/>
    <x v="0"/>
  </r>
  <r>
    <x v="0"/>
    <x v="11"/>
    <x v="11"/>
    <x v="14"/>
    <x v="14"/>
    <x v="14"/>
    <x v="7"/>
    <x v="95"/>
    <x v="57"/>
    <x v="60"/>
    <x v="188"/>
    <x v="42"/>
    <x v="69"/>
    <x v="0"/>
  </r>
  <r>
    <x v="0"/>
    <x v="11"/>
    <x v="11"/>
    <x v="33"/>
    <x v="33"/>
    <x v="33"/>
    <x v="8"/>
    <x v="96"/>
    <x v="135"/>
    <x v="106"/>
    <x v="123"/>
    <x v="54"/>
    <x v="150"/>
    <x v="0"/>
  </r>
  <r>
    <x v="0"/>
    <x v="11"/>
    <x v="11"/>
    <x v="10"/>
    <x v="10"/>
    <x v="10"/>
    <x v="8"/>
    <x v="96"/>
    <x v="135"/>
    <x v="103"/>
    <x v="189"/>
    <x v="84"/>
    <x v="148"/>
    <x v="0"/>
  </r>
  <r>
    <x v="0"/>
    <x v="11"/>
    <x v="11"/>
    <x v="9"/>
    <x v="9"/>
    <x v="9"/>
    <x v="10"/>
    <x v="109"/>
    <x v="84"/>
    <x v="85"/>
    <x v="190"/>
    <x v="94"/>
    <x v="113"/>
    <x v="0"/>
  </r>
  <r>
    <x v="0"/>
    <x v="11"/>
    <x v="11"/>
    <x v="13"/>
    <x v="13"/>
    <x v="13"/>
    <x v="11"/>
    <x v="98"/>
    <x v="85"/>
    <x v="51"/>
    <x v="191"/>
    <x v="87"/>
    <x v="151"/>
    <x v="0"/>
  </r>
  <r>
    <x v="0"/>
    <x v="11"/>
    <x v="11"/>
    <x v="11"/>
    <x v="11"/>
    <x v="11"/>
    <x v="11"/>
    <x v="98"/>
    <x v="85"/>
    <x v="106"/>
    <x v="123"/>
    <x v="22"/>
    <x v="152"/>
    <x v="0"/>
  </r>
  <r>
    <x v="0"/>
    <x v="11"/>
    <x v="11"/>
    <x v="12"/>
    <x v="12"/>
    <x v="12"/>
    <x v="13"/>
    <x v="110"/>
    <x v="74"/>
    <x v="31"/>
    <x v="192"/>
    <x v="42"/>
    <x v="69"/>
    <x v="1"/>
  </r>
  <r>
    <x v="0"/>
    <x v="11"/>
    <x v="11"/>
    <x v="3"/>
    <x v="3"/>
    <x v="3"/>
    <x v="14"/>
    <x v="99"/>
    <x v="136"/>
    <x v="65"/>
    <x v="172"/>
    <x v="83"/>
    <x v="72"/>
    <x v="0"/>
  </r>
  <r>
    <x v="0"/>
    <x v="11"/>
    <x v="11"/>
    <x v="22"/>
    <x v="22"/>
    <x v="22"/>
    <x v="15"/>
    <x v="100"/>
    <x v="137"/>
    <x v="106"/>
    <x v="123"/>
    <x v="42"/>
    <x v="69"/>
    <x v="0"/>
  </r>
  <r>
    <x v="0"/>
    <x v="11"/>
    <x v="11"/>
    <x v="39"/>
    <x v="39"/>
    <x v="39"/>
    <x v="15"/>
    <x v="100"/>
    <x v="137"/>
    <x v="114"/>
    <x v="193"/>
    <x v="41"/>
    <x v="22"/>
    <x v="0"/>
  </r>
  <r>
    <x v="0"/>
    <x v="11"/>
    <x v="11"/>
    <x v="16"/>
    <x v="16"/>
    <x v="16"/>
    <x v="17"/>
    <x v="116"/>
    <x v="76"/>
    <x v="107"/>
    <x v="194"/>
    <x v="87"/>
    <x v="151"/>
    <x v="0"/>
  </r>
  <r>
    <x v="0"/>
    <x v="11"/>
    <x v="11"/>
    <x v="30"/>
    <x v="30"/>
    <x v="30"/>
    <x v="17"/>
    <x v="116"/>
    <x v="76"/>
    <x v="107"/>
    <x v="194"/>
    <x v="87"/>
    <x v="151"/>
    <x v="0"/>
  </r>
  <r>
    <x v="0"/>
    <x v="11"/>
    <x v="11"/>
    <x v="17"/>
    <x v="17"/>
    <x v="17"/>
    <x v="17"/>
    <x v="116"/>
    <x v="76"/>
    <x v="34"/>
    <x v="90"/>
    <x v="39"/>
    <x v="153"/>
    <x v="0"/>
  </r>
  <r>
    <x v="0"/>
    <x v="12"/>
    <x v="12"/>
    <x v="1"/>
    <x v="1"/>
    <x v="1"/>
    <x v="0"/>
    <x v="40"/>
    <x v="138"/>
    <x v="115"/>
    <x v="195"/>
    <x v="89"/>
    <x v="154"/>
    <x v="0"/>
  </r>
  <r>
    <x v="0"/>
    <x v="12"/>
    <x v="12"/>
    <x v="0"/>
    <x v="0"/>
    <x v="0"/>
    <x v="1"/>
    <x v="132"/>
    <x v="139"/>
    <x v="78"/>
    <x v="196"/>
    <x v="25"/>
    <x v="137"/>
    <x v="0"/>
  </r>
  <r>
    <x v="0"/>
    <x v="12"/>
    <x v="12"/>
    <x v="2"/>
    <x v="2"/>
    <x v="2"/>
    <x v="2"/>
    <x v="102"/>
    <x v="133"/>
    <x v="116"/>
    <x v="197"/>
    <x v="90"/>
    <x v="138"/>
    <x v="0"/>
  </r>
  <r>
    <x v="0"/>
    <x v="12"/>
    <x v="12"/>
    <x v="5"/>
    <x v="5"/>
    <x v="5"/>
    <x v="3"/>
    <x v="89"/>
    <x v="140"/>
    <x v="85"/>
    <x v="160"/>
    <x v="72"/>
    <x v="155"/>
    <x v="0"/>
  </r>
  <r>
    <x v="0"/>
    <x v="12"/>
    <x v="12"/>
    <x v="7"/>
    <x v="7"/>
    <x v="7"/>
    <x v="3"/>
    <x v="89"/>
    <x v="140"/>
    <x v="117"/>
    <x v="198"/>
    <x v="94"/>
    <x v="113"/>
    <x v="0"/>
  </r>
  <r>
    <x v="0"/>
    <x v="12"/>
    <x v="12"/>
    <x v="8"/>
    <x v="8"/>
    <x v="8"/>
    <x v="5"/>
    <x v="92"/>
    <x v="141"/>
    <x v="49"/>
    <x v="25"/>
    <x v="22"/>
    <x v="139"/>
    <x v="1"/>
  </r>
  <r>
    <x v="0"/>
    <x v="12"/>
    <x v="12"/>
    <x v="11"/>
    <x v="11"/>
    <x v="11"/>
    <x v="6"/>
    <x v="125"/>
    <x v="54"/>
    <x v="58"/>
    <x v="123"/>
    <x v="86"/>
    <x v="156"/>
    <x v="0"/>
  </r>
  <r>
    <x v="0"/>
    <x v="12"/>
    <x v="12"/>
    <x v="6"/>
    <x v="6"/>
    <x v="6"/>
    <x v="19"/>
    <x v="93"/>
    <x v="70"/>
    <x v="34"/>
    <x v="158"/>
    <x v="96"/>
    <x v="157"/>
    <x v="0"/>
  </r>
  <r>
    <x v="0"/>
    <x v="12"/>
    <x v="12"/>
    <x v="14"/>
    <x v="14"/>
    <x v="14"/>
    <x v="7"/>
    <x v="94"/>
    <x v="96"/>
    <x v="103"/>
    <x v="199"/>
    <x v="82"/>
    <x v="42"/>
    <x v="0"/>
  </r>
  <r>
    <x v="0"/>
    <x v="12"/>
    <x v="12"/>
    <x v="20"/>
    <x v="20"/>
    <x v="20"/>
    <x v="8"/>
    <x v="95"/>
    <x v="57"/>
    <x v="103"/>
    <x v="199"/>
    <x v="25"/>
    <x v="137"/>
    <x v="0"/>
  </r>
  <r>
    <x v="0"/>
    <x v="12"/>
    <x v="12"/>
    <x v="18"/>
    <x v="18"/>
    <x v="18"/>
    <x v="9"/>
    <x v="109"/>
    <x v="84"/>
    <x v="94"/>
    <x v="125"/>
    <x v="43"/>
    <x v="158"/>
    <x v="0"/>
  </r>
  <r>
    <x v="0"/>
    <x v="12"/>
    <x v="12"/>
    <x v="19"/>
    <x v="19"/>
    <x v="19"/>
    <x v="9"/>
    <x v="109"/>
    <x v="84"/>
    <x v="36"/>
    <x v="200"/>
    <x v="54"/>
    <x v="93"/>
    <x v="0"/>
  </r>
  <r>
    <x v="0"/>
    <x v="12"/>
    <x v="12"/>
    <x v="15"/>
    <x v="15"/>
    <x v="15"/>
    <x v="11"/>
    <x v="97"/>
    <x v="43"/>
    <x v="94"/>
    <x v="125"/>
    <x v="87"/>
    <x v="159"/>
    <x v="0"/>
  </r>
  <r>
    <x v="0"/>
    <x v="12"/>
    <x v="12"/>
    <x v="4"/>
    <x v="4"/>
    <x v="4"/>
    <x v="11"/>
    <x v="97"/>
    <x v="43"/>
    <x v="89"/>
    <x v="201"/>
    <x v="94"/>
    <x v="113"/>
    <x v="0"/>
  </r>
  <r>
    <x v="0"/>
    <x v="12"/>
    <x v="12"/>
    <x v="13"/>
    <x v="13"/>
    <x v="13"/>
    <x v="13"/>
    <x v="98"/>
    <x v="85"/>
    <x v="94"/>
    <x v="125"/>
    <x v="93"/>
    <x v="160"/>
    <x v="0"/>
  </r>
  <r>
    <x v="0"/>
    <x v="12"/>
    <x v="12"/>
    <x v="9"/>
    <x v="9"/>
    <x v="9"/>
    <x v="14"/>
    <x v="110"/>
    <x v="74"/>
    <x v="99"/>
    <x v="202"/>
    <x v="83"/>
    <x v="135"/>
    <x v="0"/>
  </r>
  <r>
    <x v="0"/>
    <x v="12"/>
    <x v="12"/>
    <x v="16"/>
    <x v="16"/>
    <x v="16"/>
    <x v="15"/>
    <x v="100"/>
    <x v="137"/>
    <x v="100"/>
    <x v="203"/>
    <x v="86"/>
    <x v="156"/>
    <x v="0"/>
  </r>
  <r>
    <x v="0"/>
    <x v="12"/>
    <x v="12"/>
    <x v="24"/>
    <x v="24"/>
    <x v="24"/>
    <x v="15"/>
    <x v="100"/>
    <x v="137"/>
    <x v="34"/>
    <x v="158"/>
    <x v="92"/>
    <x v="48"/>
    <x v="0"/>
  </r>
  <r>
    <x v="0"/>
    <x v="12"/>
    <x v="12"/>
    <x v="40"/>
    <x v="40"/>
    <x v="40"/>
    <x v="17"/>
    <x v="116"/>
    <x v="33"/>
    <x v="36"/>
    <x v="200"/>
    <x v="42"/>
    <x v="105"/>
    <x v="0"/>
  </r>
  <r>
    <x v="0"/>
    <x v="12"/>
    <x v="12"/>
    <x v="21"/>
    <x v="21"/>
    <x v="21"/>
    <x v="17"/>
    <x v="116"/>
    <x v="33"/>
    <x v="50"/>
    <x v="204"/>
    <x v="41"/>
    <x v="134"/>
    <x v="0"/>
  </r>
  <r>
    <x v="0"/>
    <x v="13"/>
    <x v="13"/>
    <x v="1"/>
    <x v="1"/>
    <x v="1"/>
    <x v="0"/>
    <x v="44"/>
    <x v="142"/>
    <x v="98"/>
    <x v="205"/>
    <x v="86"/>
    <x v="161"/>
    <x v="0"/>
  </r>
  <r>
    <x v="0"/>
    <x v="13"/>
    <x v="13"/>
    <x v="0"/>
    <x v="0"/>
    <x v="0"/>
    <x v="1"/>
    <x v="106"/>
    <x v="143"/>
    <x v="86"/>
    <x v="206"/>
    <x v="82"/>
    <x v="150"/>
    <x v="0"/>
  </r>
  <r>
    <x v="0"/>
    <x v="13"/>
    <x v="13"/>
    <x v="2"/>
    <x v="2"/>
    <x v="2"/>
    <x v="2"/>
    <x v="94"/>
    <x v="144"/>
    <x v="59"/>
    <x v="207"/>
    <x v="94"/>
    <x v="113"/>
    <x v="0"/>
  </r>
  <r>
    <x v="0"/>
    <x v="13"/>
    <x v="13"/>
    <x v="15"/>
    <x v="15"/>
    <x v="15"/>
    <x v="3"/>
    <x v="95"/>
    <x v="145"/>
    <x v="51"/>
    <x v="208"/>
    <x v="96"/>
    <x v="162"/>
    <x v="0"/>
  </r>
  <r>
    <x v="0"/>
    <x v="13"/>
    <x v="13"/>
    <x v="5"/>
    <x v="5"/>
    <x v="5"/>
    <x v="4"/>
    <x v="100"/>
    <x v="90"/>
    <x v="106"/>
    <x v="209"/>
    <x v="42"/>
    <x v="66"/>
    <x v="0"/>
  </r>
  <r>
    <x v="0"/>
    <x v="13"/>
    <x v="13"/>
    <x v="4"/>
    <x v="4"/>
    <x v="4"/>
    <x v="5"/>
    <x v="119"/>
    <x v="66"/>
    <x v="31"/>
    <x v="3"/>
    <x v="84"/>
    <x v="145"/>
    <x v="0"/>
  </r>
  <r>
    <x v="0"/>
    <x v="13"/>
    <x v="13"/>
    <x v="9"/>
    <x v="9"/>
    <x v="9"/>
    <x v="6"/>
    <x v="128"/>
    <x v="141"/>
    <x v="31"/>
    <x v="3"/>
    <x v="41"/>
    <x v="61"/>
    <x v="0"/>
  </r>
  <r>
    <x v="0"/>
    <x v="13"/>
    <x v="13"/>
    <x v="36"/>
    <x v="36"/>
    <x v="36"/>
    <x v="19"/>
    <x v="129"/>
    <x v="24"/>
    <x v="34"/>
    <x v="124"/>
    <x v="42"/>
    <x v="66"/>
    <x v="0"/>
  </r>
  <r>
    <x v="0"/>
    <x v="13"/>
    <x v="13"/>
    <x v="8"/>
    <x v="8"/>
    <x v="8"/>
    <x v="7"/>
    <x v="122"/>
    <x v="146"/>
    <x v="48"/>
    <x v="210"/>
    <x v="84"/>
    <x v="145"/>
    <x v="0"/>
  </r>
  <r>
    <x v="0"/>
    <x v="13"/>
    <x v="13"/>
    <x v="6"/>
    <x v="6"/>
    <x v="6"/>
    <x v="8"/>
    <x v="130"/>
    <x v="58"/>
    <x v="51"/>
    <x v="208"/>
    <x v="42"/>
    <x v="66"/>
    <x v="0"/>
  </r>
  <r>
    <x v="0"/>
    <x v="13"/>
    <x v="13"/>
    <x v="14"/>
    <x v="14"/>
    <x v="14"/>
    <x v="8"/>
    <x v="130"/>
    <x v="58"/>
    <x v="93"/>
    <x v="83"/>
    <x v="41"/>
    <x v="61"/>
    <x v="0"/>
  </r>
  <r>
    <x v="0"/>
    <x v="13"/>
    <x v="13"/>
    <x v="20"/>
    <x v="20"/>
    <x v="20"/>
    <x v="10"/>
    <x v="123"/>
    <x v="13"/>
    <x v="34"/>
    <x v="124"/>
    <x v="83"/>
    <x v="101"/>
    <x v="0"/>
  </r>
  <r>
    <x v="0"/>
    <x v="13"/>
    <x v="13"/>
    <x v="13"/>
    <x v="13"/>
    <x v="13"/>
    <x v="11"/>
    <x v="133"/>
    <x v="32"/>
    <x v="51"/>
    <x v="208"/>
    <x v="25"/>
    <x v="163"/>
    <x v="0"/>
  </r>
  <r>
    <x v="0"/>
    <x v="13"/>
    <x v="13"/>
    <x v="3"/>
    <x v="3"/>
    <x v="3"/>
    <x v="11"/>
    <x v="133"/>
    <x v="32"/>
    <x v="100"/>
    <x v="75"/>
    <x v="82"/>
    <x v="150"/>
    <x v="0"/>
  </r>
  <r>
    <x v="0"/>
    <x v="13"/>
    <x v="13"/>
    <x v="35"/>
    <x v="35"/>
    <x v="35"/>
    <x v="13"/>
    <x v="134"/>
    <x v="147"/>
    <x v="51"/>
    <x v="208"/>
    <x v="84"/>
    <x v="145"/>
    <x v="0"/>
  </r>
  <r>
    <x v="0"/>
    <x v="13"/>
    <x v="13"/>
    <x v="19"/>
    <x v="19"/>
    <x v="19"/>
    <x v="13"/>
    <x v="134"/>
    <x v="147"/>
    <x v="91"/>
    <x v="57"/>
    <x v="82"/>
    <x v="150"/>
    <x v="0"/>
  </r>
  <r>
    <x v="0"/>
    <x v="13"/>
    <x v="13"/>
    <x v="22"/>
    <x v="22"/>
    <x v="22"/>
    <x v="13"/>
    <x v="134"/>
    <x v="147"/>
    <x v="34"/>
    <x v="124"/>
    <x v="90"/>
    <x v="164"/>
    <x v="0"/>
  </r>
  <r>
    <x v="0"/>
    <x v="13"/>
    <x v="13"/>
    <x v="7"/>
    <x v="7"/>
    <x v="7"/>
    <x v="13"/>
    <x v="134"/>
    <x v="147"/>
    <x v="48"/>
    <x v="210"/>
    <x v="94"/>
    <x v="113"/>
    <x v="0"/>
  </r>
  <r>
    <x v="0"/>
    <x v="13"/>
    <x v="13"/>
    <x v="41"/>
    <x v="41"/>
    <x v="41"/>
    <x v="13"/>
    <x v="134"/>
    <x v="147"/>
    <x v="114"/>
    <x v="193"/>
    <x v="62"/>
    <x v="165"/>
    <x v="0"/>
  </r>
  <r>
    <x v="0"/>
    <x v="13"/>
    <x v="13"/>
    <x v="42"/>
    <x v="42"/>
    <x v="42"/>
    <x v="18"/>
    <x v="135"/>
    <x v="148"/>
    <x v="51"/>
    <x v="208"/>
    <x v="83"/>
    <x v="101"/>
    <x v="0"/>
  </r>
  <r>
    <x v="0"/>
    <x v="13"/>
    <x v="13"/>
    <x v="12"/>
    <x v="12"/>
    <x v="12"/>
    <x v="18"/>
    <x v="135"/>
    <x v="148"/>
    <x v="100"/>
    <x v="75"/>
    <x v="84"/>
    <x v="145"/>
    <x v="0"/>
  </r>
  <r>
    <x v="0"/>
    <x v="13"/>
    <x v="13"/>
    <x v="17"/>
    <x v="17"/>
    <x v="17"/>
    <x v="18"/>
    <x v="135"/>
    <x v="148"/>
    <x v="92"/>
    <x v="125"/>
    <x v="82"/>
    <x v="150"/>
    <x v="0"/>
  </r>
  <r>
    <x v="0"/>
    <x v="14"/>
    <x v="14"/>
    <x v="1"/>
    <x v="1"/>
    <x v="1"/>
    <x v="0"/>
    <x v="119"/>
    <x v="149"/>
    <x v="106"/>
    <x v="211"/>
    <x v="25"/>
    <x v="166"/>
    <x v="0"/>
  </r>
  <r>
    <x v="0"/>
    <x v="14"/>
    <x v="14"/>
    <x v="2"/>
    <x v="2"/>
    <x v="2"/>
    <x v="1"/>
    <x v="123"/>
    <x v="150"/>
    <x v="81"/>
    <x v="212"/>
    <x v="94"/>
    <x v="113"/>
    <x v="0"/>
  </r>
  <r>
    <x v="0"/>
    <x v="14"/>
    <x v="14"/>
    <x v="11"/>
    <x v="11"/>
    <x v="11"/>
    <x v="2"/>
    <x v="133"/>
    <x v="151"/>
    <x v="51"/>
    <x v="213"/>
    <x v="25"/>
    <x v="166"/>
    <x v="0"/>
  </r>
  <r>
    <x v="0"/>
    <x v="14"/>
    <x v="14"/>
    <x v="0"/>
    <x v="0"/>
    <x v="0"/>
    <x v="2"/>
    <x v="133"/>
    <x v="151"/>
    <x v="93"/>
    <x v="214"/>
    <x v="94"/>
    <x v="113"/>
    <x v="0"/>
  </r>
  <r>
    <x v="0"/>
    <x v="14"/>
    <x v="14"/>
    <x v="10"/>
    <x v="10"/>
    <x v="10"/>
    <x v="4"/>
    <x v="134"/>
    <x v="38"/>
    <x v="63"/>
    <x v="215"/>
    <x v="41"/>
    <x v="167"/>
    <x v="0"/>
  </r>
  <r>
    <x v="0"/>
    <x v="14"/>
    <x v="14"/>
    <x v="8"/>
    <x v="8"/>
    <x v="8"/>
    <x v="5"/>
    <x v="136"/>
    <x v="152"/>
    <x v="92"/>
    <x v="85"/>
    <x v="84"/>
    <x v="168"/>
    <x v="0"/>
  </r>
  <r>
    <x v="0"/>
    <x v="14"/>
    <x v="14"/>
    <x v="4"/>
    <x v="4"/>
    <x v="4"/>
    <x v="5"/>
    <x v="136"/>
    <x v="152"/>
    <x v="94"/>
    <x v="216"/>
    <x v="94"/>
    <x v="113"/>
    <x v="0"/>
  </r>
  <r>
    <x v="0"/>
    <x v="14"/>
    <x v="14"/>
    <x v="15"/>
    <x v="15"/>
    <x v="15"/>
    <x v="19"/>
    <x v="137"/>
    <x v="153"/>
    <x v="90"/>
    <x v="67"/>
    <x v="25"/>
    <x v="166"/>
    <x v="0"/>
  </r>
  <r>
    <x v="0"/>
    <x v="14"/>
    <x v="14"/>
    <x v="14"/>
    <x v="14"/>
    <x v="14"/>
    <x v="19"/>
    <x v="137"/>
    <x v="153"/>
    <x v="92"/>
    <x v="85"/>
    <x v="83"/>
    <x v="169"/>
    <x v="0"/>
  </r>
  <r>
    <x v="0"/>
    <x v="14"/>
    <x v="14"/>
    <x v="29"/>
    <x v="29"/>
    <x v="29"/>
    <x v="8"/>
    <x v="138"/>
    <x v="154"/>
    <x v="90"/>
    <x v="67"/>
    <x v="84"/>
    <x v="168"/>
    <x v="0"/>
  </r>
  <r>
    <x v="0"/>
    <x v="14"/>
    <x v="14"/>
    <x v="13"/>
    <x v="13"/>
    <x v="13"/>
    <x v="8"/>
    <x v="138"/>
    <x v="154"/>
    <x v="107"/>
    <x v="135"/>
    <x v="83"/>
    <x v="169"/>
    <x v="0"/>
  </r>
  <r>
    <x v="0"/>
    <x v="14"/>
    <x v="14"/>
    <x v="30"/>
    <x v="30"/>
    <x v="30"/>
    <x v="8"/>
    <x v="138"/>
    <x v="154"/>
    <x v="92"/>
    <x v="85"/>
    <x v="41"/>
    <x v="167"/>
    <x v="0"/>
  </r>
  <r>
    <x v="0"/>
    <x v="14"/>
    <x v="14"/>
    <x v="5"/>
    <x v="5"/>
    <x v="5"/>
    <x v="11"/>
    <x v="139"/>
    <x v="86"/>
    <x v="107"/>
    <x v="135"/>
    <x v="41"/>
    <x v="167"/>
    <x v="0"/>
  </r>
  <r>
    <x v="0"/>
    <x v="14"/>
    <x v="14"/>
    <x v="40"/>
    <x v="40"/>
    <x v="40"/>
    <x v="11"/>
    <x v="139"/>
    <x v="86"/>
    <x v="107"/>
    <x v="135"/>
    <x v="41"/>
    <x v="167"/>
    <x v="0"/>
  </r>
  <r>
    <x v="0"/>
    <x v="14"/>
    <x v="14"/>
    <x v="43"/>
    <x v="43"/>
    <x v="43"/>
    <x v="11"/>
    <x v="139"/>
    <x v="86"/>
    <x v="92"/>
    <x v="85"/>
    <x v="90"/>
    <x v="56"/>
    <x v="0"/>
  </r>
  <r>
    <x v="0"/>
    <x v="14"/>
    <x v="14"/>
    <x v="24"/>
    <x v="24"/>
    <x v="24"/>
    <x v="11"/>
    <x v="139"/>
    <x v="86"/>
    <x v="92"/>
    <x v="85"/>
    <x v="90"/>
    <x v="56"/>
    <x v="0"/>
  </r>
  <r>
    <x v="0"/>
    <x v="14"/>
    <x v="14"/>
    <x v="26"/>
    <x v="26"/>
    <x v="26"/>
    <x v="11"/>
    <x v="139"/>
    <x v="86"/>
    <x v="92"/>
    <x v="85"/>
    <x v="90"/>
    <x v="56"/>
    <x v="0"/>
  </r>
  <r>
    <x v="0"/>
    <x v="14"/>
    <x v="14"/>
    <x v="6"/>
    <x v="6"/>
    <x v="6"/>
    <x v="16"/>
    <x v="140"/>
    <x v="155"/>
    <x v="107"/>
    <x v="135"/>
    <x v="90"/>
    <x v="56"/>
    <x v="0"/>
  </r>
  <r>
    <x v="0"/>
    <x v="14"/>
    <x v="14"/>
    <x v="36"/>
    <x v="36"/>
    <x v="36"/>
    <x v="16"/>
    <x v="140"/>
    <x v="155"/>
    <x v="90"/>
    <x v="67"/>
    <x v="41"/>
    <x v="167"/>
    <x v="0"/>
  </r>
  <r>
    <x v="0"/>
    <x v="14"/>
    <x v="14"/>
    <x v="44"/>
    <x v="44"/>
    <x v="44"/>
    <x v="16"/>
    <x v="140"/>
    <x v="155"/>
    <x v="92"/>
    <x v="85"/>
    <x v="94"/>
    <x v="113"/>
    <x v="0"/>
  </r>
  <r>
    <x v="0"/>
    <x v="14"/>
    <x v="14"/>
    <x v="37"/>
    <x v="37"/>
    <x v="37"/>
    <x v="16"/>
    <x v="140"/>
    <x v="155"/>
    <x v="92"/>
    <x v="85"/>
    <x v="94"/>
    <x v="113"/>
    <x v="0"/>
  </r>
  <r>
    <x v="0"/>
    <x v="14"/>
    <x v="14"/>
    <x v="45"/>
    <x v="45"/>
    <x v="45"/>
    <x v="16"/>
    <x v="140"/>
    <x v="155"/>
    <x v="114"/>
    <x v="193"/>
    <x v="83"/>
    <x v="169"/>
    <x v="0"/>
  </r>
  <r>
    <x v="0"/>
    <x v="14"/>
    <x v="14"/>
    <x v="32"/>
    <x v="32"/>
    <x v="32"/>
    <x v="16"/>
    <x v="140"/>
    <x v="155"/>
    <x v="92"/>
    <x v="85"/>
    <x v="94"/>
    <x v="113"/>
    <x v="0"/>
  </r>
  <r>
    <x v="0"/>
    <x v="14"/>
    <x v="14"/>
    <x v="20"/>
    <x v="20"/>
    <x v="20"/>
    <x v="16"/>
    <x v="140"/>
    <x v="155"/>
    <x v="92"/>
    <x v="85"/>
    <x v="94"/>
    <x v="113"/>
    <x v="0"/>
  </r>
  <r>
    <x v="0"/>
    <x v="14"/>
    <x v="14"/>
    <x v="35"/>
    <x v="35"/>
    <x v="35"/>
    <x v="16"/>
    <x v="140"/>
    <x v="155"/>
    <x v="114"/>
    <x v="193"/>
    <x v="83"/>
    <x v="169"/>
    <x v="0"/>
  </r>
  <r>
    <x v="0"/>
    <x v="14"/>
    <x v="14"/>
    <x v="18"/>
    <x v="18"/>
    <x v="18"/>
    <x v="16"/>
    <x v="140"/>
    <x v="155"/>
    <x v="114"/>
    <x v="193"/>
    <x v="83"/>
    <x v="169"/>
    <x v="0"/>
  </r>
  <r>
    <x v="0"/>
    <x v="14"/>
    <x v="14"/>
    <x v="28"/>
    <x v="28"/>
    <x v="28"/>
    <x v="16"/>
    <x v="140"/>
    <x v="155"/>
    <x v="92"/>
    <x v="85"/>
    <x v="94"/>
    <x v="113"/>
    <x v="0"/>
  </r>
  <r>
    <x v="0"/>
    <x v="14"/>
    <x v="14"/>
    <x v="46"/>
    <x v="46"/>
    <x v="46"/>
    <x v="16"/>
    <x v="140"/>
    <x v="155"/>
    <x v="90"/>
    <x v="67"/>
    <x v="41"/>
    <x v="167"/>
    <x v="0"/>
  </r>
  <r>
    <x v="0"/>
    <x v="14"/>
    <x v="14"/>
    <x v="19"/>
    <x v="19"/>
    <x v="19"/>
    <x v="16"/>
    <x v="140"/>
    <x v="155"/>
    <x v="90"/>
    <x v="67"/>
    <x v="41"/>
    <x v="167"/>
    <x v="0"/>
  </r>
  <r>
    <x v="0"/>
    <x v="14"/>
    <x v="14"/>
    <x v="47"/>
    <x v="47"/>
    <x v="47"/>
    <x v="16"/>
    <x v="140"/>
    <x v="155"/>
    <x v="90"/>
    <x v="67"/>
    <x v="41"/>
    <x v="167"/>
    <x v="0"/>
  </r>
  <r>
    <x v="0"/>
    <x v="14"/>
    <x v="14"/>
    <x v="7"/>
    <x v="7"/>
    <x v="7"/>
    <x v="16"/>
    <x v="140"/>
    <x v="155"/>
    <x v="92"/>
    <x v="85"/>
    <x v="94"/>
    <x v="113"/>
    <x v="0"/>
  </r>
  <r>
    <x v="0"/>
    <x v="14"/>
    <x v="14"/>
    <x v="48"/>
    <x v="48"/>
    <x v="48"/>
    <x v="16"/>
    <x v="140"/>
    <x v="155"/>
    <x v="114"/>
    <x v="193"/>
    <x v="83"/>
    <x v="169"/>
    <x v="0"/>
  </r>
  <r>
    <x v="0"/>
    <x v="15"/>
    <x v="15"/>
    <x v="0"/>
    <x v="0"/>
    <x v="0"/>
    <x v="0"/>
    <x v="123"/>
    <x v="156"/>
    <x v="93"/>
    <x v="217"/>
    <x v="90"/>
    <x v="42"/>
    <x v="0"/>
  </r>
  <r>
    <x v="0"/>
    <x v="15"/>
    <x v="15"/>
    <x v="6"/>
    <x v="6"/>
    <x v="6"/>
    <x v="1"/>
    <x v="137"/>
    <x v="157"/>
    <x v="114"/>
    <x v="193"/>
    <x v="82"/>
    <x v="170"/>
    <x v="0"/>
  </r>
  <r>
    <x v="0"/>
    <x v="15"/>
    <x v="15"/>
    <x v="43"/>
    <x v="43"/>
    <x v="43"/>
    <x v="1"/>
    <x v="137"/>
    <x v="157"/>
    <x v="91"/>
    <x v="218"/>
    <x v="41"/>
    <x v="109"/>
    <x v="0"/>
  </r>
  <r>
    <x v="0"/>
    <x v="15"/>
    <x v="15"/>
    <x v="16"/>
    <x v="16"/>
    <x v="16"/>
    <x v="1"/>
    <x v="137"/>
    <x v="157"/>
    <x v="91"/>
    <x v="218"/>
    <x v="41"/>
    <x v="109"/>
    <x v="0"/>
  </r>
  <r>
    <x v="0"/>
    <x v="15"/>
    <x v="15"/>
    <x v="8"/>
    <x v="8"/>
    <x v="8"/>
    <x v="1"/>
    <x v="137"/>
    <x v="157"/>
    <x v="92"/>
    <x v="219"/>
    <x v="83"/>
    <x v="171"/>
    <x v="0"/>
  </r>
  <r>
    <x v="0"/>
    <x v="15"/>
    <x v="15"/>
    <x v="2"/>
    <x v="2"/>
    <x v="2"/>
    <x v="1"/>
    <x v="137"/>
    <x v="157"/>
    <x v="51"/>
    <x v="220"/>
    <x v="94"/>
    <x v="113"/>
    <x v="0"/>
  </r>
  <r>
    <x v="0"/>
    <x v="15"/>
    <x v="15"/>
    <x v="5"/>
    <x v="5"/>
    <x v="5"/>
    <x v="6"/>
    <x v="138"/>
    <x v="81"/>
    <x v="114"/>
    <x v="193"/>
    <x v="25"/>
    <x v="172"/>
    <x v="0"/>
  </r>
  <r>
    <x v="0"/>
    <x v="15"/>
    <x v="15"/>
    <x v="20"/>
    <x v="20"/>
    <x v="20"/>
    <x v="6"/>
    <x v="138"/>
    <x v="81"/>
    <x v="92"/>
    <x v="219"/>
    <x v="41"/>
    <x v="109"/>
    <x v="0"/>
  </r>
  <r>
    <x v="0"/>
    <x v="15"/>
    <x v="15"/>
    <x v="49"/>
    <x v="49"/>
    <x v="49"/>
    <x v="6"/>
    <x v="138"/>
    <x v="81"/>
    <x v="90"/>
    <x v="35"/>
    <x v="84"/>
    <x v="173"/>
    <x v="0"/>
  </r>
  <r>
    <x v="0"/>
    <x v="15"/>
    <x v="15"/>
    <x v="1"/>
    <x v="1"/>
    <x v="1"/>
    <x v="6"/>
    <x v="138"/>
    <x v="81"/>
    <x v="92"/>
    <x v="219"/>
    <x v="41"/>
    <x v="109"/>
    <x v="0"/>
  </r>
  <r>
    <x v="0"/>
    <x v="15"/>
    <x v="15"/>
    <x v="50"/>
    <x v="50"/>
    <x v="50"/>
    <x v="9"/>
    <x v="139"/>
    <x v="54"/>
    <x v="92"/>
    <x v="219"/>
    <x v="90"/>
    <x v="42"/>
    <x v="0"/>
  </r>
  <r>
    <x v="0"/>
    <x v="15"/>
    <x v="15"/>
    <x v="12"/>
    <x v="12"/>
    <x v="12"/>
    <x v="9"/>
    <x v="139"/>
    <x v="54"/>
    <x v="92"/>
    <x v="219"/>
    <x v="90"/>
    <x v="42"/>
    <x v="0"/>
  </r>
  <r>
    <x v="0"/>
    <x v="15"/>
    <x v="15"/>
    <x v="11"/>
    <x v="11"/>
    <x v="11"/>
    <x v="9"/>
    <x v="139"/>
    <x v="54"/>
    <x v="92"/>
    <x v="219"/>
    <x v="90"/>
    <x v="42"/>
    <x v="0"/>
  </r>
  <r>
    <x v="0"/>
    <x v="15"/>
    <x v="15"/>
    <x v="18"/>
    <x v="18"/>
    <x v="18"/>
    <x v="9"/>
    <x v="139"/>
    <x v="54"/>
    <x v="107"/>
    <x v="139"/>
    <x v="41"/>
    <x v="109"/>
    <x v="0"/>
  </r>
  <r>
    <x v="0"/>
    <x v="15"/>
    <x v="15"/>
    <x v="28"/>
    <x v="28"/>
    <x v="28"/>
    <x v="9"/>
    <x v="139"/>
    <x v="54"/>
    <x v="107"/>
    <x v="139"/>
    <x v="41"/>
    <x v="109"/>
    <x v="0"/>
  </r>
  <r>
    <x v="0"/>
    <x v="15"/>
    <x v="15"/>
    <x v="3"/>
    <x v="3"/>
    <x v="3"/>
    <x v="9"/>
    <x v="139"/>
    <x v="54"/>
    <x v="91"/>
    <x v="218"/>
    <x v="94"/>
    <x v="113"/>
    <x v="0"/>
  </r>
  <r>
    <x v="0"/>
    <x v="15"/>
    <x v="15"/>
    <x v="27"/>
    <x v="27"/>
    <x v="27"/>
    <x v="9"/>
    <x v="139"/>
    <x v="54"/>
    <x v="114"/>
    <x v="193"/>
    <x v="83"/>
    <x v="171"/>
    <x v="0"/>
  </r>
  <r>
    <x v="0"/>
    <x v="15"/>
    <x v="15"/>
    <x v="14"/>
    <x v="14"/>
    <x v="14"/>
    <x v="9"/>
    <x v="139"/>
    <x v="54"/>
    <x v="92"/>
    <x v="219"/>
    <x v="90"/>
    <x v="42"/>
    <x v="0"/>
  </r>
  <r>
    <x v="0"/>
    <x v="15"/>
    <x v="15"/>
    <x v="15"/>
    <x v="15"/>
    <x v="15"/>
    <x v="17"/>
    <x v="140"/>
    <x v="121"/>
    <x v="90"/>
    <x v="35"/>
    <x v="41"/>
    <x v="109"/>
    <x v="0"/>
  </r>
  <r>
    <x v="0"/>
    <x v="15"/>
    <x v="15"/>
    <x v="37"/>
    <x v="37"/>
    <x v="37"/>
    <x v="17"/>
    <x v="140"/>
    <x v="121"/>
    <x v="90"/>
    <x v="35"/>
    <x v="41"/>
    <x v="109"/>
    <x v="0"/>
  </r>
  <r>
    <x v="0"/>
    <x v="15"/>
    <x v="15"/>
    <x v="13"/>
    <x v="13"/>
    <x v="13"/>
    <x v="17"/>
    <x v="140"/>
    <x v="121"/>
    <x v="90"/>
    <x v="35"/>
    <x v="41"/>
    <x v="109"/>
    <x v="0"/>
  </r>
  <r>
    <x v="0"/>
    <x v="15"/>
    <x v="15"/>
    <x v="33"/>
    <x v="33"/>
    <x v="33"/>
    <x v="17"/>
    <x v="140"/>
    <x v="121"/>
    <x v="107"/>
    <x v="139"/>
    <x v="90"/>
    <x v="42"/>
    <x v="0"/>
  </r>
  <r>
    <x v="0"/>
    <x v="15"/>
    <x v="15"/>
    <x v="19"/>
    <x v="19"/>
    <x v="19"/>
    <x v="17"/>
    <x v="140"/>
    <x v="121"/>
    <x v="114"/>
    <x v="193"/>
    <x v="83"/>
    <x v="171"/>
    <x v="0"/>
  </r>
  <r>
    <x v="0"/>
    <x v="16"/>
    <x v="16"/>
    <x v="1"/>
    <x v="1"/>
    <x v="1"/>
    <x v="0"/>
    <x v="109"/>
    <x v="158"/>
    <x v="47"/>
    <x v="221"/>
    <x v="84"/>
    <x v="174"/>
    <x v="0"/>
  </r>
  <r>
    <x v="0"/>
    <x v="16"/>
    <x v="16"/>
    <x v="0"/>
    <x v="0"/>
    <x v="0"/>
    <x v="1"/>
    <x v="98"/>
    <x v="159"/>
    <x v="47"/>
    <x v="221"/>
    <x v="41"/>
    <x v="175"/>
    <x v="0"/>
  </r>
  <r>
    <x v="0"/>
    <x v="16"/>
    <x v="16"/>
    <x v="2"/>
    <x v="2"/>
    <x v="2"/>
    <x v="2"/>
    <x v="122"/>
    <x v="160"/>
    <x v="106"/>
    <x v="222"/>
    <x v="94"/>
    <x v="113"/>
    <x v="0"/>
  </r>
  <r>
    <x v="0"/>
    <x v="16"/>
    <x v="16"/>
    <x v="33"/>
    <x v="33"/>
    <x v="33"/>
    <x v="3"/>
    <x v="133"/>
    <x v="113"/>
    <x v="63"/>
    <x v="161"/>
    <x v="83"/>
    <x v="17"/>
    <x v="0"/>
  </r>
  <r>
    <x v="0"/>
    <x v="16"/>
    <x v="16"/>
    <x v="51"/>
    <x v="51"/>
    <x v="51"/>
    <x v="4"/>
    <x v="134"/>
    <x v="161"/>
    <x v="51"/>
    <x v="223"/>
    <x v="84"/>
    <x v="174"/>
    <x v="0"/>
  </r>
  <r>
    <x v="0"/>
    <x v="16"/>
    <x v="16"/>
    <x v="20"/>
    <x v="20"/>
    <x v="20"/>
    <x v="5"/>
    <x v="135"/>
    <x v="162"/>
    <x v="94"/>
    <x v="224"/>
    <x v="41"/>
    <x v="175"/>
    <x v="0"/>
  </r>
  <r>
    <x v="0"/>
    <x v="16"/>
    <x v="16"/>
    <x v="5"/>
    <x v="5"/>
    <x v="5"/>
    <x v="6"/>
    <x v="141"/>
    <x v="163"/>
    <x v="92"/>
    <x v="135"/>
    <x v="25"/>
    <x v="176"/>
    <x v="0"/>
  </r>
  <r>
    <x v="0"/>
    <x v="16"/>
    <x v="16"/>
    <x v="13"/>
    <x v="13"/>
    <x v="13"/>
    <x v="6"/>
    <x v="141"/>
    <x v="163"/>
    <x v="51"/>
    <x v="223"/>
    <x v="41"/>
    <x v="175"/>
    <x v="0"/>
  </r>
  <r>
    <x v="0"/>
    <x v="16"/>
    <x v="16"/>
    <x v="11"/>
    <x v="11"/>
    <x v="11"/>
    <x v="6"/>
    <x v="141"/>
    <x v="163"/>
    <x v="91"/>
    <x v="30"/>
    <x v="84"/>
    <x v="174"/>
    <x v="0"/>
  </r>
  <r>
    <x v="0"/>
    <x v="16"/>
    <x v="16"/>
    <x v="14"/>
    <x v="14"/>
    <x v="14"/>
    <x v="6"/>
    <x v="141"/>
    <x v="163"/>
    <x v="100"/>
    <x v="225"/>
    <x v="83"/>
    <x v="17"/>
    <x v="0"/>
  </r>
  <r>
    <x v="0"/>
    <x v="16"/>
    <x v="16"/>
    <x v="16"/>
    <x v="16"/>
    <x v="16"/>
    <x v="9"/>
    <x v="136"/>
    <x v="57"/>
    <x v="107"/>
    <x v="74"/>
    <x v="25"/>
    <x v="176"/>
    <x v="0"/>
  </r>
  <r>
    <x v="0"/>
    <x v="16"/>
    <x v="16"/>
    <x v="40"/>
    <x v="40"/>
    <x v="40"/>
    <x v="10"/>
    <x v="137"/>
    <x v="31"/>
    <x v="91"/>
    <x v="30"/>
    <x v="41"/>
    <x v="175"/>
    <x v="0"/>
  </r>
  <r>
    <x v="0"/>
    <x v="16"/>
    <x v="16"/>
    <x v="35"/>
    <x v="35"/>
    <x v="35"/>
    <x v="10"/>
    <x v="137"/>
    <x v="31"/>
    <x v="91"/>
    <x v="30"/>
    <x v="41"/>
    <x v="175"/>
    <x v="0"/>
  </r>
  <r>
    <x v="0"/>
    <x v="16"/>
    <x v="16"/>
    <x v="19"/>
    <x v="19"/>
    <x v="19"/>
    <x v="10"/>
    <x v="137"/>
    <x v="31"/>
    <x v="92"/>
    <x v="135"/>
    <x v="83"/>
    <x v="17"/>
    <x v="0"/>
  </r>
  <r>
    <x v="0"/>
    <x v="16"/>
    <x v="16"/>
    <x v="9"/>
    <x v="9"/>
    <x v="9"/>
    <x v="10"/>
    <x v="137"/>
    <x v="31"/>
    <x v="51"/>
    <x v="223"/>
    <x v="94"/>
    <x v="113"/>
    <x v="0"/>
  </r>
  <r>
    <x v="0"/>
    <x v="16"/>
    <x v="16"/>
    <x v="7"/>
    <x v="7"/>
    <x v="7"/>
    <x v="10"/>
    <x v="137"/>
    <x v="31"/>
    <x v="51"/>
    <x v="223"/>
    <x v="94"/>
    <x v="113"/>
    <x v="0"/>
  </r>
  <r>
    <x v="0"/>
    <x v="16"/>
    <x v="16"/>
    <x v="24"/>
    <x v="24"/>
    <x v="24"/>
    <x v="10"/>
    <x v="137"/>
    <x v="31"/>
    <x v="92"/>
    <x v="135"/>
    <x v="83"/>
    <x v="17"/>
    <x v="0"/>
  </r>
  <r>
    <x v="0"/>
    <x v="16"/>
    <x v="16"/>
    <x v="52"/>
    <x v="52"/>
    <x v="52"/>
    <x v="10"/>
    <x v="137"/>
    <x v="31"/>
    <x v="114"/>
    <x v="193"/>
    <x v="25"/>
    <x v="176"/>
    <x v="1"/>
  </r>
  <r>
    <x v="0"/>
    <x v="16"/>
    <x v="16"/>
    <x v="6"/>
    <x v="6"/>
    <x v="6"/>
    <x v="17"/>
    <x v="138"/>
    <x v="33"/>
    <x v="114"/>
    <x v="193"/>
    <x v="25"/>
    <x v="176"/>
    <x v="0"/>
  </r>
  <r>
    <x v="0"/>
    <x v="16"/>
    <x v="16"/>
    <x v="15"/>
    <x v="15"/>
    <x v="15"/>
    <x v="17"/>
    <x v="138"/>
    <x v="33"/>
    <x v="90"/>
    <x v="38"/>
    <x v="84"/>
    <x v="174"/>
    <x v="0"/>
  </r>
  <r>
    <x v="0"/>
    <x v="16"/>
    <x v="16"/>
    <x v="37"/>
    <x v="37"/>
    <x v="37"/>
    <x v="17"/>
    <x v="138"/>
    <x v="33"/>
    <x v="92"/>
    <x v="135"/>
    <x v="41"/>
    <x v="175"/>
    <x v="0"/>
  </r>
  <r>
    <x v="0"/>
    <x v="16"/>
    <x v="16"/>
    <x v="12"/>
    <x v="12"/>
    <x v="12"/>
    <x v="17"/>
    <x v="138"/>
    <x v="33"/>
    <x v="92"/>
    <x v="135"/>
    <x v="41"/>
    <x v="175"/>
    <x v="0"/>
  </r>
  <r>
    <x v="0"/>
    <x v="16"/>
    <x v="16"/>
    <x v="53"/>
    <x v="53"/>
    <x v="53"/>
    <x v="17"/>
    <x v="138"/>
    <x v="33"/>
    <x v="91"/>
    <x v="30"/>
    <x v="90"/>
    <x v="177"/>
    <x v="0"/>
  </r>
  <r>
    <x v="0"/>
    <x v="16"/>
    <x v="16"/>
    <x v="18"/>
    <x v="18"/>
    <x v="18"/>
    <x v="17"/>
    <x v="138"/>
    <x v="33"/>
    <x v="90"/>
    <x v="38"/>
    <x v="84"/>
    <x v="174"/>
    <x v="0"/>
  </r>
  <r>
    <x v="0"/>
    <x v="16"/>
    <x v="16"/>
    <x v="21"/>
    <x v="21"/>
    <x v="21"/>
    <x v="17"/>
    <x v="138"/>
    <x v="33"/>
    <x v="100"/>
    <x v="225"/>
    <x v="94"/>
    <x v="113"/>
    <x v="0"/>
  </r>
  <r>
    <x v="0"/>
    <x v="16"/>
    <x v="16"/>
    <x v="3"/>
    <x v="3"/>
    <x v="3"/>
    <x v="17"/>
    <x v="138"/>
    <x v="33"/>
    <x v="91"/>
    <x v="30"/>
    <x v="90"/>
    <x v="177"/>
    <x v="0"/>
  </r>
  <r>
    <x v="0"/>
    <x v="16"/>
    <x v="16"/>
    <x v="4"/>
    <x v="4"/>
    <x v="4"/>
    <x v="17"/>
    <x v="138"/>
    <x v="33"/>
    <x v="100"/>
    <x v="225"/>
    <x v="94"/>
    <x v="113"/>
    <x v="0"/>
  </r>
  <r>
    <x v="0"/>
    <x v="17"/>
    <x v="17"/>
    <x v="5"/>
    <x v="5"/>
    <x v="5"/>
    <x v="0"/>
    <x v="141"/>
    <x v="164"/>
    <x v="51"/>
    <x v="226"/>
    <x v="41"/>
    <x v="78"/>
    <x v="0"/>
  </r>
  <r>
    <x v="0"/>
    <x v="17"/>
    <x v="17"/>
    <x v="2"/>
    <x v="2"/>
    <x v="2"/>
    <x v="1"/>
    <x v="136"/>
    <x v="165"/>
    <x v="94"/>
    <x v="93"/>
    <x v="94"/>
    <x v="113"/>
    <x v="0"/>
  </r>
  <r>
    <x v="0"/>
    <x v="17"/>
    <x v="17"/>
    <x v="0"/>
    <x v="0"/>
    <x v="0"/>
    <x v="1"/>
    <x v="136"/>
    <x v="165"/>
    <x v="94"/>
    <x v="93"/>
    <x v="94"/>
    <x v="113"/>
    <x v="0"/>
  </r>
  <r>
    <x v="0"/>
    <x v="17"/>
    <x v="17"/>
    <x v="13"/>
    <x v="13"/>
    <x v="13"/>
    <x v="3"/>
    <x v="137"/>
    <x v="166"/>
    <x v="107"/>
    <x v="53"/>
    <x v="84"/>
    <x v="178"/>
    <x v="0"/>
  </r>
  <r>
    <x v="0"/>
    <x v="17"/>
    <x v="17"/>
    <x v="54"/>
    <x v="54"/>
    <x v="54"/>
    <x v="3"/>
    <x v="137"/>
    <x v="166"/>
    <x v="90"/>
    <x v="227"/>
    <x v="25"/>
    <x v="179"/>
    <x v="0"/>
  </r>
  <r>
    <x v="0"/>
    <x v="17"/>
    <x v="17"/>
    <x v="6"/>
    <x v="6"/>
    <x v="6"/>
    <x v="5"/>
    <x v="138"/>
    <x v="167"/>
    <x v="114"/>
    <x v="193"/>
    <x v="25"/>
    <x v="179"/>
    <x v="0"/>
  </r>
  <r>
    <x v="0"/>
    <x v="17"/>
    <x v="17"/>
    <x v="36"/>
    <x v="36"/>
    <x v="36"/>
    <x v="5"/>
    <x v="138"/>
    <x v="167"/>
    <x v="91"/>
    <x v="228"/>
    <x v="90"/>
    <x v="114"/>
    <x v="0"/>
  </r>
  <r>
    <x v="0"/>
    <x v="17"/>
    <x v="17"/>
    <x v="28"/>
    <x v="28"/>
    <x v="28"/>
    <x v="5"/>
    <x v="138"/>
    <x v="167"/>
    <x v="92"/>
    <x v="229"/>
    <x v="41"/>
    <x v="78"/>
    <x v="0"/>
  </r>
  <r>
    <x v="0"/>
    <x v="17"/>
    <x v="17"/>
    <x v="12"/>
    <x v="12"/>
    <x v="12"/>
    <x v="7"/>
    <x v="139"/>
    <x v="168"/>
    <x v="92"/>
    <x v="229"/>
    <x v="90"/>
    <x v="114"/>
    <x v="0"/>
  </r>
  <r>
    <x v="0"/>
    <x v="17"/>
    <x v="17"/>
    <x v="11"/>
    <x v="11"/>
    <x v="11"/>
    <x v="7"/>
    <x v="139"/>
    <x v="168"/>
    <x v="90"/>
    <x v="227"/>
    <x v="83"/>
    <x v="180"/>
    <x v="0"/>
  </r>
  <r>
    <x v="0"/>
    <x v="17"/>
    <x v="17"/>
    <x v="8"/>
    <x v="8"/>
    <x v="8"/>
    <x v="7"/>
    <x v="139"/>
    <x v="168"/>
    <x v="90"/>
    <x v="227"/>
    <x v="83"/>
    <x v="180"/>
    <x v="0"/>
  </r>
  <r>
    <x v="0"/>
    <x v="17"/>
    <x v="17"/>
    <x v="38"/>
    <x v="38"/>
    <x v="38"/>
    <x v="10"/>
    <x v="140"/>
    <x v="6"/>
    <x v="114"/>
    <x v="193"/>
    <x v="83"/>
    <x v="180"/>
    <x v="0"/>
  </r>
  <r>
    <x v="0"/>
    <x v="17"/>
    <x v="17"/>
    <x v="16"/>
    <x v="16"/>
    <x v="16"/>
    <x v="10"/>
    <x v="140"/>
    <x v="6"/>
    <x v="114"/>
    <x v="193"/>
    <x v="83"/>
    <x v="180"/>
    <x v="0"/>
  </r>
  <r>
    <x v="0"/>
    <x v="17"/>
    <x v="17"/>
    <x v="20"/>
    <x v="20"/>
    <x v="20"/>
    <x v="10"/>
    <x v="140"/>
    <x v="6"/>
    <x v="107"/>
    <x v="53"/>
    <x v="90"/>
    <x v="114"/>
    <x v="0"/>
  </r>
  <r>
    <x v="0"/>
    <x v="17"/>
    <x v="17"/>
    <x v="55"/>
    <x v="55"/>
    <x v="55"/>
    <x v="10"/>
    <x v="140"/>
    <x v="6"/>
    <x v="92"/>
    <x v="229"/>
    <x v="94"/>
    <x v="113"/>
    <x v="0"/>
  </r>
  <r>
    <x v="0"/>
    <x v="17"/>
    <x v="17"/>
    <x v="9"/>
    <x v="9"/>
    <x v="9"/>
    <x v="10"/>
    <x v="140"/>
    <x v="6"/>
    <x v="92"/>
    <x v="229"/>
    <x v="94"/>
    <x v="113"/>
    <x v="0"/>
  </r>
  <r>
    <x v="0"/>
    <x v="17"/>
    <x v="17"/>
    <x v="10"/>
    <x v="10"/>
    <x v="10"/>
    <x v="10"/>
    <x v="140"/>
    <x v="6"/>
    <x v="107"/>
    <x v="53"/>
    <x v="90"/>
    <x v="114"/>
    <x v="0"/>
  </r>
  <r>
    <x v="0"/>
    <x v="17"/>
    <x v="17"/>
    <x v="4"/>
    <x v="4"/>
    <x v="4"/>
    <x v="10"/>
    <x v="140"/>
    <x v="6"/>
    <x v="92"/>
    <x v="229"/>
    <x v="94"/>
    <x v="113"/>
    <x v="0"/>
  </r>
  <r>
    <x v="0"/>
    <x v="17"/>
    <x v="17"/>
    <x v="15"/>
    <x v="15"/>
    <x v="15"/>
    <x v="17"/>
    <x v="142"/>
    <x v="59"/>
    <x v="90"/>
    <x v="227"/>
    <x v="90"/>
    <x v="114"/>
    <x v="0"/>
  </r>
  <r>
    <x v="0"/>
    <x v="17"/>
    <x v="17"/>
    <x v="42"/>
    <x v="42"/>
    <x v="42"/>
    <x v="17"/>
    <x v="142"/>
    <x v="59"/>
    <x v="107"/>
    <x v="53"/>
    <x v="94"/>
    <x v="113"/>
    <x v="0"/>
  </r>
  <r>
    <x v="0"/>
    <x v="17"/>
    <x v="17"/>
    <x v="56"/>
    <x v="56"/>
    <x v="56"/>
    <x v="17"/>
    <x v="142"/>
    <x v="59"/>
    <x v="107"/>
    <x v="53"/>
    <x v="94"/>
    <x v="113"/>
    <x v="0"/>
  </r>
  <r>
    <x v="0"/>
    <x v="17"/>
    <x v="17"/>
    <x v="35"/>
    <x v="35"/>
    <x v="35"/>
    <x v="17"/>
    <x v="142"/>
    <x v="59"/>
    <x v="90"/>
    <x v="227"/>
    <x v="90"/>
    <x v="114"/>
    <x v="0"/>
  </r>
  <r>
    <x v="0"/>
    <x v="17"/>
    <x v="17"/>
    <x v="57"/>
    <x v="57"/>
    <x v="57"/>
    <x v="17"/>
    <x v="142"/>
    <x v="59"/>
    <x v="107"/>
    <x v="53"/>
    <x v="94"/>
    <x v="113"/>
    <x v="0"/>
  </r>
  <r>
    <x v="0"/>
    <x v="17"/>
    <x v="17"/>
    <x v="22"/>
    <x v="22"/>
    <x v="22"/>
    <x v="17"/>
    <x v="142"/>
    <x v="59"/>
    <x v="90"/>
    <x v="227"/>
    <x v="90"/>
    <x v="114"/>
    <x v="0"/>
  </r>
  <r>
    <x v="0"/>
    <x v="17"/>
    <x v="17"/>
    <x v="58"/>
    <x v="58"/>
    <x v="58"/>
    <x v="17"/>
    <x v="142"/>
    <x v="59"/>
    <x v="107"/>
    <x v="53"/>
    <x v="94"/>
    <x v="113"/>
    <x v="0"/>
  </r>
  <r>
    <x v="0"/>
    <x v="17"/>
    <x v="17"/>
    <x v="24"/>
    <x v="24"/>
    <x v="24"/>
    <x v="17"/>
    <x v="142"/>
    <x v="59"/>
    <x v="90"/>
    <x v="227"/>
    <x v="90"/>
    <x v="114"/>
    <x v="0"/>
  </r>
  <r>
    <x v="0"/>
    <x v="17"/>
    <x v="17"/>
    <x v="59"/>
    <x v="59"/>
    <x v="59"/>
    <x v="17"/>
    <x v="142"/>
    <x v="59"/>
    <x v="114"/>
    <x v="193"/>
    <x v="41"/>
    <x v="78"/>
    <x v="0"/>
  </r>
  <r>
    <x v="0"/>
    <x v="17"/>
    <x v="17"/>
    <x v="60"/>
    <x v="60"/>
    <x v="60"/>
    <x v="17"/>
    <x v="142"/>
    <x v="59"/>
    <x v="114"/>
    <x v="193"/>
    <x v="41"/>
    <x v="78"/>
    <x v="0"/>
  </r>
  <r>
    <x v="0"/>
    <x v="17"/>
    <x v="17"/>
    <x v="14"/>
    <x v="14"/>
    <x v="14"/>
    <x v="17"/>
    <x v="142"/>
    <x v="59"/>
    <x v="90"/>
    <x v="227"/>
    <x v="90"/>
    <x v="114"/>
    <x v="0"/>
  </r>
  <r>
    <x v="0"/>
    <x v="18"/>
    <x v="18"/>
    <x v="0"/>
    <x v="0"/>
    <x v="0"/>
    <x v="0"/>
    <x v="128"/>
    <x v="169"/>
    <x v="31"/>
    <x v="166"/>
    <x v="41"/>
    <x v="105"/>
    <x v="0"/>
  </r>
  <r>
    <x v="0"/>
    <x v="18"/>
    <x v="18"/>
    <x v="2"/>
    <x v="2"/>
    <x v="2"/>
    <x v="1"/>
    <x v="121"/>
    <x v="170"/>
    <x v="106"/>
    <x v="230"/>
    <x v="90"/>
    <x v="38"/>
    <x v="0"/>
  </r>
  <r>
    <x v="0"/>
    <x v="18"/>
    <x v="18"/>
    <x v="11"/>
    <x v="11"/>
    <x v="11"/>
    <x v="2"/>
    <x v="134"/>
    <x v="171"/>
    <x v="100"/>
    <x v="231"/>
    <x v="25"/>
    <x v="124"/>
    <x v="0"/>
  </r>
  <r>
    <x v="0"/>
    <x v="18"/>
    <x v="18"/>
    <x v="1"/>
    <x v="1"/>
    <x v="1"/>
    <x v="3"/>
    <x v="135"/>
    <x v="90"/>
    <x v="51"/>
    <x v="232"/>
    <x v="83"/>
    <x v="121"/>
    <x v="0"/>
  </r>
  <r>
    <x v="0"/>
    <x v="18"/>
    <x v="18"/>
    <x v="3"/>
    <x v="3"/>
    <x v="3"/>
    <x v="3"/>
    <x v="135"/>
    <x v="90"/>
    <x v="63"/>
    <x v="233"/>
    <x v="90"/>
    <x v="38"/>
    <x v="0"/>
  </r>
  <r>
    <x v="0"/>
    <x v="18"/>
    <x v="18"/>
    <x v="38"/>
    <x v="38"/>
    <x v="38"/>
    <x v="5"/>
    <x v="141"/>
    <x v="172"/>
    <x v="107"/>
    <x v="234"/>
    <x v="82"/>
    <x v="122"/>
    <x v="0"/>
  </r>
  <r>
    <x v="0"/>
    <x v="18"/>
    <x v="18"/>
    <x v="13"/>
    <x v="13"/>
    <x v="13"/>
    <x v="5"/>
    <x v="141"/>
    <x v="172"/>
    <x v="92"/>
    <x v="149"/>
    <x v="25"/>
    <x v="124"/>
    <x v="0"/>
  </r>
  <r>
    <x v="0"/>
    <x v="18"/>
    <x v="18"/>
    <x v="4"/>
    <x v="4"/>
    <x v="4"/>
    <x v="5"/>
    <x v="141"/>
    <x v="172"/>
    <x v="51"/>
    <x v="232"/>
    <x v="41"/>
    <x v="105"/>
    <x v="0"/>
  </r>
  <r>
    <x v="0"/>
    <x v="18"/>
    <x v="18"/>
    <x v="6"/>
    <x v="6"/>
    <x v="6"/>
    <x v="7"/>
    <x v="136"/>
    <x v="173"/>
    <x v="114"/>
    <x v="193"/>
    <x v="42"/>
    <x v="180"/>
    <x v="0"/>
  </r>
  <r>
    <x v="0"/>
    <x v="18"/>
    <x v="18"/>
    <x v="9"/>
    <x v="9"/>
    <x v="9"/>
    <x v="7"/>
    <x v="136"/>
    <x v="173"/>
    <x v="94"/>
    <x v="235"/>
    <x v="94"/>
    <x v="113"/>
    <x v="0"/>
  </r>
  <r>
    <x v="0"/>
    <x v="18"/>
    <x v="18"/>
    <x v="8"/>
    <x v="8"/>
    <x v="8"/>
    <x v="9"/>
    <x v="137"/>
    <x v="146"/>
    <x v="92"/>
    <x v="149"/>
    <x v="83"/>
    <x v="121"/>
    <x v="0"/>
  </r>
  <r>
    <x v="0"/>
    <x v="18"/>
    <x v="18"/>
    <x v="44"/>
    <x v="44"/>
    <x v="44"/>
    <x v="10"/>
    <x v="138"/>
    <x v="85"/>
    <x v="107"/>
    <x v="234"/>
    <x v="83"/>
    <x v="121"/>
    <x v="0"/>
  </r>
  <r>
    <x v="0"/>
    <x v="18"/>
    <x v="18"/>
    <x v="61"/>
    <x v="61"/>
    <x v="61"/>
    <x v="10"/>
    <x v="138"/>
    <x v="85"/>
    <x v="92"/>
    <x v="149"/>
    <x v="41"/>
    <x v="105"/>
    <x v="0"/>
  </r>
  <r>
    <x v="0"/>
    <x v="18"/>
    <x v="18"/>
    <x v="18"/>
    <x v="18"/>
    <x v="18"/>
    <x v="10"/>
    <x v="138"/>
    <x v="85"/>
    <x v="90"/>
    <x v="236"/>
    <x v="84"/>
    <x v="154"/>
    <x v="0"/>
  </r>
  <r>
    <x v="0"/>
    <x v="18"/>
    <x v="18"/>
    <x v="22"/>
    <x v="22"/>
    <x v="22"/>
    <x v="10"/>
    <x v="138"/>
    <x v="85"/>
    <x v="100"/>
    <x v="231"/>
    <x v="94"/>
    <x v="113"/>
    <x v="0"/>
  </r>
  <r>
    <x v="0"/>
    <x v="18"/>
    <x v="18"/>
    <x v="39"/>
    <x v="39"/>
    <x v="39"/>
    <x v="10"/>
    <x v="138"/>
    <x v="85"/>
    <x v="114"/>
    <x v="193"/>
    <x v="94"/>
    <x v="113"/>
    <x v="0"/>
  </r>
  <r>
    <x v="0"/>
    <x v="18"/>
    <x v="18"/>
    <x v="29"/>
    <x v="29"/>
    <x v="29"/>
    <x v="15"/>
    <x v="139"/>
    <x v="98"/>
    <x v="92"/>
    <x v="149"/>
    <x v="90"/>
    <x v="38"/>
    <x v="0"/>
  </r>
  <r>
    <x v="0"/>
    <x v="18"/>
    <x v="18"/>
    <x v="62"/>
    <x v="62"/>
    <x v="62"/>
    <x v="15"/>
    <x v="139"/>
    <x v="98"/>
    <x v="107"/>
    <x v="234"/>
    <x v="41"/>
    <x v="105"/>
    <x v="0"/>
  </r>
  <r>
    <x v="0"/>
    <x v="18"/>
    <x v="18"/>
    <x v="63"/>
    <x v="63"/>
    <x v="63"/>
    <x v="15"/>
    <x v="139"/>
    <x v="98"/>
    <x v="90"/>
    <x v="236"/>
    <x v="83"/>
    <x v="121"/>
    <x v="0"/>
  </r>
  <r>
    <x v="0"/>
    <x v="18"/>
    <x v="18"/>
    <x v="33"/>
    <x v="33"/>
    <x v="33"/>
    <x v="15"/>
    <x v="139"/>
    <x v="98"/>
    <x v="114"/>
    <x v="193"/>
    <x v="84"/>
    <x v="154"/>
    <x v="0"/>
  </r>
  <r>
    <x v="0"/>
    <x v="18"/>
    <x v="18"/>
    <x v="64"/>
    <x v="64"/>
    <x v="64"/>
    <x v="15"/>
    <x v="139"/>
    <x v="98"/>
    <x v="92"/>
    <x v="149"/>
    <x v="90"/>
    <x v="38"/>
    <x v="0"/>
  </r>
  <r>
    <x v="0"/>
    <x v="18"/>
    <x v="18"/>
    <x v="50"/>
    <x v="50"/>
    <x v="50"/>
    <x v="15"/>
    <x v="139"/>
    <x v="98"/>
    <x v="90"/>
    <x v="236"/>
    <x v="83"/>
    <x v="121"/>
    <x v="0"/>
  </r>
  <r>
    <x v="0"/>
    <x v="18"/>
    <x v="18"/>
    <x v="32"/>
    <x v="32"/>
    <x v="32"/>
    <x v="15"/>
    <x v="139"/>
    <x v="98"/>
    <x v="107"/>
    <x v="234"/>
    <x v="41"/>
    <x v="105"/>
    <x v="0"/>
  </r>
  <r>
    <x v="0"/>
    <x v="18"/>
    <x v="18"/>
    <x v="20"/>
    <x v="20"/>
    <x v="20"/>
    <x v="15"/>
    <x v="139"/>
    <x v="98"/>
    <x v="91"/>
    <x v="201"/>
    <x v="94"/>
    <x v="113"/>
    <x v="0"/>
  </r>
  <r>
    <x v="0"/>
    <x v="18"/>
    <x v="18"/>
    <x v="49"/>
    <x v="49"/>
    <x v="49"/>
    <x v="15"/>
    <x v="139"/>
    <x v="98"/>
    <x v="107"/>
    <x v="234"/>
    <x v="41"/>
    <x v="105"/>
    <x v="0"/>
  </r>
  <r>
    <x v="0"/>
    <x v="18"/>
    <x v="18"/>
    <x v="17"/>
    <x v="17"/>
    <x v="17"/>
    <x v="15"/>
    <x v="139"/>
    <x v="98"/>
    <x v="90"/>
    <x v="236"/>
    <x v="83"/>
    <x v="121"/>
    <x v="0"/>
  </r>
  <r>
    <x v="0"/>
    <x v="18"/>
    <x v="18"/>
    <x v="24"/>
    <x v="24"/>
    <x v="24"/>
    <x v="15"/>
    <x v="139"/>
    <x v="98"/>
    <x v="114"/>
    <x v="193"/>
    <x v="84"/>
    <x v="154"/>
    <x v="0"/>
  </r>
  <r>
    <x v="0"/>
    <x v="18"/>
    <x v="18"/>
    <x v="26"/>
    <x v="26"/>
    <x v="26"/>
    <x v="15"/>
    <x v="139"/>
    <x v="98"/>
    <x v="107"/>
    <x v="234"/>
    <x v="41"/>
    <x v="105"/>
    <x v="0"/>
  </r>
  <r>
    <x v="0"/>
    <x v="18"/>
    <x v="18"/>
    <x v="10"/>
    <x v="10"/>
    <x v="10"/>
    <x v="15"/>
    <x v="139"/>
    <x v="98"/>
    <x v="92"/>
    <x v="149"/>
    <x v="90"/>
    <x v="38"/>
    <x v="0"/>
  </r>
  <r>
    <x v="0"/>
    <x v="19"/>
    <x v="19"/>
    <x v="54"/>
    <x v="54"/>
    <x v="54"/>
    <x v="0"/>
    <x v="123"/>
    <x v="174"/>
    <x v="93"/>
    <x v="237"/>
    <x v="90"/>
    <x v="181"/>
    <x v="0"/>
  </r>
  <r>
    <x v="0"/>
    <x v="19"/>
    <x v="19"/>
    <x v="15"/>
    <x v="15"/>
    <x v="15"/>
    <x v="1"/>
    <x v="138"/>
    <x v="175"/>
    <x v="90"/>
    <x v="238"/>
    <x v="84"/>
    <x v="182"/>
    <x v="0"/>
  </r>
  <r>
    <x v="0"/>
    <x v="19"/>
    <x v="19"/>
    <x v="22"/>
    <x v="22"/>
    <x v="22"/>
    <x v="1"/>
    <x v="138"/>
    <x v="175"/>
    <x v="100"/>
    <x v="239"/>
    <x v="94"/>
    <x v="113"/>
    <x v="0"/>
  </r>
  <r>
    <x v="0"/>
    <x v="19"/>
    <x v="19"/>
    <x v="2"/>
    <x v="2"/>
    <x v="2"/>
    <x v="1"/>
    <x v="138"/>
    <x v="175"/>
    <x v="100"/>
    <x v="239"/>
    <x v="94"/>
    <x v="113"/>
    <x v="0"/>
  </r>
  <r>
    <x v="0"/>
    <x v="19"/>
    <x v="19"/>
    <x v="6"/>
    <x v="6"/>
    <x v="6"/>
    <x v="4"/>
    <x v="139"/>
    <x v="101"/>
    <x v="114"/>
    <x v="193"/>
    <x v="84"/>
    <x v="182"/>
    <x v="0"/>
  </r>
  <r>
    <x v="0"/>
    <x v="19"/>
    <x v="19"/>
    <x v="5"/>
    <x v="5"/>
    <x v="5"/>
    <x v="4"/>
    <x v="139"/>
    <x v="101"/>
    <x v="91"/>
    <x v="240"/>
    <x v="94"/>
    <x v="113"/>
    <x v="0"/>
  </r>
  <r>
    <x v="0"/>
    <x v="19"/>
    <x v="19"/>
    <x v="20"/>
    <x v="20"/>
    <x v="20"/>
    <x v="4"/>
    <x v="139"/>
    <x v="101"/>
    <x v="107"/>
    <x v="241"/>
    <x v="41"/>
    <x v="183"/>
    <x v="0"/>
  </r>
  <r>
    <x v="0"/>
    <x v="19"/>
    <x v="19"/>
    <x v="12"/>
    <x v="12"/>
    <x v="12"/>
    <x v="4"/>
    <x v="139"/>
    <x v="101"/>
    <x v="92"/>
    <x v="242"/>
    <x v="90"/>
    <x v="181"/>
    <x v="0"/>
  </r>
  <r>
    <x v="0"/>
    <x v="19"/>
    <x v="19"/>
    <x v="27"/>
    <x v="27"/>
    <x v="27"/>
    <x v="4"/>
    <x v="139"/>
    <x v="101"/>
    <x v="114"/>
    <x v="193"/>
    <x v="83"/>
    <x v="184"/>
    <x v="0"/>
  </r>
  <r>
    <x v="0"/>
    <x v="19"/>
    <x v="19"/>
    <x v="38"/>
    <x v="38"/>
    <x v="38"/>
    <x v="8"/>
    <x v="140"/>
    <x v="176"/>
    <x v="107"/>
    <x v="241"/>
    <x v="90"/>
    <x v="181"/>
    <x v="0"/>
  </r>
  <r>
    <x v="0"/>
    <x v="19"/>
    <x v="19"/>
    <x v="42"/>
    <x v="42"/>
    <x v="42"/>
    <x v="8"/>
    <x v="140"/>
    <x v="176"/>
    <x v="92"/>
    <x v="242"/>
    <x v="94"/>
    <x v="113"/>
    <x v="0"/>
  </r>
  <r>
    <x v="0"/>
    <x v="19"/>
    <x v="19"/>
    <x v="32"/>
    <x v="32"/>
    <x v="32"/>
    <x v="8"/>
    <x v="140"/>
    <x v="176"/>
    <x v="92"/>
    <x v="242"/>
    <x v="94"/>
    <x v="113"/>
    <x v="0"/>
  </r>
  <r>
    <x v="0"/>
    <x v="19"/>
    <x v="19"/>
    <x v="18"/>
    <x v="18"/>
    <x v="18"/>
    <x v="8"/>
    <x v="140"/>
    <x v="176"/>
    <x v="90"/>
    <x v="238"/>
    <x v="41"/>
    <x v="183"/>
    <x v="0"/>
  </r>
  <r>
    <x v="0"/>
    <x v="19"/>
    <x v="19"/>
    <x v="40"/>
    <x v="40"/>
    <x v="40"/>
    <x v="12"/>
    <x v="142"/>
    <x v="106"/>
    <x v="90"/>
    <x v="238"/>
    <x v="90"/>
    <x v="181"/>
    <x v="0"/>
  </r>
  <r>
    <x v="0"/>
    <x v="19"/>
    <x v="19"/>
    <x v="36"/>
    <x v="36"/>
    <x v="36"/>
    <x v="12"/>
    <x v="142"/>
    <x v="106"/>
    <x v="107"/>
    <x v="241"/>
    <x v="94"/>
    <x v="113"/>
    <x v="0"/>
  </r>
  <r>
    <x v="0"/>
    <x v="19"/>
    <x v="19"/>
    <x v="29"/>
    <x v="29"/>
    <x v="29"/>
    <x v="12"/>
    <x v="142"/>
    <x v="106"/>
    <x v="114"/>
    <x v="193"/>
    <x v="41"/>
    <x v="183"/>
    <x v="0"/>
  </r>
  <r>
    <x v="0"/>
    <x v="19"/>
    <x v="19"/>
    <x v="13"/>
    <x v="13"/>
    <x v="13"/>
    <x v="12"/>
    <x v="142"/>
    <x v="106"/>
    <x v="90"/>
    <x v="238"/>
    <x v="90"/>
    <x v="181"/>
    <x v="0"/>
  </r>
  <r>
    <x v="0"/>
    <x v="19"/>
    <x v="19"/>
    <x v="16"/>
    <x v="16"/>
    <x v="16"/>
    <x v="12"/>
    <x v="142"/>
    <x v="106"/>
    <x v="90"/>
    <x v="238"/>
    <x v="90"/>
    <x v="181"/>
    <x v="0"/>
  </r>
  <r>
    <x v="0"/>
    <x v="19"/>
    <x v="19"/>
    <x v="65"/>
    <x v="65"/>
    <x v="65"/>
    <x v="12"/>
    <x v="142"/>
    <x v="106"/>
    <x v="90"/>
    <x v="238"/>
    <x v="90"/>
    <x v="181"/>
    <x v="0"/>
  </r>
  <r>
    <x v="0"/>
    <x v="19"/>
    <x v="19"/>
    <x v="66"/>
    <x v="66"/>
    <x v="66"/>
    <x v="12"/>
    <x v="142"/>
    <x v="106"/>
    <x v="90"/>
    <x v="238"/>
    <x v="90"/>
    <x v="181"/>
    <x v="0"/>
  </r>
  <r>
    <x v="0"/>
    <x v="19"/>
    <x v="19"/>
    <x v="67"/>
    <x v="67"/>
    <x v="67"/>
    <x v="12"/>
    <x v="142"/>
    <x v="106"/>
    <x v="90"/>
    <x v="238"/>
    <x v="90"/>
    <x v="181"/>
    <x v="0"/>
  </r>
  <r>
    <x v="0"/>
    <x v="19"/>
    <x v="19"/>
    <x v="56"/>
    <x v="56"/>
    <x v="56"/>
    <x v="12"/>
    <x v="142"/>
    <x v="106"/>
    <x v="107"/>
    <x v="241"/>
    <x v="94"/>
    <x v="113"/>
    <x v="0"/>
  </r>
  <r>
    <x v="0"/>
    <x v="19"/>
    <x v="19"/>
    <x v="53"/>
    <x v="53"/>
    <x v="53"/>
    <x v="12"/>
    <x v="142"/>
    <x v="106"/>
    <x v="107"/>
    <x v="241"/>
    <x v="94"/>
    <x v="113"/>
    <x v="0"/>
  </r>
  <r>
    <x v="0"/>
    <x v="19"/>
    <x v="19"/>
    <x v="25"/>
    <x v="25"/>
    <x v="25"/>
    <x v="12"/>
    <x v="142"/>
    <x v="106"/>
    <x v="114"/>
    <x v="193"/>
    <x v="41"/>
    <x v="183"/>
    <x v="0"/>
  </r>
  <r>
    <x v="0"/>
    <x v="19"/>
    <x v="19"/>
    <x v="0"/>
    <x v="0"/>
    <x v="0"/>
    <x v="12"/>
    <x v="142"/>
    <x v="106"/>
    <x v="107"/>
    <x v="241"/>
    <x v="94"/>
    <x v="113"/>
    <x v="0"/>
  </r>
  <r>
    <x v="0"/>
    <x v="19"/>
    <x v="19"/>
    <x v="41"/>
    <x v="41"/>
    <x v="41"/>
    <x v="12"/>
    <x v="142"/>
    <x v="106"/>
    <x v="114"/>
    <x v="193"/>
    <x v="41"/>
    <x v="183"/>
    <x v="0"/>
  </r>
  <r>
    <x v="0"/>
    <x v="19"/>
    <x v="19"/>
    <x v="48"/>
    <x v="48"/>
    <x v="48"/>
    <x v="12"/>
    <x v="142"/>
    <x v="106"/>
    <x v="114"/>
    <x v="193"/>
    <x v="41"/>
    <x v="183"/>
    <x v="0"/>
  </r>
  <r>
    <x v="0"/>
    <x v="19"/>
    <x v="19"/>
    <x v="14"/>
    <x v="14"/>
    <x v="14"/>
    <x v="12"/>
    <x v="142"/>
    <x v="106"/>
    <x v="107"/>
    <x v="241"/>
    <x v="94"/>
    <x v="113"/>
    <x v="0"/>
  </r>
  <r>
    <x v="0"/>
    <x v="20"/>
    <x v="20"/>
    <x v="8"/>
    <x v="8"/>
    <x v="8"/>
    <x v="0"/>
    <x v="120"/>
    <x v="18"/>
    <x v="50"/>
    <x v="243"/>
    <x v="94"/>
    <x v="113"/>
    <x v="0"/>
  </r>
  <r>
    <x v="0"/>
    <x v="20"/>
    <x v="20"/>
    <x v="54"/>
    <x v="54"/>
    <x v="54"/>
    <x v="1"/>
    <x v="128"/>
    <x v="177"/>
    <x v="81"/>
    <x v="244"/>
    <x v="25"/>
    <x v="185"/>
    <x v="0"/>
  </r>
  <r>
    <x v="0"/>
    <x v="20"/>
    <x v="20"/>
    <x v="2"/>
    <x v="2"/>
    <x v="2"/>
    <x v="1"/>
    <x v="128"/>
    <x v="177"/>
    <x v="58"/>
    <x v="245"/>
    <x v="94"/>
    <x v="113"/>
    <x v="0"/>
  </r>
  <r>
    <x v="0"/>
    <x v="20"/>
    <x v="20"/>
    <x v="32"/>
    <x v="32"/>
    <x v="32"/>
    <x v="3"/>
    <x v="133"/>
    <x v="178"/>
    <x v="34"/>
    <x v="246"/>
    <x v="41"/>
    <x v="186"/>
    <x v="0"/>
  </r>
  <r>
    <x v="0"/>
    <x v="20"/>
    <x v="20"/>
    <x v="6"/>
    <x v="6"/>
    <x v="6"/>
    <x v="4"/>
    <x v="134"/>
    <x v="179"/>
    <x v="107"/>
    <x v="247"/>
    <x v="62"/>
    <x v="187"/>
    <x v="0"/>
  </r>
  <r>
    <x v="0"/>
    <x v="20"/>
    <x v="20"/>
    <x v="28"/>
    <x v="28"/>
    <x v="28"/>
    <x v="4"/>
    <x v="134"/>
    <x v="179"/>
    <x v="114"/>
    <x v="193"/>
    <x v="22"/>
    <x v="188"/>
    <x v="0"/>
  </r>
  <r>
    <x v="0"/>
    <x v="20"/>
    <x v="20"/>
    <x v="0"/>
    <x v="0"/>
    <x v="0"/>
    <x v="6"/>
    <x v="141"/>
    <x v="180"/>
    <x v="94"/>
    <x v="248"/>
    <x v="90"/>
    <x v="189"/>
    <x v="0"/>
  </r>
  <r>
    <x v="0"/>
    <x v="20"/>
    <x v="20"/>
    <x v="5"/>
    <x v="5"/>
    <x v="5"/>
    <x v="19"/>
    <x v="136"/>
    <x v="140"/>
    <x v="100"/>
    <x v="249"/>
    <x v="41"/>
    <x v="186"/>
    <x v="0"/>
  </r>
  <r>
    <x v="0"/>
    <x v="20"/>
    <x v="20"/>
    <x v="12"/>
    <x v="12"/>
    <x v="12"/>
    <x v="19"/>
    <x v="136"/>
    <x v="140"/>
    <x v="91"/>
    <x v="250"/>
    <x v="83"/>
    <x v="190"/>
    <x v="0"/>
  </r>
  <r>
    <x v="0"/>
    <x v="20"/>
    <x v="20"/>
    <x v="3"/>
    <x v="3"/>
    <x v="3"/>
    <x v="19"/>
    <x v="136"/>
    <x v="140"/>
    <x v="51"/>
    <x v="251"/>
    <x v="90"/>
    <x v="189"/>
    <x v="0"/>
  </r>
  <r>
    <x v="0"/>
    <x v="20"/>
    <x v="20"/>
    <x v="20"/>
    <x v="20"/>
    <x v="20"/>
    <x v="9"/>
    <x v="138"/>
    <x v="24"/>
    <x v="91"/>
    <x v="250"/>
    <x v="90"/>
    <x v="189"/>
    <x v="0"/>
  </r>
  <r>
    <x v="0"/>
    <x v="20"/>
    <x v="20"/>
    <x v="22"/>
    <x v="22"/>
    <x v="22"/>
    <x v="9"/>
    <x v="138"/>
    <x v="24"/>
    <x v="92"/>
    <x v="12"/>
    <x v="41"/>
    <x v="186"/>
    <x v="0"/>
  </r>
  <r>
    <x v="0"/>
    <x v="20"/>
    <x v="20"/>
    <x v="58"/>
    <x v="58"/>
    <x v="58"/>
    <x v="9"/>
    <x v="138"/>
    <x v="24"/>
    <x v="100"/>
    <x v="249"/>
    <x v="94"/>
    <x v="113"/>
    <x v="0"/>
  </r>
  <r>
    <x v="0"/>
    <x v="20"/>
    <x v="20"/>
    <x v="9"/>
    <x v="9"/>
    <x v="9"/>
    <x v="9"/>
    <x v="138"/>
    <x v="24"/>
    <x v="91"/>
    <x v="250"/>
    <x v="90"/>
    <x v="189"/>
    <x v="0"/>
  </r>
  <r>
    <x v="0"/>
    <x v="20"/>
    <x v="20"/>
    <x v="15"/>
    <x v="15"/>
    <x v="15"/>
    <x v="13"/>
    <x v="139"/>
    <x v="29"/>
    <x v="114"/>
    <x v="193"/>
    <x v="84"/>
    <x v="191"/>
    <x v="0"/>
  </r>
  <r>
    <x v="0"/>
    <x v="20"/>
    <x v="20"/>
    <x v="13"/>
    <x v="13"/>
    <x v="13"/>
    <x v="13"/>
    <x v="139"/>
    <x v="29"/>
    <x v="90"/>
    <x v="180"/>
    <x v="83"/>
    <x v="190"/>
    <x v="0"/>
  </r>
  <r>
    <x v="0"/>
    <x v="20"/>
    <x v="20"/>
    <x v="68"/>
    <x v="68"/>
    <x v="68"/>
    <x v="13"/>
    <x v="139"/>
    <x v="29"/>
    <x v="91"/>
    <x v="250"/>
    <x v="94"/>
    <x v="113"/>
    <x v="0"/>
  </r>
  <r>
    <x v="0"/>
    <x v="20"/>
    <x v="20"/>
    <x v="27"/>
    <x v="27"/>
    <x v="27"/>
    <x v="13"/>
    <x v="139"/>
    <x v="29"/>
    <x v="114"/>
    <x v="193"/>
    <x v="84"/>
    <x v="191"/>
    <x v="0"/>
  </r>
  <r>
    <x v="0"/>
    <x v="20"/>
    <x v="20"/>
    <x v="69"/>
    <x v="69"/>
    <x v="69"/>
    <x v="17"/>
    <x v="140"/>
    <x v="61"/>
    <x v="107"/>
    <x v="247"/>
    <x v="90"/>
    <x v="189"/>
    <x v="0"/>
  </r>
  <r>
    <x v="0"/>
    <x v="20"/>
    <x v="20"/>
    <x v="17"/>
    <x v="17"/>
    <x v="17"/>
    <x v="17"/>
    <x v="140"/>
    <x v="61"/>
    <x v="114"/>
    <x v="193"/>
    <x v="83"/>
    <x v="190"/>
    <x v="0"/>
  </r>
  <r>
    <x v="0"/>
    <x v="20"/>
    <x v="20"/>
    <x v="70"/>
    <x v="70"/>
    <x v="70"/>
    <x v="17"/>
    <x v="140"/>
    <x v="61"/>
    <x v="114"/>
    <x v="193"/>
    <x v="90"/>
    <x v="189"/>
    <x v="1"/>
  </r>
  <r>
    <x v="0"/>
    <x v="20"/>
    <x v="20"/>
    <x v="14"/>
    <x v="14"/>
    <x v="14"/>
    <x v="17"/>
    <x v="140"/>
    <x v="61"/>
    <x v="92"/>
    <x v="12"/>
    <x v="94"/>
    <x v="113"/>
    <x v="0"/>
  </r>
  <r>
    <x v="0"/>
    <x v="21"/>
    <x v="21"/>
    <x v="54"/>
    <x v="54"/>
    <x v="54"/>
    <x v="0"/>
    <x v="95"/>
    <x v="181"/>
    <x v="56"/>
    <x v="252"/>
    <x v="90"/>
    <x v="192"/>
    <x v="0"/>
  </r>
  <r>
    <x v="0"/>
    <x v="21"/>
    <x v="21"/>
    <x v="71"/>
    <x v="71"/>
    <x v="71"/>
    <x v="1"/>
    <x v="136"/>
    <x v="182"/>
    <x v="90"/>
    <x v="253"/>
    <x v="25"/>
    <x v="193"/>
    <x v="0"/>
  </r>
  <r>
    <x v="0"/>
    <x v="21"/>
    <x v="21"/>
    <x v="72"/>
    <x v="72"/>
    <x v="72"/>
    <x v="2"/>
    <x v="137"/>
    <x v="183"/>
    <x v="51"/>
    <x v="254"/>
    <x v="94"/>
    <x v="113"/>
    <x v="0"/>
  </r>
  <r>
    <x v="0"/>
    <x v="21"/>
    <x v="21"/>
    <x v="9"/>
    <x v="9"/>
    <x v="9"/>
    <x v="3"/>
    <x v="139"/>
    <x v="77"/>
    <x v="91"/>
    <x v="255"/>
    <x v="94"/>
    <x v="113"/>
    <x v="0"/>
  </r>
  <r>
    <x v="0"/>
    <x v="21"/>
    <x v="21"/>
    <x v="6"/>
    <x v="6"/>
    <x v="6"/>
    <x v="4"/>
    <x v="142"/>
    <x v="184"/>
    <x v="114"/>
    <x v="193"/>
    <x v="41"/>
    <x v="194"/>
    <x v="0"/>
  </r>
  <r>
    <x v="0"/>
    <x v="21"/>
    <x v="21"/>
    <x v="32"/>
    <x v="32"/>
    <x v="32"/>
    <x v="4"/>
    <x v="142"/>
    <x v="184"/>
    <x v="107"/>
    <x v="256"/>
    <x v="94"/>
    <x v="113"/>
    <x v="0"/>
  </r>
  <r>
    <x v="0"/>
    <x v="21"/>
    <x v="21"/>
    <x v="70"/>
    <x v="70"/>
    <x v="70"/>
    <x v="4"/>
    <x v="142"/>
    <x v="184"/>
    <x v="107"/>
    <x v="256"/>
    <x v="94"/>
    <x v="113"/>
    <x v="0"/>
  </r>
  <r>
    <x v="0"/>
    <x v="21"/>
    <x v="21"/>
    <x v="5"/>
    <x v="5"/>
    <x v="5"/>
    <x v="19"/>
    <x v="143"/>
    <x v="47"/>
    <x v="90"/>
    <x v="253"/>
    <x v="94"/>
    <x v="113"/>
    <x v="0"/>
  </r>
  <r>
    <x v="0"/>
    <x v="21"/>
    <x v="21"/>
    <x v="13"/>
    <x v="13"/>
    <x v="13"/>
    <x v="19"/>
    <x v="143"/>
    <x v="47"/>
    <x v="114"/>
    <x v="193"/>
    <x v="90"/>
    <x v="192"/>
    <x v="0"/>
  </r>
  <r>
    <x v="0"/>
    <x v="21"/>
    <x v="21"/>
    <x v="73"/>
    <x v="73"/>
    <x v="73"/>
    <x v="19"/>
    <x v="143"/>
    <x v="47"/>
    <x v="114"/>
    <x v="193"/>
    <x v="90"/>
    <x v="192"/>
    <x v="0"/>
  </r>
  <r>
    <x v="0"/>
    <x v="21"/>
    <x v="21"/>
    <x v="74"/>
    <x v="74"/>
    <x v="74"/>
    <x v="19"/>
    <x v="143"/>
    <x v="47"/>
    <x v="90"/>
    <x v="253"/>
    <x v="94"/>
    <x v="113"/>
    <x v="0"/>
  </r>
  <r>
    <x v="0"/>
    <x v="21"/>
    <x v="21"/>
    <x v="75"/>
    <x v="75"/>
    <x v="75"/>
    <x v="19"/>
    <x v="143"/>
    <x v="47"/>
    <x v="114"/>
    <x v="193"/>
    <x v="94"/>
    <x v="113"/>
    <x v="1"/>
  </r>
  <r>
    <x v="0"/>
    <x v="21"/>
    <x v="21"/>
    <x v="56"/>
    <x v="56"/>
    <x v="56"/>
    <x v="19"/>
    <x v="143"/>
    <x v="47"/>
    <x v="114"/>
    <x v="193"/>
    <x v="94"/>
    <x v="113"/>
    <x v="0"/>
  </r>
  <r>
    <x v="0"/>
    <x v="21"/>
    <x v="21"/>
    <x v="50"/>
    <x v="50"/>
    <x v="50"/>
    <x v="19"/>
    <x v="143"/>
    <x v="47"/>
    <x v="90"/>
    <x v="253"/>
    <x v="94"/>
    <x v="113"/>
    <x v="0"/>
  </r>
  <r>
    <x v="0"/>
    <x v="21"/>
    <x v="21"/>
    <x v="12"/>
    <x v="12"/>
    <x v="12"/>
    <x v="19"/>
    <x v="143"/>
    <x v="47"/>
    <x v="90"/>
    <x v="253"/>
    <x v="94"/>
    <x v="113"/>
    <x v="0"/>
  </r>
  <r>
    <x v="0"/>
    <x v="21"/>
    <x v="21"/>
    <x v="28"/>
    <x v="28"/>
    <x v="28"/>
    <x v="19"/>
    <x v="143"/>
    <x v="47"/>
    <x v="114"/>
    <x v="193"/>
    <x v="90"/>
    <x v="192"/>
    <x v="0"/>
  </r>
  <r>
    <x v="0"/>
    <x v="21"/>
    <x v="21"/>
    <x v="8"/>
    <x v="8"/>
    <x v="8"/>
    <x v="19"/>
    <x v="143"/>
    <x v="47"/>
    <x v="114"/>
    <x v="193"/>
    <x v="94"/>
    <x v="113"/>
    <x v="0"/>
  </r>
  <r>
    <x v="0"/>
    <x v="21"/>
    <x v="21"/>
    <x v="22"/>
    <x v="22"/>
    <x v="22"/>
    <x v="19"/>
    <x v="143"/>
    <x v="47"/>
    <x v="90"/>
    <x v="253"/>
    <x v="94"/>
    <x v="113"/>
    <x v="0"/>
  </r>
  <r>
    <x v="0"/>
    <x v="21"/>
    <x v="21"/>
    <x v="3"/>
    <x v="3"/>
    <x v="3"/>
    <x v="19"/>
    <x v="143"/>
    <x v="47"/>
    <x v="90"/>
    <x v="253"/>
    <x v="94"/>
    <x v="113"/>
    <x v="0"/>
  </r>
  <r>
    <x v="0"/>
    <x v="21"/>
    <x v="21"/>
    <x v="2"/>
    <x v="2"/>
    <x v="2"/>
    <x v="19"/>
    <x v="143"/>
    <x v="47"/>
    <x v="90"/>
    <x v="253"/>
    <x v="94"/>
    <x v="113"/>
    <x v="0"/>
  </r>
  <r>
    <x v="0"/>
    <x v="21"/>
    <x v="21"/>
    <x v="0"/>
    <x v="0"/>
    <x v="0"/>
    <x v="19"/>
    <x v="143"/>
    <x v="47"/>
    <x v="90"/>
    <x v="253"/>
    <x v="94"/>
    <x v="113"/>
    <x v="0"/>
  </r>
  <r>
    <x v="0"/>
    <x v="21"/>
    <x v="21"/>
    <x v="76"/>
    <x v="76"/>
    <x v="76"/>
    <x v="19"/>
    <x v="143"/>
    <x v="47"/>
    <x v="114"/>
    <x v="193"/>
    <x v="94"/>
    <x v="113"/>
    <x v="0"/>
  </r>
  <r>
    <x v="0"/>
    <x v="21"/>
    <x v="21"/>
    <x v="77"/>
    <x v="77"/>
    <x v="77"/>
    <x v="19"/>
    <x v="143"/>
    <x v="47"/>
    <x v="114"/>
    <x v="193"/>
    <x v="94"/>
    <x v="113"/>
    <x v="0"/>
  </r>
  <r>
    <x v="0"/>
    <x v="21"/>
    <x v="21"/>
    <x v="78"/>
    <x v="78"/>
    <x v="78"/>
    <x v="19"/>
    <x v="143"/>
    <x v="47"/>
    <x v="90"/>
    <x v="253"/>
    <x v="94"/>
    <x v="113"/>
    <x v="0"/>
  </r>
  <r>
    <x v="0"/>
    <x v="21"/>
    <x v="21"/>
    <x v="10"/>
    <x v="10"/>
    <x v="10"/>
    <x v="19"/>
    <x v="143"/>
    <x v="47"/>
    <x v="114"/>
    <x v="193"/>
    <x v="94"/>
    <x v="113"/>
    <x v="1"/>
  </r>
  <r>
    <x v="0"/>
    <x v="21"/>
    <x v="21"/>
    <x v="4"/>
    <x v="4"/>
    <x v="4"/>
    <x v="19"/>
    <x v="143"/>
    <x v="47"/>
    <x v="90"/>
    <x v="253"/>
    <x v="94"/>
    <x v="113"/>
    <x v="0"/>
  </r>
  <r>
    <x v="0"/>
    <x v="21"/>
    <x v="21"/>
    <x v="41"/>
    <x v="41"/>
    <x v="41"/>
    <x v="19"/>
    <x v="143"/>
    <x v="47"/>
    <x v="114"/>
    <x v="193"/>
    <x v="94"/>
    <x v="113"/>
    <x v="0"/>
  </r>
  <r>
    <x v="0"/>
    <x v="22"/>
    <x v="22"/>
    <x v="54"/>
    <x v="54"/>
    <x v="54"/>
    <x v="0"/>
    <x v="133"/>
    <x v="185"/>
    <x v="48"/>
    <x v="257"/>
    <x v="90"/>
    <x v="36"/>
    <x v="0"/>
  </r>
  <r>
    <x v="0"/>
    <x v="22"/>
    <x v="22"/>
    <x v="72"/>
    <x v="72"/>
    <x v="72"/>
    <x v="0"/>
    <x v="133"/>
    <x v="185"/>
    <x v="93"/>
    <x v="258"/>
    <x v="94"/>
    <x v="113"/>
    <x v="0"/>
  </r>
  <r>
    <x v="0"/>
    <x v="22"/>
    <x v="22"/>
    <x v="2"/>
    <x v="2"/>
    <x v="2"/>
    <x v="0"/>
    <x v="133"/>
    <x v="185"/>
    <x v="93"/>
    <x v="258"/>
    <x v="94"/>
    <x v="113"/>
    <x v="0"/>
  </r>
  <r>
    <x v="0"/>
    <x v="22"/>
    <x v="22"/>
    <x v="0"/>
    <x v="0"/>
    <x v="0"/>
    <x v="3"/>
    <x v="134"/>
    <x v="186"/>
    <x v="48"/>
    <x v="257"/>
    <x v="94"/>
    <x v="113"/>
    <x v="0"/>
  </r>
  <r>
    <x v="0"/>
    <x v="22"/>
    <x v="22"/>
    <x v="32"/>
    <x v="32"/>
    <x v="32"/>
    <x v="4"/>
    <x v="141"/>
    <x v="187"/>
    <x v="63"/>
    <x v="259"/>
    <x v="94"/>
    <x v="113"/>
    <x v="0"/>
  </r>
  <r>
    <x v="0"/>
    <x v="22"/>
    <x v="22"/>
    <x v="71"/>
    <x v="71"/>
    <x v="71"/>
    <x v="4"/>
    <x v="141"/>
    <x v="187"/>
    <x v="63"/>
    <x v="259"/>
    <x v="94"/>
    <x v="113"/>
    <x v="0"/>
  </r>
  <r>
    <x v="0"/>
    <x v="22"/>
    <x v="22"/>
    <x v="36"/>
    <x v="36"/>
    <x v="36"/>
    <x v="6"/>
    <x v="137"/>
    <x v="188"/>
    <x v="51"/>
    <x v="26"/>
    <x v="94"/>
    <x v="113"/>
    <x v="0"/>
  </r>
  <r>
    <x v="0"/>
    <x v="22"/>
    <x v="22"/>
    <x v="6"/>
    <x v="6"/>
    <x v="6"/>
    <x v="19"/>
    <x v="138"/>
    <x v="161"/>
    <x v="114"/>
    <x v="193"/>
    <x v="25"/>
    <x v="195"/>
    <x v="0"/>
  </r>
  <r>
    <x v="0"/>
    <x v="22"/>
    <x v="22"/>
    <x v="12"/>
    <x v="12"/>
    <x v="12"/>
    <x v="19"/>
    <x v="138"/>
    <x v="161"/>
    <x v="92"/>
    <x v="260"/>
    <x v="41"/>
    <x v="196"/>
    <x v="0"/>
  </r>
  <r>
    <x v="0"/>
    <x v="22"/>
    <x v="22"/>
    <x v="5"/>
    <x v="5"/>
    <x v="5"/>
    <x v="8"/>
    <x v="139"/>
    <x v="5"/>
    <x v="92"/>
    <x v="260"/>
    <x v="90"/>
    <x v="36"/>
    <x v="0"/>
  </r>
  <r>
    <x v="0"/>
    <x v="22"/>
    <x v="22"/>
    <x v="16"/>
    <x v="16"/>
    <x v="16"/>
    <x v="8"/>
    <x v="139"/>
    <x v="5"/>
    <x v="91"/>
    <x v="261"/>
    <x v="94"/>
    <x v="113"/>
    <x v="0"/>
  </r>
  <r>
    <x v="0"/>
    <x v="22"/>
    <x v="22"/>
    <x v="27"/>
    <x v="27"/>
    <x v="27"/>
    <x v="8"/>
    <x v="139"/>
    <x v="5"/>
    <x v="114"/>
    <x v="193"/>
    <x v="84"/>
    <x v="197"/>
    <x v="0"/>
  </r>
  <r>
    <x v="0"/>
    <x v="22"/>
    <x v="22"/>
    <x v="44"/>
    <x v="44"/>
    <x v="44"/>
    <x v="11"/>
    <x v="140"/>
    <x v="31"/>
    <x v="90"/>
    <x v="17"/>
    <x v="41"/>
    <x v="196"/>
    <x v="0"/>
  </r>
  <r>
    <x v="0"/>
    <x v="22"/>
    <x v="22"/>
    <x v="79"/>
    <x v="79"/>
    <x v="79"/>
    <x v="11"/>
    <x v="140"/>
    <x v="31"/>
    <x v="107"/>
    <x v="262"/>
    <x v="90"/>
    <x v="36"/>
    <x v="0"/>
  </r>
  <r>
    <x v="0"/>
    <x v="22"/>
    <x v="22"/>
    <x v="80"/>
    <x v="80"/>
    <x v="80"/>
    <x v="11"/>
    <x v="140"/>
    <x v="31"/>
    <x v="107"/>
    <x v="262"/>
    <x v="90"/>
    <x v="36"/>
    <x v="0"/>
  </r>
  <r>
    <x v="0"/>
    <x v="22"/>
    <x v="22"/>
    <x v="35"/>
    <x v="35"/>
    <x v="35"/>
    <x v="11"/>
    <x v="140"/>
    <x v="31"/>
    <x v="107"/>
    <x v="262"/>
    <x v="90"/>
    <x v="36"/>
    <x v="0"/>
  </r>
  <r>
    <x v="0"/>
    <x v="22"/>
    <x v="22"/>
    <x v="28"/>
    <x v="28"/>
    <x v="28"/>
    <x v="11"/>
    <x v="140"/>
    <x v="31"/>
    <x v="90"/>
    <x v="17"/>
    <x v="41"/>
    <x v="196"/>
    <x v="0"/>
  </r>
  <r>
    <x v="0"/>
    <x v="22"/>
    <x v="22"/>
    <x v="22"/>
    <x v="22"/>
    <x v="22"/>
    <x v="11"/>
    <x v="140"/>
    <x v="31"/>
    <x v="107"/>
    <x v="262"/>
    <x v="90"/>
    <x v="36"/>
    <x v="0"/>
  </r>
  <r>
    <x v="0"/>
    <x v="22"/>
    <x v="22"/>
    <x v="3"/>
    <x v="3"/>
    <x v="3"/>
    <x v="11"/>
    <x v="140"/>
    <x v="31"/>
    <x v="92"/>
    <x v="260"/>
    <x v="94"/>
    <x v="113"/>
    <x v="0"/>
  </r>
  <r>
    <x v="0"/>
    <x v="22"/>
    <x v="22"/>
    <x v="9"/>
    <x v="9"/>
    <x v="9"/>
    <x v="11"/>
    <x v="140"/>
    <x v="31"/>
    <x v="92"/>
    <x v="260"/>
    <x v="94"/>
    <x v="113"/>
    <x v="0"/>
  </r>
  <r>
    <x v="0"/>
    <x v="22"/>
    <x v="22"/>
    <x v="81"/>
    <x v="81"/>
    <x v="81"/>
    <x v="11"/>
    <x v="140"/>
    <x v="31"/>
    <x v="92"/>
    <x v="260"/>
    <x v="94"/>
    <x v="113"/>
    <x v="0"/>
  </r>
  <r>
    <x v="0"/>
    <x v="22"/>
    <x v="22"/>
    <x v="82"/>
    <x v="82"/>
    <x v="82"/>
    <x v="11"/>
    <x v="140"/>
    <x v="31"/>
    <x v="114"/>
    <x v="193"/>
    <x v="94"/>
    <x v="113"/>
    <x v="0"/>
  </r>
  <r>
    <x v="0"/>
    <x v="23"/>
    <x v="23"/>
    <x v="54"/>
    <x v="54"/>
    <x v="54"/>
    <x v="0"/>
    <x v="144"/>
    <x v="189"/>
    <x v="116"/>
    <x v="263"/>
    <x v="25"/>
    <x v="65"/>
    <x v="0"/>
  </r>
  <r>
    <x v="0"/>
    <x v="23"/>
    <x v="23"/>
    <x v="2"/>
    <x v="2"/>
    <x v="2"/>
    <x v="1"/>
    <x v="91"/>
    <x v="190"/>
    <x v="67"/>
    <x v="264"/>
    <x v="94"/>
    <x v="113"/>
    <x v="0"/>
  </r>
  <r>
    <x v="0"/>
    <x v="23"/>
    <x v="23"/>
    <x v="0"/>
    <x v="0"/>
    <x v="0"/>
    <x v="2"/>
    <x v="108"/>
    <x v="191"/>
    <x v="79"/>
    <x v="265"/>
    <x v="94"/>
    <x v="113"/>
    <x v="0"/>
  </r>
  <r>
    <x v="0"/>
    <x v="23"/>
    <x v="23"/>
    <x v="12"/>
    <x v="12"/>
    <x v="12"/>
    <x v="3"/>
    <x v="110"/>
    <x v="89"/>
    <x v="104"/>
    <x v="4"/>
    <x v="42"/>
    <x v="79"/>
    <x v="0"/>
  </r>
  <r>
    <x v="0"/>
    <x v="23"/>
    <x v="23"/>
    <x v="32"/>
    <x v="32"/>
    <x v="32"/>
    <x v="4"/>
    <x v="100"/>
    <x v="111"/>
    <x v="58"/>
    <x v="266"/>
    <x v="84"/>
    <x v="139"/>
    <x v="0"/>
  </r>
  <r>
    <x v="0"/>
    <x v="23"/>
    <x v="23"/>
    <x v="5"/>
    <x v="5"/>
    <x v="5"/>
    <x v="5"/>
    <x v="128"/>
    <x v="192"/>
    <x v="81"/>
    <x v="267"/>
    <x v="25"/>
    <x v="65"/>
    <x v="0"/>
  </r>
  <r>
    <x v="0"/>
    <x v="23"/>
    <x v="23"/>
    <x v="28"/>
    <x v="28"/>
    <x v="28"/>
    <x v="6"/>
    <x v="129"/>
    <x v="193"/>
    <x v="100"/>
    <x v="268"/>
    <x v="39"/>
    <x v="198"/>
    <x v="0"/>
  </r>
  <r>
    <x v="0"/>
    <x v="23"/>
    <x v="23"/>
    <x v="3"/>
    <x v="3"/>
    <x v="3"/>
    <x v="19"/>
    <x v="121"/>
    <x v="153"/>
    <x v="106"/>
    <x v="9"/>
    <x v="90"/>
    <x v="110"/>
    <x v="0"/>
  </r>
  <r>
    <x v="0"/>
    <x v="23"/>
    <x v="23"/>
    <x v="1"/>
    <x v="1"/>
    <x v="1"/>
    <x v="7"/>
    <x v="122"/>
    <x v="69"/>
    <x v="81"/>
    <x v="267"/>
    <x v="41"/>
    <x v="137"/>
    <x v="0"/>
  </r>
  <r>
    <x v="0"/>
    <x v="23"/>
    <x v="23"/>
    <x v="15"/>
    <x v="15"/>
    <x v="15"/>
    <x v="8"/>
    <x v="130"/>
    <x v="27"/>
    <x v="91"/>
    <x v="122"/>
    <x v="95"/>
    <x v="199"/>
    <x v="0"/>
  </r>
  <r>
    <x v="0"/>
    <x v="23"/>
    <x v="23"/>
    <x v="13"/>
    <x v="13"/>
    <x v="13"/>
    <x v="9"/>
    <x v="123"/>
    <x v="194"/>
    <x v="51"/>
    <x v="269"/>
    <x v="82"/>
    <x v="136"/>
    <x v="0"/>
  </r>
  <r>
    <x v="0"/>
    <x v="23"/>
    <x v="23"/>
    <x v="35"/>
    <x v="35"/>
    <x v="35"/>
    <x v="9"/>
    <x v="123"/>
    <x v="194"/>
    <x v="63"/>
    <x v="270"/>
    <x v="84"/>
    <x v="139"/>
    <x v="0"/>
  </r>
  <r>
    <x v="0"/>
    <x v="23"/>
    <x v="23"/>
    <x v="22"/>
    <x v="22"/>
    <x v="22"/>
    <x v="9"/>
    <x v="123"/>
    <x v="194"/>
    <x v="93"/>
    <x v="223"/>
    <x v="90"/>
    <x v="110"/>
    <x v="0"/>
  </r>
  <r>
    <x v="0"/>
    <x v="23"/>
    <x v="23"/>
    <x v="56"/>
    <x v="56"/>
    <x v="56"/>
    <x v="12"/>
    <x v="133"/>
    <x v="30"/>
    <x v="91"/>
    <x v="122"/>
    <x v="42"/>
    <x v="79"/>
    <x v="0"/>
  </r>
  <r>
    <x v="0"/>
    <x v="23"/>
    <x v="23"/>
    <x v="6"/>
    <x v="6"/>
    <x v="6"/>
    <x v="13"/>
    <x v="134"/>
    <x v="86"/>
    <x v="92"/>
    <x v="52"/>
    <x v="42"/>
    <x v="79"/>
    <x v="0"/>
  </r>
  <r>
    <x v="0"/>
    <x v="23"/>
    <x v="23"/>
    <x v="8"/>
    <x v="8"/>
    <x v="8"/>
    <x v="13"/>
    <x v="134"/>
    <x v="86"/>
    <x v="94"/>
    <x v="271"/>
    <x v="83"/>
    <x v="200"/>
    <x v="0"/>
  </r>
  <r>
    <x v="0"/>
    <x v="23"/>
    <x v="23"/>
    <x v="9"/>
    <x v="9"/>
    <x v="9"/>
    <x v="13"/>
    <x v="134"/>
    <x v="86"/>
    <x v="48"/>
    <x v="272"/>
    <x v="94"/>
    <x v="113"/>
    <x v="0"/>
  </r>
  <r>
    <x v="0"/>
    <x v="23"/>
    <x v="23"/>
    <x v="43"/>
    <x v="43"/>
    <x v="43"/>
    <x v="16"/>
    <x v="135"/>
    <x v="97"/>
    <x v="100"/>
    <x v="268"/>
    <x v="84"/>
    <x v="139"/>
    <x v="0"/>
  </r>
  <r>
    <x v="0"/>
    <x v="23"/>
    <x v="23"/>
    <x v="11"/>
    <x v="11"/>
    <x v="11"/>
    <x v="16"/>
    <x v="135"/>
    <x v="97"/>
    <x v="100"/>
    <x v="268"/>
    <x v="84"/>
    <x v="139"/>
    <x v="0"/>
  </r>
  <r>
    <x v="0"/>
    <x v="23"/>
    <x v="23"/>
    <x v="53"/>
    <x v="53"/>
    <x v="53"/>
    <x v="16"/>
    <x v="135"/>
    <x v="97"/>
    <x v="100"/>
    <x v="268"/>
    <x v="84"/>
    <x v="139"/>
    <x v="0"/>
  </r>
  <r>
    <x v="0"/>
    <x v="23"/>
    <x v="23"/>
    <x v="14"/>
    <x v="14"/>
    <x v="14"/>
    <x v="16"/>
    <x v="135"/>
    <x v="97"/>
    <x v="91"/>
    <x v="122"/>
    <x v="25"/>
    <x v="65"/>
    <x v="0"/>
  </r>
  <r>
    <x v="0"/>
    <x v="24"/>
    <x v="24"/>
    <x v="54"/>
    <x v="54"/>
    <x v="54"/>
    <x v="0"/>
    <x v="111"/>
    <x v="195"/>
    <x v="118"/>
    <x v="273"/>
    <x v="86"/>
    <x v="201"/>
    <x v="0"/>
  </r>
  <r>
    <x v="0"/>
    <x v="24"/>
    <x v="24"/>
    <x v="22"/>
    <x v="22"/>
    <x v="22"/>
    <x v="1"/>
    <x v="137"/>
    <x v="196"/>
    <x v="51"/>
    <x v="80"/>
    <x v="94"/>
    <x v="113"/>
    <x v="0"/>
  </r>
  <r>
    <x v="0"/>
    <x v="24"/>
    <x v="24"/>
    <x v="72"/>
    <x v="72"/>
    <x v="72"/>
    <x v="2"/>
    <x v="138"/>
    <x v="197"/>
    <x v="91"/>
    <x v="249"/>
    <x v="90"/>
    <x v="202"/>
    <x v="0"/>
  </r>
  <r>
    <x v="0"/>
    <x v="24"/>
    <x v="24"/>
    <x v="70"/>
    <x v="70"/>
    <x v="70"/>
    <x v="2"/>
    <x v="138"/>
    <x v="197"/>
    <x v="107"/>
    <x v="274"/>
    <x v="83"/>
    <x v="203"/>
    <x v="0"/>
  </r>
  <r>
    <x v="0"/>
    <x v="24"/>
    <x v="24"/>
    <x v="5"/>
    <x v="5"/>
    <x v="5"/>
    <x v="4"/>
    <x v="139"/>
    <x v="198"/>
    <x v="92"/>
    <x v="48"/>
    <x v="90"/>
    <x v="202"/>
    <x v="0"/>
  </r>
  <r>
    <x v="0"/>
    <x v="24"/>
    <x v="24"/>
    <x v="83"/>
    <x v="83"/>
    <x v="83"/>
    <x v="4"/>
    <x v="139"/>
    <x v="198"/>
    <x v="107"/>
    <x v="274"/>
    <x v="41"/>
    <x v="204"/>
    <x v="0"/>
  </r>
  <r>
    <x v="0"/>
    <x v="24"/>
    <x v="24"/>
    <x v="12"/>
    <x v="12"/>
    <x v="12"/>
    <x v="4"/>
    <x v="139"/>
    <x v="198"/>
    <x v="107"/>
    <x v="274"/>
    <x v="41"/>
    <x v="204"/>
    <x v="0"/>
  </r>
  <r>
    <x v="0"/>
    <x v="24"/>
    <x v="24"/>
    <x v="27"/>
    <x v="27"/>
    <x v="27"/>
    <x v="4"/>
    <x v="139"/>
    <x v="198"/>
    <x v="114"/>
    <x v="193"/>
    <x v="41"/>
    <x v="204"/>
    <x v="0"/>
  </r>
  <r>
    <x v="0"/>
    <x v="24"/>
    <x v="24"/>
    <x v="0"/>
    <x v="0"/>
    <x v="0"/>
    <x v="4"/>
    <x v="139"/>
    <x v="198"/>
    <x v="91"/>
    <x v="249"/>
    <x v="94"/>
    <x v="113"/>
    <x v="0"/>
  </r>
  <r>
    <x v="0"/>
    <x v="24"/>
    <x v="24"/>
    <x v="32"/>
    <x v="32"/>
    <x v="32"/>
    <x v="8"/>
    <x v="140"/>
    <x v="10"/>
    <x v="90"/>
    <x v="13"/>
    <x v="41"/>
    <x v="204"/>
    <x v="0"/>
  </r>
  <r>
    <x v="0"/>
    <x v="24"/>
    <x v="24"/>
    <x v="69"/>
    <x v="69"/>
    <x v="69"/>
    <x v="8"/>
    <x v="140"/>
    <x v="10"/>
    <x v="90"/>
    <x v="13"/>
    <x v="41"/>
    <x v="204"/>
    <x v="0"/>
  </r>
  <r>
    <x v="0"/>
    <x v="24"/>
    <x v="24"/>
    <x v="1"/>
    <x v="1"/>
    <x v="1"/>
    <x v="8"/>
    <x v="140"/>
    <x v="10"/>
    <x v="107"/>
    <x v="274"/>
    <x v="90"/>
    <x v="202"/>
    <x v="0"/>
  </r>
  <r>
    <x v="0"/>
    <x v="24"/>
    <x v="24"/>
    <x v="68"/>
    <x v="68"/>
    <x v="68"/>
    <x v="8"/>
    <x v="140"/>
    <x v="10"/>
    <x v="107"/>
    <x v="274"/>
    <x v="90"/>
    <x v="202"/>
    <x v="0"/>
  </r>
  <r>
    <x v="0"/>
    <x v="24"/>
    <x v="24"/>
    <x v="15"/>
    <x v="15"/>
    <x v="15"/>
    <x v="12"/>
    <x v="142"/>
    <x v="199"/>
    <x v="114"/>
    <x v="193"/>
    <x v="41"/>
    <x v="204"/>
    <x v="0"/>
  </r>
  <r>
    <x v="0"/>
    <x v="24"/>
    <x v="24"/>
    <x v="40"/>
    <x v="40"/>
    <x v="40"/>
    <x v="12"/>
    <x v="142"/>
    <x v="199"/>
    <x v="90"/>
    <x v="13"/>
    <x v="90"/>
    <x v="202"/>
    <x v="0"/>
  </r>
  <r>
    <x v="0"/>
    <x v="24"/>
    <x v="24"/>
    <x v="36"/>
    <x v="36"/>
    <x v="36"/>
    <x v="12"/>
    <x v="142"/>
    <x v="199"/>
    <x v="107"/>
    <x v="274"/>
    <x v="94"/>
    <x v="113"/>
    <x v="0"/>
  </r>
  <r>
    <x v="0"/>
    <x v="24"/>
    <x v="24"/>
    <x v="28"/>
    <x v="28"/>
    <x v="28"/>
    <x v="12"/>
    <x v="142"/>
    <x v="199"/>
    <x v="90"/>
    <x v="13"/>
    <x v="90"/>
    <x v="202"/>
    <x v="0"/>
  </r>
  <r>
    <x v="0"/>
    <x v="24"/>
    <x v="24"/>
    <x v="8"/>
    <x v="8"/>
    <x v="8"/>
    <x v="12"/>
    <x v="142"/>
    <x v="199"/>
    <x v="107"/>
    <x v="274"/>
    <x v="94"/>
    <x v="113"/>
    <x v="0"/>
  </r>
  <r>
    <x v="0"/>
    <x v="24"/>
    <x v="24"/>
    <x v="71"/>
    <x v="71"/>
    <x v="71"/>
    <x v="12"/>
    <x v="142"/>
    <x v="199"/>
    <x v="107"/>
    <x v="274"/>
    <x v="94"/>
    <x v="113"/>
    <x v="0"/>
  </r>
  <r>
    <x v="0"/>
    <x v="24"/>
    <x v="24"/>
    <x v="3"/>
    <x v="3"/>
    <x v="3"/>
    <x v="12"/>
    <x v="142"/>
    <x v="199"/>
    <x v="90"/>
    <x v="13"/>
    <x v="94"/>
    <x v="113"/>
    <x v="1"/>
  </r>
  <r>
    <x v="0"/>
    <x v="24"/>
    <x v="24"/>
    <x v="2"/>
    <x v="2"/>
    <x v="2"/>
    <x v="12"/>
    <x v="142"/>
    <x v="199"/>
    <x v="107"/>
    <x v="274"/>
    <x v="94"/>
    <x v="113"/>
    <x v="0"/>
  </r>
  <r>
    <x v="0"/>
    <x v="24"/>
    <x v="24"/>
    <x v="52"/>
    <x v="52"/>
    <x v="52"/>
    <x v="12"/>
    <x v="142"/>
    <x v="199"/>
    <x v="114"/>
    <x v="193"/>
    <x v="90"/>
    <x v="202"/>
    <x v="1"/>
  </r>
  <r>
    <x v="0"/>
    <x v="25"/>
    <x v="25"/>
    <x v="2"/>
    <x v="2"/>
    <x v="2"/>
    <x v="0"/>
    <x v="121"/>
    <x v="200"/>
    <x v="31"/>
    <x v="275"/>
    <x v="94"/>
    <x v="113"/>
    <x v="0"/>
  </r>
  <r>
    <x v="0"/>
    <x v="25"/>
    <x v="25"/>
    <x v="5"/>
    <x v="5"/>
    <x v="5"/>
    <x v="1"/>
    <x v="135"/>
    <x v="201"/>
    <x v="94"/>
    <x v="276"/>
    <x v="41"/>
    <x v="205"/>
    <x v="0"/>
  </r>
  <r>
    <x v="0"/>
    <x v="25"/>
    <x v="25"/>
    <x v="44"/>
    <x v="44"/>
    <x v="44"/>
    <x v="2"/>
    <x v="136"/>
    <x v="51"/>
    <x v="94"/>
    <x v="276"/>
    <x v="94"/>
    <x v="113"/>
    <x v="0"/>
  </r>
  <r>
    <x v="0"/>
    <x v="25"/>
    <x v="25"/>
    <x v="3"/>
    <x v="3"/>
    <x v="3"/>
    <x v="2"/>
    <x v="136"/>
    <x v="51"/>
    <x v="94"/>
    <x v="276"/>
    <x v="94"/>
    <x v="113"/>
    <x v="0"/>
  </r>
  <r>
    <x v="0"/>
    <x v="25"/>
    <x v="25"/>
    <x v="0"/>
    <x v="0"/>
    <x v="0"/>
    <x v="2"/>
    <x v="136"/>
    <x v="51"/>
    <x v="94"/>
    <x v="276"/>
    <x v="94"/>
    <x v="113"/>
    <x v="0"/>
  </r>
  <r>
    <x v="0"/>
    <x v="25"/>
    <x v="25"/>
    <x v="6"/>
    <x v="6"/>
    <x v="6"/>
    <x v="5"/>
    <x v="137"/>
    <x v="103"/>
    <x v="114"/>
    <x v="193"/>
    <x v="82"/>
    <x v="206"/>
    <x v="0"/>
  </r>
  <r>
    <x v="0"/>
    <x v="25"/>
    <x v="25"/>
    <x v="20"/>
    <x v="20"/>
    <x v="20"/>
    <x v="5"/>
    <x v="137"/>
    <x v="103"/>
    <x v="51"/>
    <x v="44"/>
    <x v="94"/>
    <x v="113"/>
    <x v="0"/>
  </r>
  <r>
    <x v="0"/>
    <x v="25"/>
    <x v="25"/>
    <x v="35"/>
    <x v="35"/>
    <x v="35"/>
    <x v="5"/>
    <x v="137"/>
    <x v="103"/>
    <x v="91"/>
    <x v="189"/>
    <x v="41"/>
    <x v="205"/>
    <x v="0"/>
  </r>
  <r>
    <x v="0"/>
    <x v="25"/>
    <x v="25"/>
    <x v="9"/>
    <x v="9"/>
    <x v="9"/>
    <x v="5"/>
    <x v="137"/>
    <x v="103"/>
    <x v="51"/>
    <x v="44"/>
    <x v="94"/>
    <x v="113"/>
    <x v="0"/>
  </r>
  <r>
    <x v="0"/>
    <x v="25"/>
    <x v="25"/>
    <x v="32"/>
    <x v="32"/>
    <x v="32"/>
    <x v="8"/>
    <x v="138"/>
    <x v="52"/>
    <x v="91"/>
    <x v="189"/>
    <x v="90"/>
    <x v="207"/>
    <x v="0"/>
  </r>
  <r>
    <x v="0"/>
    <x v="25"/>
    <x v="25"/>
    <x v="54"/>
    <x v="54"/>
    <x v="54"/>
    <x v="8"/>
    <x v="138"/>
    <x v="52"/>
    <x v="91"/>
    <x v="189"/>
    <x v="90"/>
    <x v="207"/>
    <x v="0"/>
  </r>
  <r>
    <x v="0"/>
    <x v="25"/>
    <x v="25"/>
    <x v="22"/>
    <x v="22"/>
    <x v="22"/>
    <x v="8"/>
    <x v="138"/>
    <x v="52"/>
    <x v="92"/>
    <x v="124"/>
    <x v="41"/>
    <x v="205"/>
    <x v="0"/>
  </r>
  <r>
    <x v="0"/>
    <x v="25"/>
    <x v="25"/>
    <x v="42"/>
    <x v="42"/>
    <x v="42"/>
    <x v="11"/>
    <x v="139"/>
    <x v="56"/>
    <x v="91"/>
    <x v="189"/>
    <x v="94"/>
    <x v="113"/>
    <x v="0"/>
  </r>
  <r>
    <x v="0"/>
    <x v="25"/>
    <x v="25"/>
    <x v="43"/>
    <x v="43"/>
    <x v="43"/>
    <x v="11"/>
    <x v="139"/>
    <x v="56"/>
    <x v="90"/>
    <x v="125"/>
    <x v="83"/>
    <x v="208"/>
    <x v="0"/>
  </r>
  <r>
    <x v="0"/>
    <x v="25"/>
    <x v="25"/>
    <x v="13"/>
    <x v="13"/>
    <x v="13"/>
    <x v="11"/>
    <x v="139"/>
    <x v="56"/>
    <x v="114"/>
    <x v="193"/>
    <x v="84"/>
    <x v="209"/>
    <x v="0"/>
  </r>
  <r>
    <x v="0"/>
    <x v="25"/>
    <x v="25"/>
    <x v="12"/>
    <x v="12"/>
    <x v="12"/>
    <x v="11"/>
    <x v="139"/>
    <x v="56"/>
    <x v="91"/>
    <x v="189"/>
    <x v="94"/>
    <x v="113"/>
    <x v="0"/>
  </r>
  <r>
    <x v="0"/>
    <x v="25"/>
    <x v="25"/>
    <x v="53"/>
    <x v="53"/>
    <x v="53"/>
    <x v="11"/>
    <x v="139"/>
    <x v="56"/>
    <x v="91"/>
    <x v="189"/>
    <x v="94"/>
    <x v="113"/>
    <x v="0"/>
  </r>
  <r>
    <x v="0"/>
    <x v="25"/>
    <x v="25"/>
    <x v="58"/>
    <x v="58"/>
    <x v="58"/>
    <x v="11"/>
    <x v="139"/>
    <x v="56"/>
    <x v="107"/>
    <x v="208"/>
    <x v="41"/>
    <x v="205"/>
    <x v="0"/>
  </r>
  <r>
    <x v="0"/>
    <x v="25"/>
    <x v="25"/>
    <x v="15"/>
    <x v="15"/>
    <x v="15"/>
    <x v="17"/>
    <x v="140"/>
    <x v="136"/>
    <x v="107"/>
    <x v="208"/>
    <x v="90"/>
    <x v="207"/>
    <x v="0"/>
  </r>
  <r>
    <x v="0"/>
    <x v="25"/>
    <x v="25"/>
    <x v="84"/>
    <x v="84"/>
    <x v="84"/>
    <x v="17"/>
    <x v="140"/>
    <x v="136"/>
    <x v="107"/>
    <x v="208"/>
    <x v="90"/>
    <x v="207"/>
    <x v="0"/>
  </r>
  <r>
    <x v="0"/>
    <x v="25"/>
    <x v="25"/>
    <x v="18"/>
    <x v="18"/>
    <x v="18"/>
    <x v="17"/>
    <x v="140"/>
    <x v="136"/>
    <x v="90"/>
    <x v="125"/>
    <x v="41"/>
    <x v="205"/>
    <x v="0"/>
  </r>
  <r>
    <x v="0"/>
    <x v="25"/>
    <x v="25"/>
    <x v="49"/>
    <x v="49"/>
    <x v="49"/>
    <x v="17"/>
    <x v="140"/>
    <x v="136"/>
    <x v="90"/>
    <x v="125"/>
    <x v="41"/>
    <x v="205"/>
    <x v="0"/>
  </r>
  <r>
    <x v="0"/>
    <x v="25"/>
    <x v="25"/>
    <x v="28"/>
    <x v="28"/>
    <x v="28"/>
    <x v="17"/>
    <x v="140"/>
    <x v="136"/>
    <x v="107"/>
    <x v="208"/>
    <x v="90"/>
    <x v="207"/>
    <x v="0"/>
  </r>
  <r>
    <x v="0"/>
    <x v="25"/>
    <x v="25"/>
    <x v="85"/>
    <x v="85"/>
    <x v="85"/>
    <x v="17"/>
    <x v="140"/>
    <x v="136"/>
    <x v="92"/>
    <x v="124"/>
    <x v="94"/>
    <x v="113"/>
    <x v="0"/>
  </r>
  <r>
    <x v="0"/>
    <x v="25"/>
    <x v="25"/>
    <x v="7"/>
    <x v="7"/>
    <x v="7"/>
    <x v="17"/>
    <x v="140"/>
    <x v="136"/>
    <x v="92"/>
    <x v="124"/>
    <x v="94"/>
    <x v="113"/>
    <x v="0"/>
  </r>
  <r>
    <x v="0"/>
    <x v="25"/>
    <x v="25"/>
    <x v="10"/>
    <x v="10"/>
    <x v="10"/>
    <x v="17"/>
    <x v="140"/>
    <x v="136"/>
    <x v="107"/>
    <x v="208"/>
    <x v="90"/>
    <x v="207"/>
    <x v="0"/>
  </r>
  <r>
    <x v="0"/>
    <x v="25"/>
    <x v="25"/>
    <x v="41"/>
    <x v="41"/>
    <x v="41"/>
    <x v="17"/>
    <x v="140"/>
    <x v="136"/>
    <x v="114"/>
    <x v="193"/>
    <x v="41"/>
    <x v="205"/>
    <x v="0"/>
  </r>
  <r>
    <x v="0"/>
    <x v="25"/>
    <x v="25"/>
    <x v="14"/>
    <x v="14"/>
    <x v="14"/>
    <x v="17"/>
    <x v="140"/>
    <x v="136"/>
    <x v="92"/>
    <x v="124"/>
    <x v="94"/>
    <x v="113"/>
    <x v="0"/>
  </r>
  <r>
    <x v="0"/>
    <x v="26"/>
    <x v="26"/>
    <x v="54"/>
    <x v="54"/>
    <x v="54"/>
    <x v="0"/>
    <x v="133"/>
    <x v="202"/>
    <x v="63"/>
    <x v="277"/>
    <x v="83"/>
    <x v="210"/>
    <x v="0"/>
  </r>
  <r>
    <x v="0"/>
    <x v="26"/>
    <x v="26"/>
    <x v="13"/>
    <x v="13"/>
    <x v="13"/>
    <x v="1"/>
    <x v="140"/>
    <x v="201"/>
    <x v="107"/>
    <x v="278"/>
    <x v="90"/>
    <x v="211"/>
    <x v="0"/>
  </r>
  <r>
    <x v="0"/>
    <x v="26"/>
    <x v="26"/>
    <x v="2"/>
    <x v="2"/>
    <x v="2"/>
    <x v="1"/>
    <x v="140"/>
    <x v="201"/>
    <x v="92"/>
    <x v="279"/>
    <x v="94"/>
    <x v="113"/>
    <x v="0"/>
  </r>
  <r>
    <x v="0"/>
    <x v="26"/>
    <x v="26"/>
    <x v="0"/>
    <x v="0"/>
    <x v="0"/>
    <x v="1"/>
    <x v="140"/>
    <x v="201"/>
    <x v="92"/>
    <x v="279"/>
    <x v="94"/>
    <x v="113"/>
    <x v="0"/>
  </r>
  <r>
    <x v="0"/>
    <x v="26"/>
    <x v="26"/>
    <x v="48"/>
    <x v="48"/>
    <x v="48"/>
    <x v="1"/>
    <x v="140"/>
    <x v="201"/>
    <x v="90"/>
    <x v="280"/>
    <x v="90"/>
    <x v="211"/>
    <x v="0"/>
  </r>
  <r>
    <x v="0"/>
    <x v="26"/>
    <x v="26"/>
    <x v="86"/>
    <x v="86"/>
    <x v="86"/>
    <x v="1"/>
    <x v="140"/>
    <x v="201"/>
    <x v="114"/>
    <x v="193"/>
    <x v="83"/>
    <x v="210"/>
    <x v="0"/>
  </r>
  <r>
    <x v="0"/>
    <x v="26"/>
    <x v="26"/>
    <x v="37"/>
    <x v="37"/>
    <x v="37"/>
    <x v="6"/>
    <x v="142"/>
    <x v="103"/>
    <x v="90"/>
    <x v="280"/>
    <x v="90"/>
    <x v="211"/>
    <x v="0"/>
  </r>
  <r>
    <x v="0"/>
    <x v="26"/>
    <x v="26"/>
    <x v="16"/>
    <x v="16"/>
    <x v="16"/>
    <x v="6"/>
    <x v="142"/>
    <x v="103"/>
    <x v="107"/>
    <x v="278"/>
    <x v="94"/>
    <x v="113"/>
    <x v="0"/>
  </r>
  <r>
    <x v="0"/>
    <x v="26"/>
    <x v="26"/>
    <x v="32"/>
    <x v="32"/>
    <x v="32"/>
    <x v="6"/>
    <x v="142"/>
    <x v="103"/>
    <x v="107"/>
    <x v="278"/>
    <x v="94"/>
    <x v="113"/>
    <x v="0"/>
  </r>
  <r>
    <x v="0"/>
    <x v="26"/>
    <x v="26"/>
    <x v="11"/>
    <x v="11"/>
    <x v="11"/>
    <x v="6"/>
    <x v="142"/>
    <x v="103"/>
    <x v="90"/>
    <x v="280"/>
    <x v="90"/>
    <x v="211"/>
    <x v="0"/>
  </r>
  <r>
    <x v="0"/>
    <x v="26"/>
    <x v="26"/>
    <x v="22"/>
    <x v="22"/>
    <x v="22"/>
    <x v="6"/>
    <x v="142"/>
    <x v="103"/>
    <x v="107"/>
    <x v="278"/>
    <x v="94"/>
    <x v="113"/>
    <x v="0"/>
  </r>
  <r>
    <x v="0"/>
    <x v="26"/>
    <x v="26"/>
    <x v="3"/>
    <x v="3"/>
    <x v="3"/>
    <x v="6"/>
    <x v="142"/>
    <x v="103"/>
    <x v="90"/>
    <x v="280"/>
    <x v="90"/>
    <x v="211"/>
    <x v="0"/>
  </r>
  <r>
    <x v="0"/>
    <x v="26"/>
    <x v="26"/>
    <x v="6"/>
    <x v="6"/>
    <x v="6"/>
    <x v="11"/>
    <x v="143"/>
    <x v="136"/>
    <x v="114"/>
    <x v="193"/>
    <x v="90"/>
    <x v="211"/>
    <x v="0"/>
  </r>
  <r>
    <x v="0"/>
    <x v="26"/>
    <x v="26"/>
    <x v="5"/>
    <x v="5"/>
    <x v="5"/>
    <x v="11"/>
    <x v="143"/>
    <x v="136"/>
    <x v="90"/>
    <x v="280"/>
    <x v="94"/>
    <x v="113"/>
    <x v="0"/>
  </r>
  <r>
    <x v="0"/>
    <x v="26"/>
    <x v="26"/>
    <x v="79"/>
    <x v="79"/>
    <x v="79"/>
    <x v="11"/>
    <x v="143"/>
    <x v="136"/>
    <x v="114"/>
    <x v="193"/>
    <x v="90"/>
    <x v="211"/>
    <x v="0"/>
  </r>
  <r>
    <x v="0"/>
    <x v="26"/>
    <x v="26"/>
    <x v="87"/>
    <x v="87"/>
    <x v="87"/>
    <x v="11"/>
    <x v="143"/>
    <x v="136"/>
    <x v="90"/>
    <x v="280"/>
    <x v="94"/>
    <x v="113"/>
    <x v="0"/>
  </r>
  <r>
    <x v="0"/>
    <x v="26"/>
    <x v="26"/>
    <x v="88"/>
    <x v="88"/>
    <x v="88"/>
    <x v="11"/>
    <x v="143"/>
    <x v="136"/>
    <x v="114"/>
    <x v="193"/>
    <x v="90"/>
    <x v="211"/>
    <x v="0"/>
  </r>
  <r>
    <x v="0"/>
    <x v="26"/>
    <x v="26"/>
    <x v="89"/>
    <x v="89"/>
    <x v="89"/>
    <x v="11"/>
    <x v="143"/>
    <x v="136"/>
    <x v="114"/>
    <x v="193"/>
    <x v="90"/>
    <x v="211"/>
    <x v="0"/>
  </r>
  <r>
    <x v="0"/>
    <x v="26"/>
    <x v="26"/>
    <x v="90"/>
    <x v="90"/>
    <x v="90"/>
    <x v="11"/>
    <x v="143"/>
    <x v="136"/>
    <x v="114"/>
    <x v="193"/>
    <x v="90"/>
    <x v="211"/>
    <x v="0"/>
  </r>
  <r>
    <x v="0"/>
    <x v="26"/>
    <x v="26"/>
    <x v="91"/>
    <x v="91"/>
    <x v="91"/>
    <x v="11"/>
    <x v="143"/>
    <x v="136"/>
    <x v="114"/>
    <x v="193"/>
    <x v="90"/>
    <x v="211"/>
    <x v="0"/>
  </r>
  <r>
    <x v="0"/>
    <x v="26"/>
    <x v="26"/>
    <x v="92"/>
    <x v="92"/>
    <x v="92"/>
    <x v="11"/>
    <x v="143"/>
    <x v="136"/>
    <x v="114"/>
    <x v="193"/>
    <x v="90"/>
    <x v="211"/>
    <x v="0"/>
  </r>
  <r>
    <x v="0"/>
    <x v="26"/>
    <x v="26"/>
    <x v="93"/>
    <x v="93"/>
    <x v="93"/>
    <x v="11"/>
    <x v="143"/>
    <x v="136"/>
    <x v="114"/>
    <x v="193"/>
    <x v="90"/>
    <x v="211"/>
    <x v="0"/>
  </r>
  <r>
    <x v="0"/>
    <x v="26"/>
    <x v="26"/>
    <x v="94"/>
    <x v="94"/>
    <x v="94"/>
    <x v="11"/>
    <x v="143"/>
    <x v="136"/>
    <x v="114"/>
    <x v="193"/>
    <x v="90"/>
    <x v="211"/>
    <x v="0"/>
  </r>
  <r>
    <x v="0"/>
    <x v="26"/>
    <x v="26"/>
    <x v="80"/>
    <x v="80"/>
    <x v="80"/>
    <x v="11"/>
    <x v="143"/>
    <x v="136"/>
    <x v="114"/>
    <x v="193"/>
    <x v="90"/>
    <x v="211"/>
    <x v="0"/>
  </r>
  <r>
    <x v="0"/>
    <x v="26"/>
    <x v="26"/>
    <x v="95"/>
    <x v="95"/>
    <x v="95"/>
    <x v="11"/>
    <x v="143"/>
    <x v="136"/>
    <x v="114"/>
    <x v="193"/>
    <x v="90"/>
    <x v="211"/>
    <x v="0"/>
  </r>
  <r>
    <x v="0"/>
    <x v="26"/>
    <x v="26"/>
    <x v="96"/>
    <x v="96"/>
    <x v="96"/>
    <x v="11"/>
    <x v="143"/>
    <x v="136"/>
    <x v="114"/>
    <x v="193"/>
    <x v="90"/>
    <x v="211"/>
    <x v="0"/>
  </r>
  <r>
    <x v="0"/>
    <x v="26"/>
    <x v="26"/>
    <x v="97"/>
    <x v="97"/>
    <x v="97"/>
    <x v="11"/>
    <x v="143"/>
    <x v="136"/>
    <x v="90"/>
    <x v="280"/>
    <x v="94"/>
    <x v="113"/>
    <x v="0"/>
  </r>
  <r>
    <x v="0"/>
    <x v="26"/>
    <x v="26"/>
    <x v="98"/>
    <x v="98"/>
    <x v="98"/>
    <x v="11"/>
    <x v="143"/>
    <x v="136"/>
    <x v="114"/>
    <x v="193"/>
    <x v="94"/>
    <x v="113"/>
    <x v="0"/>
  </r>
  <r>
    <x v="0"/>
    <x v="26"/>
    <x v="26"/>
    <x v="99"/>
    <x v="99"/>
    <x v="99"/>
    <x v="11"/>
    <x v="143"/>
    <x v="136"/>
    <x v="114"/>
    <x v="193"/>
    <x v="90"/>
    <x v="211"/>
    <x v="0"/>
  </r>
  <r>
    <x v="0"/>
    <x v="26"/>
    <x v="26"/>
    <x v="100"/>
    <x v="100"/>
    <x v="100"/>
    <x v="11"/>
    <x v="143"/>
    <x v="136"/>
    <x v="90"/>
    <x v="280"/>
    <x v="94"/>
    <x v="113"/>
    <x v="0"/>
  </r>
  <r>
    <x v="0"/>
    <x v="26"/>
    <x v="26"/>
    <x v="18"/>
    <x v="18"/>
    <x v="18"/>
    <x v="11"/>
    <x v="143"/>
    <x v="136"/>
    <x v="114"/>
    <x v="193"/>
    <x v="90"/>
    <x v="211"/>
    <x v="0"/>
  </r>
  <r>
    <x v="0"/>
    <x v="26"/>
    <x v="26"/>
    <x v="49"/>
    <x v="49"/>
    <x v="49"/>
    <x v="11"/>
    <x v="143"/>
    <x v="136"/>
    <x v="114"/>
    <x v="193"/>
    <x v="90"/>
    <x v="211"/>
    <x v="0"/>
  </r>
  <r>
    <x v="0"/>
    <x v="26"/>
    <x v="26"/>
    <x v="8"/>
    <x v="8"/>
    <x v="8"/>
    <x v="11"/>
    <x v="143"/>
    <x v="136"/>
    <x v="90"/>
    <x v="280"/>
    <x v="94"/>
    <x v="113"/>
    <x v="0"/>
  </r>
  <r>
    <x v="0"/>
    <x v="26"/>
    <x v="26"/>
    <x v="101"/>
    <x v="101"/>
    <x v="101"/>
    <x v="11"/>
    <x v="143"/>
    <x v="136"/>
    <x v="114"/>
    <x v="193"/>
    <x v="90"/>
    <x v="211"/>
    <x v="0"/>
  </r>
  <r>
    <x v="0"/>
    <x v="26"/>
    <x v="26"/>
    <x v="102"/>
    <x v="102"/>
    <x v="102"/>
    <x v="11"/>
    <x v="143"/>
    <x v="136"/>
    <x v="90"/>
    <x v="280"/>
    <x v="94"/>
    <x v="113"/>
    <x v="0"/>
  </r>
  <r>
    <x v="0"/>
    <x v="26"/>
    <x v="26"/>
    <x v="17"/>
    <x v="17"/>
    <x v="17"/>
    <x v="11"/>
    <x v="143"/>
    <x v="136"/>
    <x v="114"/>
    <x v="193"/>
    <x v="90"/>
    <x v="211"/>
    <x v="0"/>
  </r>
  <r>
    <x v="0"/>
    <x v="26"/>
    <x v="26"/>
    <x v="58"/>
    <x v="58"/>
    <x v="58"/>
    <x v="11"/>
    <x v="143"/>
    <x v="136"/>
    <x v="90"/>
    <x v="280"/>
    <x v="94"/>
    <x v="113"/>
    <x v="0"/>
  </r>
  <r>
    <x v="0"/>
    <x v="26"/>
    <x v="26"/>
    <x v="9"/>
    <x v="9"/>
    <x v="9"/>
    <x v="11"/>
    <x v="143"/>
    <x v="136"/>
    <x v="90"/>
    <x v="280"/>
    <x v="94"/>
    <x v="113"/>
    <x v="0"/>
  </r>
  <r>
    <x v="0"/>
    <x v="26"/>
    <x v="26"/>
    <x v="24"/>
    <x v="24"/>
    <x v="24"/>
    <x v="11"/>
    <x v="143"/>
    <x v="136"/>
    <x v="90"/>
    <x v="280"/>
    <x v="94"/>
    <x v="113"/>
    <x v="0"/>
  </r>
  <r>
    <x v="0"/>
    <x v="26"/>
    <x v="26"/>
    <x v="70"/>
    <x v="70"/>
    <x v="70"/>
    <x v="11"/>
    <x v="143"/>
    <x v="136"/>
    <x v="114"/>
    <x v="193"/>
    <x v="90"/>
    <x v="211"/>
    <x v="0"/>
  </r>
  <r>
    <x v="0"/>
    <x v="26"/>
    <x v="26"/>
    <x v="10"/>
    <x v="10"/>
    <x v="10"/>
    <x v="11"/>
    <x v="143"/>
    <x v="136"/>
    <x v="90"/>
    <x v="280"/>
    <x v="94"/>
    <x v="113"/>
    <x v="0"/>
  </r>
  <r>
    <x v="0"/>
    <x v="26"/>
    <x v="26"/>
    <x v="4"/>
    <x v="4"/>
    <x v="4"/>
    <x v="11"/>
    <x v="143"/>
    <x v="136"/>
    <x v="90"/>
    <x v="280"/>
    <x v="94"/>
    <x v="113"/>
    <x v="0"/>
  </r>
  <r>
    <x v="0"/>
    <x v="26"/>
    <x v="26"/>
    <x v="103"/>
    <x v="103"/>
    <x v="103"/>
    <x v="11"/>
    <x v="143"/>
    <x v="136"/>
    <x v="114"/>
    <x v="193"/>
    <x v="90"/>
    <x v="211"/>
    <x v="0"/>
  </r>
  <r>
    <x v="0"/>
    <x v="27"/>
    <x v="27"/>
    <x v="54"/>
    <x v="54"/>
    <x v="54"/>
    <x v="0"/>
    <x v="91"/>
    <x v="203"/>
    <x v="86"/>
    <x v="281"/>
    <x v="95"/>
    <x v="212"/>
    <x v="0"/>
  </r>
  <r>
    <x v="0"/>
    <x v="27"/>
    <x v="27"/>
    <x v="0"/>
    <x v="0"/>
    <x v="0"/>
    <x v="1"/>
    <x v="99"/>
    <x v="204"/>
    <x v="47"/>
    <x v="282"/>
    <x v="94"/>
    <x v="113"/>
    <x v="0"/>
  </r>
  <r>
    <x v="0"/>
    <x v="27"/>
    <x v="27"/>
    <x v="2"/>
    <x v="2"/>
    <x v="2"/>
    <x v="2"/>
    <x v="128"/>
    <x v="205"/>
    <x v="104"/>
    <x v="283"/>
    <x v="90"/>
    <x v="213"/>
    <x v="0"/>
  </r>
  <r>
    <x v="0"/>
    <x v="27"/>
    <x v="27"/>
    <x v="15"/>
    <x v="15"/>
    <x v="15"/>
    <x v="3"/>
    <x v="122"/>
    <x v="206"/>
    <x v="100"/>
    <x v="85"/>
    <x v="95"/>
    <x v="212"/>
    <x v="0"/>
  </r>
  <r>
    <x v="0"/>
    <x v="27"/>
    <x v="27"/>
    <x v="10"/>
    <x v="10"/>
    <x v="10"/>
    <x v="3"/>
    <x v="122"/>
    <x v="206"/>
    <x v="93"/>
    <x v="284"/>
    <x v="83"/>
    <x v="175"/>
    <x v="0"/>
  </r>
  <r>
    <x v="0"/>
    <x v="27"/>
    <x v="27"/>
    <x v="3"/>
    <x v="3"/>
    <x v="3"/>
    <x v="5"/>
    <x v="130"/>
    <x v="81"/>
    <x v="63"/>
    <x v="285"/>
    <x v="25"/>
    <x v="214"/>
    <x v="0"/>
  </r>
  <r>
    <x v="0"/>
    <x v="27"/>
    <x v="27"/>
    <x v="6"/>
    <x v="6"/>
    <x v="6"/>
    <x v="6"/>
    <x v="123"/>
    <x v="93"/>
    <x v="107"/>
    <x v="286"/>
    <x v="22"/>
    <x v="215"/>
    <x v="0"/>
  </r>
  <r>
    <x v="0"/>
    <x v="27"/>
    <x v="27"/>
    <x v="22"/>
    <x v="22"/>
    <x v="22"/>
    <x v="6"/>
    <x v="123"/>
    <x v="93"/>
    <x v="93"/>
    <x v="284"/>
    <x v="90"/>
    <x v="213"/>
    <x v="0"/>
  </r>
  <r>
    <x v="0"/>
    <x v="27"/>
    <x v="27"/>
    <x v="28"/>
    <x v="28"/>
    <x v="28"/>
    <x v="7"/>
    <x v="133"/>
    <x v="141"/>
    <x v="114"/>
    <x v="193"/>
    <x v="39"/>
    <x v="216"/>
    <x v="0"/>
  </r>
  <r>
    <x v="0"/>
    <x v="27"/>
    <x v="27"/>
    <x v="58"/>
    <x v="58"/>
    <x v="58"/>
    <x v="8"/>
    <x v="134"/>
    <x v="5"/>
    <x v="51"/>
    <x v="287"/>
    <x v="84"/>
    <x v="181"/>
    <x v="0"/>
  </r>
  <r>
    <x v="0"/>
    <x v="27"/>
    <x v="27"/>
    <x v="12"/>
    <x v="12"/>
    <x v="12"/>
    <x v="9"/>
    <x v="135"/>
    <x v="207"/>
    <x v="51"/>
    <x v="287"/>
    <x v="83"/>
    <x v="175"/>
    <x v="0"/>
  </r>
  <r>
    <x v="0"/>
    <x v="27"/>
    <x v="27"/>
    <x v="4"/>
    <x v="4"/>
    <x v="4"/>
    <x v="9"/>
    <x v="135"/>
    <x v="207"/>
    <x v="34"/>
    <x v="249"/>
    <x v="94"/>
    <x v="113"/>
    <x v="0"/>
  </r>
  <r>
    <x v="0"/>
    <x v="27"/>
    <x v="27"/>
    <x v="16"/>
    <x v="16"/>
    <x v="16"/>
    <x v="11"/>
    <x v="141"/>
    <x v="30"/>
    <x v="107"/>
    <x v="286"/>
    <x v="82"/>
    <x v="174"/>
    <x v="0"/>
  </r>
  <r>
    <x v="0"/>
    <x v="27"/>
    <x v="27"/>
    <x v="33"/>
    <x v="33"/>
    <x v="33"/>
    <x v="11"/>
    <x v="141"/>
    <x v="30"/>
    <x v="100"/>
    <x v="85"/>
    <x v="83"/>
    <x v="175"/>
    <x v="0"/>
  </r>
  <r>
    <x v="0"/>
    <x v="27"/>
    <x v="27"/>
    <x v="32"/>
    <x v="32"/>
    <x v="32"/>
    <x v="11"/>
    <x v="141"/>
    <x v="30"/>
    <x v="51"/>
    <x v="287"/>
    <x v="41"/>
    <x v="70"/>
    <x v="0"/>
  </r>
  <r>
    <x v="0"/>
    <x v="27"/>
    <x v="27"/>
    <x v="14"/>
    <x v="14"/>
    <x v="14"/>
    <x v="11"/>
    <x v="141"/>
    <x v="30"/>
    <x v="91"/>
    <x v="11"/>
    <x v="84"/>
    <x v="181"/>
    <x v="0"/>
  </r>
  <r>
    <x v="0"/>
    <x v="27"/>
    <x v="27"/>
    <x v="13"/>
    <x v="13"/>
    <x v="13"/>
    <x v="15"/>
    <x v="136"/>
    <x v="208"/>
    <x v="107"/>
    <x v="286"/>
    <x v="25"/>
    <x v="214"/>
    <x v="0"/>
  </r>
  <r>
    <x v="0"/>
    <x v="27"/>
    <x v="27"/>
    <x v="47"/>
    <x v="47"/>
    <x v="47"/>
    <x v="15"/>
    <x v="136"/>
    <x v="208"/>
    <x v="114"/>
    <x v="193"/>
    <x v="42"/>
    <x v="171"/>
    <x v="0"/>
  </r>
  <r>
    <x v="0"/>
    <x v="27"/>
    <x v="27"/>
    <x v="27"/>
    <x v="27"/>
    <x v="27"/>
    <x v="15"/>
    <x v="136"/>
    <x v="208"/>
    <x v="114"/>
    <x v="193"/>
    <x v="42"/>
    <x v="171"/>
    <x v="0"/>
  </r>
  <r>
    <x v="0"/>
    <x v="27"/>
    <x v="27"/>
    <x v="39"/>
    <x v="39"/>
    <x v="39"/>
    <x v="15"/>
    <x v="136"/>
    <x v="208"/>
    <x v="114"/>
    <x v="193"/>
    <x v="41"/>
    <x v="70"/>
    <x v="0"/>
  </r>
  <r>
    <x v="0"/>
    <x v="28"/>
    <x v="28"/>
    <x v="0"/>
    <x v="0"/>
    <x v="0"/>
    <x v="0"/>
    <x v="109"/>
    <x v="209"/>
    <x v="49"/>
    <x v="288"/>
    <x v="41"/>
    <x v="217"/>
    <x v="0"/>
  </r>
  <r>
    <x v="0"/>
    <x v="28"/>
    <x v="28"/>
    <x v="2"/>
    <x v="2"/>
    <x v="2"/>
    <x v="1"/>
    <x v="99"/>
    <x v="210"/>
    <x v="47"/>
    <x v="289"/>
    <x v="94"/>
    <x v="113"/>
    <x v="0"/>
  </r>
  <r>
    <x v="0"/>
    <x v="28"/>
    <x v="28"/>
    <x v="7"/>
    <x v="7"/>
    <x v="7"/>
    <x v="2"/>
    <x v="116"/>
    <x v="211"/>
    <x v="65"/>
    <x v="290"/>
    <x v="90"/>
    <x v="218"/>
    <x v="0"/>
  </r>
  <r>
    <x v="0"/>
    <x v="28"/>
    <x v="28"/>
    <x v="1"/>
    <x v="1"/>
    <x v="1"/>
    <x v="3"/>
    <x v="119"/>
    <x v="212"/>
    <x v="50"/>
    <x v="291"/>
    <x v="90"/>
    <x v="218"/>
    <x v="0"/>
  </r>
  <r>
    <x v="0"/>
    <x v="28"/>
    <x v="28"/>
    <x v="9"/>
    <x v="9"/>
    <x v="9"/>
    <x v="4"/>
    <x v="129"/>
    <x v="213"/>
    <x v="31"/>
    <x v="292"/>
    <x v="90"/>
    <x v="218"/>
    <x v="0"/>
  </r>
  <r>
    <x v="0"/>
    <x v="28"/>
    <x v="28"/>
    <x v="6"/>
    <x v="6"/>
    <x v="6"/>
    <x v="5"/>
    <x v="121"/>
    <x v="214"/>
    <x v="91"/>
    <x v="293"/>
    <x v="39"/>
    <x v="219"/>
    <x v="0"/>
  </r>
  <r>
    <x v="0"/>
    <x v="28"/>
    <x v="28"/>
    <x v="8"/>
    <x v="8"/>
    <x v="8"/>
    <x v="6"/>
    <x v="130"/>
    <x v="66"/>
    <x v="81"/>
    <x v="294"/>
    <x v="90"/>
    <x v="218"/>
    <x v="0"/>
  </r>
  <r>
    <x v="0"/>
    <x v="28"/>
    <x v="28"/>
    <x v="3"/>
    <x v="3"/>
    <x v="3"/>
    <x v="6"/>
    <x v="130"/>
    <x v="66"/>
    <x v="81"/>
    <x v="294"/>
    <x v="90"/>
    <x v="218"/>
    <x v="0"/>
  </r>
  <r>
    <x v="0"/>
    <x v="28"/>
    <x v="28"/>
    <x v="12"/>
    <x v="12"/>
    <x v="12"/>
    <x v="7"/>
    <x v="133"/>
    <x v="215"/>
    <x v="94"/>
    <x v="295"/>
    <x v="84"/>
    <x v="45"/>
    <x v="0"/>
  </r>
  <r>
    <x v="0"/>
    <x v="28"/>
    <x v="28"/>
    <x v="44"/>
    <x v="44"/>
    <x v="44"/>
    <x v="8"/>
    <x v="134"/>
    <x v="27"/>
    <x v="63"/>
    <x v="8"/>
    <x v="41"/>
    <x v="217"/>
    <x v="0"/>
  </r>
  <r>
    <x v="0"/>
    <x v="28"/>
    <x v="28"/>
    <x v="53"/>
    <x v="53"/>
    <x v="53"/>
    <x v="8"/>
    <x v="134"/>
    <x v="27"/>
    <x v="63"/>
    <x v="8"/>
    <x v="41"/>
    <x v="217"/>
    <x v="0"/>
  </r>
  <r>
    <x v="0"/>
    <x v="28"/>
    <x v="28"/>
    <x v="28"/>
    <x v="28"/>
    <x v="28"/>
    <x v="8"/>
    <x v="134"/>
    <x v="27"/>
    <x v="107"/>
    <x v="296"/>
    <x v="62"/>
    <x v="220"/>
    <x v="0"/>
  </r>
  <r>
    <x v="0"/>
    <x v="28"/>
    <x v="28"/>
    <x v="19"/>
    <x v="19"/>
    <x v="19"/>
    <x v="8"/>
    <x v="134"/>
    <x v="27"/>
    <x v="91"/>
    <x v="293"/>
    <x v="82"/>
    <x v="221"/>
    <x v="0"/>
  </r>
  <r>
    <x v="0"/>
    <x v="28"/>
    <x v="28"/>
    <x v="5"/>
    <x v="5"/>
    <x v="5"/>
    <x v="12"/>
    <x v="135"/>
    <x v="135"/>
    <x v="51"/>
    <x v="297"/>
    <x v="83"/>
    <x v="131"/>
    <x v="0"/>
  </r>
  <r>
    <x v="0"/>
    <x v="28"/>
    <x v="28"/>
    <x v="20"/>
    <x v="20"/>
    <x v="20"/>
    <x v="12"/>
    <x v="135"/>
    <x v="135"/>
    <x v="34"/>
    <x v="298"/>
    <x v="94"/>
    <x v="113"/>
    <x v="0"/>
  </r>
  <r>
    <x v="0"/>
    <x v="28"/>
    <x v="28"/>
    <x v="13"/>
    <x v="13"/>
    <x v="13"/>
    <x v="14"/>
    <x v="141"/>
    <x v="85"/>
    <x v="92"/>
    <x v="299"/>
    <x v="25"/>
    <x v="222"/>
    <x v="0"/>
  </r>
  <r>
    <x v="0"/>
    <x v="28"/>
    <x v="28"/>
    <x v="33"/>
    <x v="33"/>
    <x v="33"/>
    <x v="14"/>
    <x v="141"/>
    <x v="85"/>
    <x v="63"/>
    <x v="8"/>
    <x v="94"/>
    <x v="113"/>
    <x v="0"/>
  </r>
  <r>
    <x v="0"/>
    <x v="28"/>
    <x v="28"/>
    <x v="24"/>
    <x v="24"/>
    <x v="24"/>
    <x v="14"/>
    <x v="141"/>
    <x v="85"/>
    <x v="92"/>
    <x v="299"/>
    <x v="25"/>
    <x v="222"/>
    <x v="0"/>
  </r>
  <r>
    <x v="0"/>
    <x v="28"/>
    <x v="28"/>
    <x v="82"/>
    <x v="82"/>
    <x v="82"/>
    <x v="14"/>
    <x v="141"/>
    <x v="85"/>
    <x v="114"/>
    <x v="193"/>
    <x v="90"/>
    <x v="218"/>
    <x v="0"/>
  </r>
  <r>
    <x v="0"/>
    <x v="28"/>
    <x v="28"/>
    <x v="15"/>
    <x v="15"/>
    <x v="15"/>
    <x v="18"/>
    <x v="136"/>
    <x v="59"/>
    <x v="92"/>
    <x v="299"/>
    <x v="84"/>
    <x v="45"/>
    <x v="0"/>
  </r>
  <r>
    <x v="0"/>
    <x v="28"/>
    <x v="28"/>
    <x v="32"/>
    <x v="32"/>
    <x v="32"/>
    <x v="18"/>
    <x v="136"/>
    <x v="59"/>
    <x v="51"/>
    <x v="297"/>
    <x v="90"/>
    <x v="218"/>
    <x v="0"/>
  </r>
  <r>
    <x v="0"/>
    <x v="28"/>
    <x v="28"/>
    <x v="11"/>
    <x v="11"/>
    <x v="11"/>
    <x v="18"/>
    <x v="136"/>
    <x v="59"/>
    <x v="91"/>
    <x v="293"/>
    <x v="83"/>
    <x v="131"/>
    <x v="0"/>
  </r>
  <r>
    <x v="0"/>
    <x v="28"/>
    <x v="28"/>
    <x v="35"/>
    <x v="35"/>
    <x v="35"/>
    <x v="18"/>
    <x v="136"/>
    <x v="59"/>
    <x v="92"/>
    <x v="299"/>
    <x v="84"/>
    <x v="45"/>
    <x v="0"/>
  </r>
  <r>
    <x v="0"/>
    <x v="28"/>
    <x v="28"/>
    <x v="4"/>
    <x v="4"/>
    <x v="4"/>
    <x v="18"/>
    <x v="136"/>
    <x v="59"/>
    <x v="94"/>
    <x v="295"/>
    <x v="94"/>
    <x v="113"/>
    <x v="0"/>
  </r>
  <r>
    <x v="0"/>
    <x v="29"/>
    <x v="29"/>
    <x v="67"/>
    <x v="67"/>
    <x v="67"/>
    <x v="0"/>
    <x v="139"/>
    <x v="216"/>
    <x v="90"/>
    <x v="130"/>
    <x v="83"/>
    <x v="223"/>
    <x v="0"/>
  </r>
  <r>
    <x v="0"/>
    <x v="29"/>
    <x v="29"/>
    <x v="6"/>
    <x v="6"/>
    <x v="6"/>
    <x v="1"/>
    <x v="140"/>
    <x v="217"/>
    <x v="114"/>
    <x v="193"/>
    <x v="83"/>
    <x v="223"/>
    <x v="0"/>
  </r>
  <r>
    <x v="0"/>
    <x v="29"/>
    <x v="29"/>
    <x v="16"/>
    <x v="16"/>
    <x v="16"/>
    <x v="1"/>
    <x v="140"/>
    <x v="217"/>
    <x v="90"/>
    <x v="130"/>
    <x v="41"/>
    <x v="224"/>
    <x v="0"/>
  </r>
  <r>
    <x v="0"/>
    <x v="29"/>
    <x v="29"/>
    <x v="11"/>
    <x v="11"/>
    <x v="11"/>
    <x v="1"/>
    <x v="140"/>
    <x v="217"/>
    <x v="90"/>
    <x v="130"/>
    <x v="41"/>
    <x v="224"/>
    <x v="0"/>
  </r>
  <r>
    <x v="0"/>
    <x v="29"/>
    <x v="29"/>
    <x v="10"/>
    <x v="10"/>
    <x v="10"/>
    <x v="1"/>
    <x v="140"/>
    <x v="217"/>
    <x v="92"/>
    <x v="300"/>
    <x v="94"/>
    <x v="113"/>
    <x v="0"/>
  </r>
  <r>
    <x v="0"/>
    <x v="29"/>
    <x v="29"/>
    <x v="15"/>
    <x v="15"/>
    <x v="15"/>
    <x v="5"/>
    <x v="142"/>
    <x v="180"/>
    <x v="114"/>
    <x v="193"/>
    <x v="41"/>
    <x v="224"/>
    <x v="0"/>
  </r>
  <r>
    <x v="0"/>
    <x v="29"/>
    <x v="29"/>
    <x v="5"/>
    <x v="5"/>
    <x v="5"/>
    <x v="5"/>
    <x v="142"/>
    <x v="180"/>
    <x v="90"/>
    <x v="130"/>
    <x v="90"/>
    <x v="225"/>
    <x v="0"/>
  </r>
  <r>
    <x v="0"/>
    <x v="29"/>
    <x v="29"/>
    <x v="63"/>
    <x v="63"/>
    <x v="63"/>
    <x v="5"/>
    <x v="142"/>
    <x v="180"/>
    <x v="90"/>
    <x v="130"/>
    <x v="90"/>
    <x v="225"/>
    <x v="0"/>
  </r>
  <r>
    <x v="0"/>
    <x v="29"/>
    <x v="29"/>
    <x v="20"/>
    <x v="20"/>
    <x v="20"/>
    <x v="5"/>
    <x v="142"/>
    <x v="180"/>
    <x v="107"/>
    <x v="257"/>
    <x v="94"/>
    <x v="113"/>
    <x v="0"/>
  </r>
  <r>
    <x v="0"/>
    <x v="29"/>
    <x v="29"/>
    <x v="49"/>
    <x v="49"/>
    <x v="49"/>
    <x v="5"/>
    <x v="142"/>
    <x v="180"/>
    <x v="90"/>
    <x v="130"/>
    <x v="90"/>
    <x v="225"/>
    <x v="0"/>
  </r>
  <r>
    <x v="0"/>
    <x v="29"/>
    <x v="29"/>
    <x v="22"/>
    <x v="22"/>
    <x v="22"/>
    <x v="5"/>
    <x v="142"/>
    <x v="180"/>
    <x v="90"/>
    <x v="130"/>
    <x v="90"/>
    <x v="225"/>
    <x v="0"/>
  </r>
  <r>
    <x v="0"/>
    <x v="29"/>
    <x v="29"/>
    <x v="14"/>
    <x v="14"/>
    <x v="14"/>
    <x v="5"/>
    <x v="142"/>
    <x v="180"/>
    <x v="107"/>
    <x v="257"/>
    <x v="94"/>
    <x v="113"/>
    <x v="0"/>
  </r>
  <r>
    <x v="0"/>
    <x v="29"/>
    <x v="29"/>
    <x v="43"/>
    <x v="43"/>
    <x v="43"/>
    <x v="11"/>
    <x v="143"/>
    <x v="29"/>
    <x v="114"/>
    <x v="193"/>
    <x v="90"/>
    <x v="225"/>
    <x v="0"/>
  </r>
  <r>
    <x v="0"/>
    <x v="29"/>
    <x v="29"/>
    <x v="29"/>
    <x v="29"/>
    <x v="29"/>
    <x v="11"/>
    <x v="143"/>
    <x v="29"/>
    <x v="90"/>
    <x v="130"/>
    <x v="94"/>
    <x v="113"/>
    <x v="0"/>
  </r>
  <r>
    <x v="0"/>
    <x v="29"/>
    <x v="29"/>
    <x v="13"/>
    <x v="13"/>
    <x v="13"/>
    <x v="11"/>
    <x v="143"/>
    <x v="29"/>
    <x v="114"/>
    <x v="193"/>
    <x v="90"/>
    <x v="225"/>
    <x v="0"/>
  </r>
  <r>
    <x v="0"/>
    <x v="29"/>
    <x v="29"/>
    <x v="87"/>
    <x v="87"/>
    <x v="87"/>
    <x v="11"/>
    <x v="143"/>
    <x v="29"/>
    <x v="114"/>
    <x v="193"/>
    <x v="90"/>
    <x v="225"/>
    <x v="0"/>
  </r>
  <r>
    <x v="0"/>
    <x v="29"/>
    <x v="29"/>
    <x v="104"/>
    <x v="104"/>
    <x v="104"/>
    <x v="11"/>
    <x v="143"/>
    <x v="29"/>
    <x v="114"/>
    <x v="193"/>
    <x v="90"/>
    <x v="225"/>
    <x v="0"/>
  </r>
  <r>
    <x v="0"/>
    <x v="29"/>
    <x v="29"/>
    <x v="94"/>
    <x v="94"/>
    <x v="94"/>
    <x v="11"/>
    <x v="143"/>
    <x v="29"/>
    <x v="90"/>
    <x v="130"/>
    <x v="94"/>
    <x v="113"/>
    <x v="0"/>
  </r>
  <r>
    <x v="0"/>
    <x v="29"/>
    <x v="29"/>
    <x v="105"/>
    <x v="105"/>
    <x v="105"/>
    <x v="11"/>
    <x v="143"/>
    <x v="29"/>
    <x v="114"/>
    <x v="193"/>
    <x v="90"/>
    <x v="225"/>
    <x v="0"/>
  </r>
  <r>
    <x v="0"/>
    <x v="29"/>
    <x v="29"/>
    <x v="66"/>
    <x v="66"/>
    <x v="66"/>
    <x v="11"/>
    <x v="143"/>
    <x v="29"/>
    <x v="114"/>
    <x v="193"/>
    <x v="90"/>
    <x v="225"/>
    <x v="0"/>
  </r>
  <r>
    <x v="0"/>
    <x v="29"/>
    <x v="29"/>
    <x v="106"/>
    <x v="106"/>
    <x v="106"/>
    <x v="11"/>
    <x v="143"/>
    <x v="29"/>
    <x v="114"/>
    <x v="193"/>
    <x v="90"/>
    <x v="225"/>
    <x v="0"/>
  </r>
  <r>
    <x v="0"/>
    <x v="29"/>
    <x v="29"/>
    <x v="107"/>
    <x v="107"/>
    <x v="107"/>
    <x v="11"/>
    <x v="143"/>
    <x v="29"/>
    <x v="90"/>
    <x v="130"/>
    <x v="94"/>
    <x v="113"/>
    <x v="0"/>
  </r>
  <r>
    <x v="0"/>
    <x v="29"/>
    <x v="29"/>
    <x v="108"/>
    <x v="108"/>
    <x v="108"/>
    <x v="11"/>
    <x v="143"/>
    <x v="29"/>
    <x v="90"/>
    <x v="130"/>
    <x v="94"/>
    <x v="113"/>
    <x v="0"/>
  </r>
  <r>
    <x v="0"/>
    <x v="29"/>
    <x v="29"/>
    <x v="32"/>
    <x v="32"/>
    <x v="32"/>
    <x v="11"/>
    <x v="143"/>
    <x v="29"/>
    <x v="114"/>
    <x v="193"/>
    <x v="90"/>
    <x v="225"/>
    <x v="0"/>
  </r>
  <r>
    <x v="0"/>
    <x v="29"/>
    <x v="29"/>
    <x v="12"/>
    <x v="12"/>
    <x v="12"/>
    <x v="11"/>
    <x v="143"/>
    <x v="29"/>
    <x v="114"/>
    <x v="193"/>
    <x v="94"/>
    <x v="113"/>
    <x v="1"/>
  </r>
  <r>
    <x v="0"/>
    <x v="29"/>
    <x v="29"/>
    <x v="53"/>
    <x v="53"/>
    <x v="53"/>
    <x v="11"/>
    <x v="143"/>
    <x v="29"/>
    <x v="90"/>
    <x v="130"/>
    <x v="94"/>
    <x v="113"/>
    <x v="0"/>
  </r>
  <r>
    <x v="0"/>
    <x v="29"/>
    <x v="29"/>
    <x v="28"/>
    <x v="28"/>
    <x v="28"/>
    <x v="11"/>
    <x v="143"/>
    <x v="29"/>
    <x v="114"/>
    <x v="193"/>
    <x v="90"/>
    <x v="225"/>
    <x v="0"/>
  </r>
  <r>
    <x v="0"/>
    <x v="29"/>
    <x v="29"/>
    <x v="31"/>
    <x v="31"/>
    <x v="31"/>
    <x v="11"/>
    <x v="143"/>
    <x v="29"/>
    <x v="114"/>
    <x v="193"/>
    <x v="90"/>
    <x v="225"/>
    <x v="0"/>
  </r>
  <r>
    <x v="0"/>
    <x v="29"/>
    <x v="29"/>
    <x v="109"/>
    <x v="109"/>
    <x v="109"/>
    <x v="11"/>
    <x v="143"/>
    <x v="29"/>
    <x v="114"/>
    <x v="193"/>
    <x v="90"/>
    <x v="225"/>
    <x v="0"/>
  </r>
  <r>
    <x v="0"/>
    <x v="29"/>
    <x v="29"/>
    <x v="3"/>
    <x v="3"/>
    <x v="3"/>
    <x v="11"/>
    <x v="143"/>
    <x v="29"/>
    <x v="90"/>
    <x v="130"/>
    <x v="94"/>
    <x v="113"/>
    <x v="0"/>
  </r>
  <r>
    <x v="0"/>
    <x v="29"/>
    <x v="29"/>
    <x v="27"/>
    <x v="27"/>
    <x v="27"/>
    <x v="11"/>
    <x v="143"/>
    <x v="29"/>
    <x v="114"/>
    <x v="193"/>
    <x v="90"/>
    <x v="225"/>
    <x v="0"/>
  </r>
  <r>
    <x v="0"/>
    <x v="29"/>
    <x v="29"/>
    <x v="24"/>
    <x v="24"/>
    <x v="24"/>
    <x v="11"/>
    <x v="143"/>
    <x v="29"/>
    <x v="90"/>
    <x v="130"/>
    <x v="94"/>
    <x v="113"/>
    <x v="0"/>
  </r>
  <r>
    <x v="0"/>
    <x v="29"/>
    <x v="29"/>
    <x v="2"/>
    <x v="2"/>
    <x v="2"/>
    <x v="11"/>
    <x v="143"/>
    <x v="29"/>
    <x v="90"/>
    <x v="130"/>
    <x v="94"/>
    <x v="113"/>
    <x v="0"/>
  </r>
  <r>
    <x v="0"/>
    <x v="29"/>
    <x v="29"/>
    <x v="0"/>
    <x v="0"/>
    <x v="0"/>
    <x v="11"/>
    <x v="143"/>
    <x v="29"/>
    <x v="90"/>
    <x v="130"/>
    <x v="94"/>
    <x v="113"/>
    <x v="0"/>
  </r>
  <r>
    <x v="0"/>
    <x v="29"/>
    <x v="29"/>
    <x v="110"/>
    <x v="110"/>
    <x v="110"/>
    <x v="11"/>
    <x v="143"/>
    <x v="29"/>
    <x v="90"/>
    <x v="130"/>
    <x v="94"/>
    <x v="113"/>
    <x v="0"/>
  </r>
  <r>
    <x v="0"/>
    <x v="29"/>
    <x v="29"/>
    <x v="111"/>
    <x v="111"/>
    <x v="111"/>
    <x v="11"/>
    <x v="143"/>
    <x v="29"/>
    <x v="90"/>
    <x v="130"/>
    <x v="94"/>
    <x v="113"/>
    <x v="0"/>
  </r>
  <r>
    <x v="0"/>
    <x v="29"/>
    <x v="29"/>
    <x v="4"/>
    <x v="4"/>
    <x v="4"/>
    <x v="11"/>
    <x v="143"/>
    <x v="29"/>
    <x v="90"/>
    <x v="130"/>
    <x v="94"/>
    <x v="113"/>
    <x v="0"/>
  </r>
  <r>
    <x v="0"/>
    <x v="29"/>
    <x v="29"/>
    <x v="112"/>
    <x v="112"/>
    <x v="112"/>
    <x v="11"/>
    <x v="143"/>
    <x v="29"/>
    <x v="114"/>
    <x v="193"/>
    <x v="90"/>
    <x v="225"/>
    <x v="0"/>
  </r>
  <r>
    <x v="0"/>
    <x v="29"/>
    <x v="29"/>
    <x v="48"/>
    <x v="48"/>
    <x v="48"/>
    <x v="11"/>
    <x v="143"/>
    <x v="29"/>
    <x v="90"/>
    <x v="130"/>
    <x v="94"/>
    <x v="113"/>
    <x v="0"/>
  </r>
  <r>
    <x v="0"/>
    <x v="29"/>
    <x v="29"/>
    <x v="82"/>
    <x v="82"/>
    <x v="82"/>
    <x v="11"/>
    <x v="143"/>
    <x v="29"/>
    <x v="114"/>
    <x v="193"/>
    <x v="94"/>
    <x v="113"/>
    <x v="0"/>
  </r>
  <r>
    <x v="0"/>
    <x v="30"/>
    <x v="30"/>
    <x v="54"/>
    <x v="54"/>
    <x v="54"/>
    <x v="0"/>
    <x v="133"/>
    <x v="218"/>
    <x v="63"/>
    <x v="301"/>
    <x v="83"/>
    <x v="226"/>
    <x v="0"/>
  </r>
  <r>
    <x v="0"/>
    <x v="30"/>
    <x v="30"/>
    <x v="20"/>
    <x v="20"/>
    <x v="20"/>
    <x v="1"/>
    <x v="135"/>
    <x v="219"/>
    <x v="94"/>
    <x v="302"/>
    <x v="41"/>
    <x v="191"/>
    <x v="0"/>
  </r>
  <r>
    <x v="0"/>
    <x v="30"/>
    <x v="30"/>
    <x v="5"/>
    <x v="5"/>
    <x v="5"/>
    <x v="2"/>
    <x v="141"/>
    <x v="220"/>
    <x v="94"/>
    <x v="302"/>
    <x v="90"/>
    <x v="186"/>
    <x v="0"/>
  </r>
  <r>
    <x v="0"/>
    <x v="30"/>
    <x v="30"/>
    <x v="12"/>
    <x v="12"/>
    <x v="12"/>
    <x v="3"/>
    <x v="137"/>
    <x v="143"/>
    <x v="100"/>
    <x v="143"/>
    <x v="90"/>
    <x v="186"/>
    <x v="0"/>
  </r>
  <r>
    <x v="0"/>
    <x v="30"/>
    <x v="30"/>
    <x v="28"/>
    <x v="28"/>
    <x v="28"/>
    <x v="3"/>
    <x v="137"/>
    <x v="143"/>
    <x v="107"/>
    <x v="25"/>
    <x v="84"/>
    <x v="187"/>
    <x v="0"/>
  </r>
  <r>
    <x v="0"/>
    <x v="30"/>
    <x v="30"/>
    <x v="2"/>
    <x v="2"/>
    <x v="2"/>
    <x v="3"/>
    <x v="137"/>
    <x v="143"/>
    <x v="51"/>
    <x v="257"/>
    <x v="94"/>
    <x v="113"/>
    <x v="0"/>
  </r>
  <r>
    <x v="0"/>
    <x v="30"/>
    <x v="30"/>
    <x v="0"/>
    <x v="0"/>
    <x v="0"/>
    <x v="3"/>
    <x v="137"/>
    <x v="143"/>
    <x v="51"/>
    <x v="257"/>
    <x v="94"/>
    <x v="113"/>
    <x v="0"/>
  </r>
  <r>
    <x v="0"/>
    <x v="30"/>
    <x v="30"/>
    <x v="15"/>
    <x v="15"/>
    <x v="15"/>
    <x v="19"/>
    <x v="140"/>
    <x v="134"/>
    <x v="107"/>
    <x v="25"/>
    <x v="90"/>
    <x v="186"/>
    <x v="0"/>
  </r>
  <r>
    <x v="0"/>
    <x v="30"/>
    <x v="30"/>
    <x v="43"/>
    <x v="43"/>
    <x v="43"/>
    <x v="19"/>
    <x v="140"/>
    <x v="134"/>
    <x v="92"/>
    <x v="130"/>
    <x v="94"/>
    <x v="113"/>
    <x v="0"/>
  </r>
  <r>
    <x v="0"/>
    <x v="30"/>
    <x v="30"/>
    <x v="13"/>
    <x v="13"/>
    <x v="13"/>
    <x v="19"/>
    <x v="140"/>
    <x v="134"/>
    <x v="90"/>
    <x v="28"/>
    <x v="41"/>
    <x v="191"/>
    <x v="0"/>
  </r>
  <r>
    <x v="0"/>
    <x v="30"/>
    <x v="30"/>
    <x v="35"/>
    <x v="35"/>
    <x v="35"/>
    <x v="19"/>
    <x v="140"/>
    <x v="134"/>
    <x v="92"/>
    <x v="130"/>
    <x v="94"/>
    <x v="113"/>
    <x v="0"/>
  </r>
  <r>
    <x v="0"/>
    <x v="30"/>
    <x v="30"/>
    <x v="22"/>
    <x v="22"/>
    <x v="22"/>
    <x v="19"/>
    <x v="140"/>
    <x v="134"/>
    <x v="92"/>
    <x v="130"/>
    <x v="94"/>
    <x v="113"/>
    <x v="0"/>
  </r>
  <r>
    <x v="0"/>
    <x v="30"/>
    <x v="30"/>
    <x v="3"/>
    <x v="3"/>
    <x v="3"/>
    <x v="19"/>
    <x v="140"/>
    <x v="134"/>
    <x v="92"/>
    <x v="130"/>
    <x v="94"/>
    <x v="113"/>
    <x v="0"/>
  </r>
  <r>
    <x v="0"/>
    <x v="30"/>
    <x v="30"/>
    <x v="41"/>
    <x v="41"/>
    <x v="41"/>
    <x v="19"/>
    <x v="140"/>
    <x v="134"/>
    <x v="114"/>
    <x v="193"/>
    <x v="83"/>
    <x v="226"/>
    <x v="0"/>
  </r>
  <r>
    <x v="0"/>
    <x v="30"/>
    <x v="30"/>
    <x v="6"/>
    <x v="6"/>
    <x v="6"/>
    <x v="13"/>
    <x v="142"/>
    <x v="30"/>
    <x v="114"/>
    <x v="193"/>
    <x v="41"/>
    <x v="191"/>
    <x v="0"/>
  </r>
  <r>
    <x v="0"/>
    <x v="30"/>
    <x v="30"/>
    <x v="44"/>
    <x v="44"/>
    <x v="44"/>
    <x v="13"/>
    <x v="142"/>
    <x v="30"/>
    <x v="107"/>
    <x v="25"/>
    <x v="94"/>
    <x v="113"/>
    <x v="0"/>
  </r>
  <r>
    <x v="0"/>
    <x v="30"/>
    <x v="30"/>
    <x v="17"/>
    <x v="17"/>
    <x v="17"/>
    <x v="13"/>
    <x v="142"/>
    <x v="30"/>
    <x v="107"/>
    <x v="25"/>
    <x v="94"/>
    <x v="113"/>
    <x v="0"/>
  </r>
  <r>
    <x v="0"/>
    <x v="30"/>
    <x v="30"/>
    <x v="113"/>
    <x v="113"/>
    <x v="113"/>
    <x v="13"/>
    <x v="142"/>
    <x v="30"/>
    <x v="107"/>
    <x v="25"/>
    <x v="94"/>
    <x v="113"/>
    <x v="0"/>
  </r>
  <r>
    <x v="0"/>
    <x v="30"/>
    <x v="30"/>
    <x v="9"/>
    <x v="9"/>
    <x v="9"/>
    <x v="13"/>
    <x v="142"/>
    <x v="30"/>
    <x v="107"/>
    <x v="25"/>
    <x v="94"/>
    <x v="113"/>
    <x v="0"/>
  </r>
  <r>
    <x v="0"/>
    <x v="30"/>
    <x v="30"/>
    <x v="7"/>
    <x v="7"/>
    <x v="7"/>
    <x v="13"/>
    <x v="142"/>
    <x v="30"/>
    <x v="107"/>
    <x v="25"/>
    <x v="94"/>
    <x v="113"/>
    <x v="0"/>
  </r>
  <r>
    <x v="0"/>
    <x v="30"/>
    <x v="30"/>
    <x v="52"/>
    <x v="52"/>
    <x v="52"/>
    <x v="13"/>
    <x v="142"/>
    <x v="30"/>
    <x v="114"/>
    <x v="193"/>
    <x v="41"/>
    <x v="191"/>
    <x v="0"/>
  </r>
  <r>
    <x v="0"/>
    <x v="31"/>
    <x v="31"/>
    <x v="22"/>
    <x v="22"/>
    <x v="22"/>
    <x v="0"/>
    <x v="138"/>
    <x v="221"/>
    <x v="100"/>
    <x v="303"/>
    <x v="94"/>
    <x v="113"/>
    <x v="0"/>
  </r>
  <r>
    <x v="0"/>
    <x v="31"/>
    <x v="31"/>
    <x v="2"/>
    <x v="2"/>
    <x v="2"/>
    <x v="1"/>
    <x v="139"/>
    <x v="138"/>
    <x v="91"/>
    <x v="304"/>
    <x v="94"/>
    <x v="113"/>
    <x v="0"/>
  </r>
  <r>
    <x v="0"/>
    <x v="31"/>
    <x v="31"/>
    <x v="0"/>
    <x v="0"/>
    <x v="0"/>
    <x v="1"/>
    <x v="139"/>
    <x v="138"/>
    <x v="91"/>
    <x v="304"/>
    <x v="94"/>
    <x v="113"/>
    <x v="0"/>
  </r>
  <r>
    <x v="0"/>
    <x v="31"/>
    <x v="31"/>
    <x v="12"/>
    <x v="12"/>
    <x v="12"/>
    <x v="3"/>
    <x v="140"/>
    <x v="222"/>
    <x v="107"/>
    <x v="305"/>
    <x v="94"/>
    <x v="113"/>
    <x v="1"/>
  </r>
  <r>
    <x v="0"/>
    <x v="31"/>
    <x v="31"/>
    <x v="15"/>
    <x v="15"/>
    <x v="15"/>
    <x v="4"/>
    <x v="142"/>
    <x v="223"/>
    <x v="90"/>
    <x v="174"/>
    <x v="90"/>
    <x v="227"/>
    <x v="0"/>
  </r>
  <r>
    <x v="0"/>
    <x v="31"/>
    <x v="31"/>
    <x v="5"/>
    <x v="5"/>
    <x v="5"/>
    <x v="4"/>
    <x v="142"/>
    <x v="223"/>
    <x v="90"/>
    <x v="174"/>
    <x v="90"/>
    <x v="227"/>
    <x v="0"/>
  </r>
  <r>
    <x v="0"/>
    <x v="31"/>
    <x v="31"/>
    <x v="20"/>
    <x v="20"/>
    <x v="20"/>
    <x v="4"/>
    <x v="142"/>
    <x v="223"/>
    <x v="107"/>
    <x v="305"/>
    <x v="94"/>
    <x v="113"/>
    <x v="0"/>
  </r>
  <r>
    <x v="0"/>
    <x v="31"/>
    <x v="31"/>
    <x v="47"/>
    <x v="47"/>
    <x v="47"/>
    <x v="4"/>
    <x v="142"/>
    <x v="223"/>
    <x v="114"/>
    <x v="193"/>
    <x v="41"/>
    <x v="228"/>
    <x v="0"/>
  </r>
  <r>
    <x v="0"/>
    <x v="31"/>
    <x v="31"/>
    <x v="54"/>
    <x v="54"/>
    <x v="54"/>
    <x v="4"/>
    <x v="142"/>
    <x v="223"/>
    <x v="90"/>
    <x v="174"/>
    <x v="90"/>
    <x v="227"/>
    <x v="0"/>
  </r>
  <r>
    <x v="0"/>
    <x v="31"/>
    <x v="31"/>
    <x v="41"/>
    <x v="41"/>
    <x v="41"/>
    <x v="4"/>
    <x v="142"/>
    <x v="223"/>
    <x v="114"/>
    <x v="193"/>
    <x v="41"/>
    <x v="228"/>
    <x v="0"/>
  </r>
  <r>
    <x v="0"/>
    <x v="31"/>
    <x v="31"/>
    <x v="42"/>
    <x v="42"/>
    <x v="42"/>
    <x v="9"/>
    <x v="143"/>
    <x v="8"/>
    <x v="90"/>
    <x v="174"/>
    <x v="94"/>
    <x v="113"/>
    <x v="0"/>
  </r>
  <r>
    <x v="0"/>
    <x v="31"/>
    <x v="31"/>
    <x v="44"/>
    <x v="44"/>
    <x v="44"/>
    <x v="9"/>
    <x v="143"/>
    <x v="8"/>
    <x v="90"/>
    <x v="174"/>
    <x v="94"/>
    <x v="113"/>
    <x v="0"/>
  </r>
  <r>
    <x v="0"/>
    <x v="31"/>
    <x v="31"/>
    <x v="29"/>
    <x v="29"/>
    <x v="29"/>
    <x v="9"/>
    <x v="143"/>
    <x v="8"/>
    <x v="114"/>
    <x v="193"/>
    <x v="90"/>
    <x v="227"/>
    <x v="0"/>
  </r>
  <r>
    <x v="0"/>
    <x v="31"/>
    <x v="31"/>
    <x v="114"/>
    <x v="114"/>
    <x v="114"/>
    <x v="9"/>
    <x v="143"/>
    <x v="8"/>
    <x v="114"/>
    <x v="193"/>
    <x v="90"/>
    <x v="227"/>
    <x v="0"/>
  </r>
  <r>
    <x v="0"/>
    <x v="31"/>
    <x v="31"/>
    <x v="73"/>
    <x v="73"/>
    <x v="73"/>
    <x v="9"/>
    <x v="143"/>
    <x v="8"/>
    <x v="114"/>
    <x v="193"/>
    <x v="90"/>
    <x v="227"/>
    <x v="0"/>
  </r>
  <r>
    <x v="0"/>
    <x v="31"/>
    <x v="31"/>
    <x v="84"/>
    <x v="84"/>
    <x v="84"/>
    <x v="9"/>
    <x v="143"/>
    <x v="8"/>
    <x v="114"/>
    <x v="193"/>
    <x v="90"/>
    <x v="227"/>
    <x v="0"/>
  </r>
  <r>
    <x v="0"/>
    <x v="31"/>
    <x v="31"/>
    <x v="104"/>
    <x v="104"/>
    <x v="104"/>
    <x v="9"/>
    <x v="143"/>
    <x v="8"/>
    <x v="114"/>
    <x v="193"/>
    <x v="90"/>
    <x v="227"/>
    <x v="0"/>
  </r>
  <r>
    <x v="0"/>
    <x v="31"/>
    <x v="31"/>
    <x v="115"/>
    <x v="115"/>
    <x v="115"/>
    <x v="9"/>
    <x v="143"/>
    <x v="8"/>
    <x v="90"/>
    <x v="174"/>
    <x v="94"/>
    <x v="113"/>
    <x v="0"/>
  </r>
  <r>
    <x v="0"/>
    <x v="31"/>
    <x v="31"/>
    <x v="116"/>
    <x v="116"/>
    <x v="116"/>
    <x v="9"/>
    <x v="143"/>
    <x v="8"/>
    <x v="114"/>
    <x v="193"/>
    <x v="90"/>
    <x v="227"/>
    <x v="0"/>
  </r>
  <r>
    <x v="0"/>
    <x v="31"/>
    <x v="31"/>
    <x v="117"/>
    <x v="117"/>
    <x v="117"/>
    <x v="9"/>
    <x v="143"/>
    <x v="8"/>
    <x v="114"/>
    <x v="193"/>
    <x v="90"/>
    <x v="227"/>
    <x v="0"/>
  </r>
  <r>
    <x v="0"/>
    <x v="31"/>
    <x v="31"/>
    <x v="56"/>
    <x v="56"/>
    <x v="56"/>
    <x v="9"/>
    <x v="143"/>
    <x v="8"/>
    <x v="114"/>
    <x v="193"/>
    <x v="90"/>
    <x v="227"/>
    <x v="0"/>
  </r>
  <r>
    <x v="0"/>
    <x v="31"/>
    <x v="31"/>
    <x v="11"/>
    <x v="11"/>
    <x v="11"/>
    <x v="9"/>
    <x v="143"/>
    <x v="8"/>
    <x v="90"/>
    <x v="174"/>
    <x v="94"/>
    <x v="113"/>
    <x v="0"/>
  </r>
  <r>
    <x v="0"/>
    <x v="31"/>
    <x v="31"/>
    <x v="69"/>
    <x v="69"/>
    <x v="69"/>
    <x v="9"/>
    <x v="143"/>
    <x v="8"/>
    <x v="114"/>
    <x v="193"/>
    <x v="90"/>
    <x v="227"/>
    <x v="0"/>
  </r>
  <r>
    <x v="0"/>
    <x v="31"/>
    <x v="31"/>
    <x v="85"/>
    <x v="85"/>
    <x v="85"/>
    <x v="9"/>
    <x v="143"/>
    <x v="8"/>
    <x v="114"/>
    <x v="193"/>
    <x v="90"/>
    <x v="227"/>
    <x v="0"/>
  </r>
  <r>
    <x v="0"/>
    <x v="31"/>
    <x v="31"/>
    <x v="8"/>
    <x v="8"/>
    <x v="8"/>
    <x v="9"/>
    <x v="143"/>
    <x v="8"/>
    <x v="90"/>
    <x v="174"/>
    <x v="94"/>
    <x v="113"/>
    <x v="0"/>
  </r>
  <r>
    <x v="0"/>
    <x v="31"/>
    <x v="31"/>
    <x v="31"/>
    <x v="31"/>
    <x v="31"/>
    <x v="9"/>
    <x v="143"/>
    <x v="8"/>
    <x v="90"/>
    <x v="174"/>
    <x v="94"/>
    <x v="113"/>
    <x v="0"/>
  </r>
  <r>
    <x v="0"/>
    <x v="31"/>
    <x v="31"/>
    <x v="118"/>
    <x v="118"/>
    <x v="118"/>
    <x v="9"/>
    <x v="143"/>
    <x v="8"/>
    <x v="114"/>
    <x v="193"/>
    <x v="90"/>
    <x v="227"/>
    <x v="0"/>
  </r>
  <r>
    <x v="0"/>
    <x v="31"/>
    <x v="31"/>
    <x v="71"/>
    <x v="71"/>
    <x v="71"/>
    <x v="9"/>
    <x v="143"/>
    <x v="8"/>
    <x v="114"/>
    <x v="193"/>
    <x v="90"/>
    <x v="227"/>
    <x v="0"/>
  </r>
  <r>
    <x v="0"/>
    <x v="31"/>
    <x v="31"/>
    <x v="72"/>
    <x v="72"/>
    <x v="72"/>
    <x v="9"/>
    <x v="143"/>
    <x v="8"/>
    <x v="114"/>
    <x v="193"/>
    <x v="90"/>
    <x v="227"/>
    <x v="0"/>
  </r>
  <r>
    <x v="0"/>
    <x v="31"/>
    <x v="31"/>
    <x v="3"/>
    <x v="3"/>
    <x v="3"/>
    <x v="9"/>
    <x v="143"/>
    <x v="8"/>
    <x v="114"/>
    <x v="193"/>
    <x v="90"/>
    <x v="227"/>
    <x v="0"/>
  </r>
  <r>
    <x v="0"/>
    <x v="31"/>
    <x v="31"/>
    <x v="27"/>
    <x v="27"/>
    <x v="27"/>
    <x v="9"/>
    <x v="143"/>
    <x v="8"/>
    <x v="114"/>
    <x v="193"/>
    <x v="90"/>
    <x v="227"/>
    <x v="0"/>
  </r>
  <r>
    <x v="0"/>
    <x v="31"/>
    <x v="31"/>
    <x v="24"/>
    <x v="24"/>
    <x v="24"/>
    <x v="9"/>
    <x v="143"/>
    <x v="8"/>
    <x v="90"/>
    <x v="174"/>
    <x v="94"/>
    <x v="113"/>
    <x v="0"/>
  </r>
  <r>
    <x v="0"/>
    <x v="31"/>
    <x v="31"/>
    <x v="14"/>
    <x v="14"/>
    <x v="14"/>
    <x v="9"/>
    <x v="143"/>
    <x v="8"/>
    <x v="90"/>
    <x v="174"/>
    <x v="94"/>
    <x v="113"/>
    <x v="0"/>
  </r>
  <r>
    <x v="0"/>
    <x v="31"/>
    <x v="31"/>
    <x v="52"/>
    <x v="52"/>
    <x v="52"/>
    <x v="9"/>
    <x v="143"/>
    <x v="8"/>
    <x v="114"/>
    <x v="193"/>
    <x v="90"/>
    <x v="227"/>
    <x v="0"/>
  </r>
  <r>
    <x v="0"/>
    <x v="32"/>
    <x v="32"/>
    <x v="36"/>
    <x v="36"/>
    <x v="36"/>
    <x v="0"/>
    <x v="141"/>
    <x v="224"/>
    <x v="94"/>
    <x v="302"/>
    <x v="90"/>
    <x v="229"/>
    <x v="0"/>
  </r>
  <r>
    <x v="0"/>
    <x v="32"/>
    <x v="32"/>
    <x v="28"/>
    <x v="28"/>
    <x v="28"/>
    <x v="1"/>
    <x v="136"/>
    <x v="225"/>
    <x v="92"/>
    <x v="130"/>
    <x v="84"/>
    <x v="230"/>
    <x v="0"/>
  </r>
  <r>
    <x v="0"/>
    <x v="32"/>
    <x v="32"/>
    <x v="54"/>
    <x v="54"/>
    <x v="54"/>
    <x v="1"/>
    <x v="136"/>
    <x v="225"/>
    <x v="51"/>
    <x v="257"/>
    <x v="90"/>
    <x v="229"/>
    <x v="0"/>
  </r>
  <r>
    <x v="0"/>
    <x v="32"/>
    <x v="32"/>
    <x v="2"/>
    <x v="2"/>
    <x v="2"/>
    <x v="1"/>
    <x v="136"/>
    <x v="225"/>
    <x v="94"/>
    <x v="302"/>
    <x v="94"/>
    <x v="113"/>
    <x v="0"/>
  </r>
  <r>
    <x v="0"/>
    <x v="32"/>
    <x v="32"/>
    <x v="0"/>
    <x v="0"/>
    <x v="0"/>
    <x v="4"/>
    <x v="137"/>
    <x v="226"/>
    <x v="51"/>
    <x v="257"/>
    <x v="94"/>
    <x v="113"/>
    <x v="0"/>
  </r>
  <r>
    <x v="0"/>
    <x v="32"/>
    <x v="32"/>
    <x v="12"/>
    <x v="12"/>
    <x v="12"/>
    <x v="5"/>
    <x v="139"/>
    <x v="227"/>
    <x v="92"/>
    <x v="130"/>
    <x v="94"/>
    <x v="113"/>
    <x v="1"/>
  </r>
  <r>
    <x v="0"/>
    <x v="32"/>
    <x v="32"/>
    <x v="22"/>
    <x v="22"/>
    <x v="22"/>
    <x v="5"/>
    <x v="139"/>
    <x v="227"/>
    <x v="92"/>
    <x v="130"/>
    <x v="90"/>
    <x v="229"/>
    <x v="0"/>
  </r>
  <r>
    <x v="0"/>
    <x v="32"/>
    <x v="32"/>
    <x v="56"/>
    <x v="56"/>
    <x v="56"/>
    <x v="19"/>
    <x v="140"/>
    <x v="228"/>
    <x v="90"/>
    <x v="28"/>
    <x v="41"/>
    <x v="231"/>
    <x v="0"/>
  </r>
  <r>
    <x v="0"/>
    <x v="32"/>
    <x v="32"/>
    <x v="35"/>
    <x v="35"/>
    <x v="35"/>
    <x v="19"/>
    <x v="140"/>
    <x v="228"/>
    <x v="92"/>
    <x v="130"/>
    <x v="94"/>
    <x v="113"/>
    <x v="0"/>
  </r>
  <r>
    <x v="0"/>
    <x v="32"/>
    <x v="32"/>
    <x v="49"/>
    <x v="49"/>
    <x v="49"/>
    <x v="19"/>
    <x v="140"/>
    <x v="228"/>
    <x v="107"/>
    <x v="25"/>
    <x v="90"/>
    <x v="229"/>
    <x v="0"/>
  </r>
  <r>
    <x v="0"/>
    <x v="32"/>
    <x v="32"/>
    <x v="3"/>
    <x v="3"/>
    <x v="3"/>
    <x v="19"/>
    <x v="140"/>
    <x v="228"/>
    <x v="92"/>
    <x v="130"/>
    <x v="94"/>
    <x v="113"/>
    <x v="0"/>
  </r>
  <r>
    <x v="0"/>
    <x v="32"/>
    <x v="32"/>
    <x v="41"/>
    <x v="41"/>
    <x v="41"/>
    <x v="19"/>
    <x v="140"/>
    <x v="228"/>
    <x v="114"/>
    <x v="193"/>
    <x v="83"/>
    <x v="232"/>
    <x v="0"/>
  </r>
  <r>
    <x v="0"/>
    <x v="32"/>
    <x v="32"/>
    <x v="14"/>
    <x v="14"/>
    <x v="14"/>
    <x v="19"/>
    <x v="140"/>
    <x v="228"/>
    <x v="92"/>
    <x v="130"/>
    <x v="94"/>
    <x v="113"/>
    <x v="0"/>
  </r>
  <r>
    <x v="0"/>
    <x v="32"/>
    <x v="32"/>
    <x v="6"/>
    <x v="6"/>
    <x v="6"/>
    <x v="12"/>
    <x v="142"/>
    <x v="84"/>
    <x v="107"/>
    <x v="25"/>
    <x v="94"/>
    <x v="113"/>
    <x v="0"/>
  </r>
  <r>
    <x v="0"/>
    <x v="32"/>
    <x v="32"/>
    <x v="73"/>
    <x v="73"/>
    <x v="73"/>
    <x v="12"/>
    <x v="142"/>
    <x v="84"/>
    <x v="107"/>
    <x v="25"/>
    <x v="94"/>
    <x v="113"/>
    <x v="0"/>
  </r>
  <r>
    <x v="0"/>
    <x v="32"/>
    <x v="32"/>
    <x v="119"/>
    <x v="119"/>
    <x v="119"/>
    <x v="12"/>
    <x v="142"/>
    <x v="84"/>
    <x v="114"/>
    <x v="193"/>
    <x v="41"/>
    <x v="231"/>
    <x v="0"/>
  </r>
  <r>
    <x v="0"/>
    <x v="32"/>
    <x v="32"/>
    <x v="83"/>
    <x v="83"/>
    <x v="83"/>
    <x v="12"/>
    <x v="142"/>
    <x v="84"/>
    <x v="107"/>
    <x v="25"/>
    <x v="94"/>
    <x v="113"/>
    <x v="0"/>
  </r>
  <r>
    <x v="0"/>
    <x v="32"/>
    <x v="32"/>
    <x v="120"/>
    <x v="120"/>
    <x v="120"/>
    <x v="12"/>
    <x v="142"/>
    <x v="84"/>
    <x v="107"/>
    <x v="25"/>
    <x v="94"/>
    <x v="113"/>
    <x v="0"/>
  </r>
  <r>
    <x v="0"/>
    <x v="32"/>
    <x v="32"/>
    <x v="32"/>
    <x v="32"/>
    <x v="32"/>
    <x v="12"/>
    <x v="142"/>
    <x v="84"/>
    <x v="107"/>
    <x v="25"/>
    <x v="94"/>
    <x v="113"/>
    <x v="0"/>
  </r>
  <r>
    <x v="0"/>
    <x v="32"/>
    <x v="32"/>
    <x v="20"/>
    <x v="20"/>
    <x v="20"/>
    <x v="12"/>
    <x v="142"/>
    <x v="84"/>
    <x v="107"/>
    <x v="25"/>
    <x v="94"/>
    <x v="113"/>
    <x v="0"/>
  </r>
  <r>
    <x v="0"/>
    <x v="32"/>
    <x v="32"/>
    <x v="8"/>
    <x v="8"/>
    <x v="8"/>
    <x v="12"/>
    <x v="142"/>
    <x v="84"/>
    <x v="107"/>
    <x v="25"/>
    <x v="94"/>
    <x v="113"/>
    <x v="0"/>
  </r>
  <r>
    <x v="0"/>
    <x v="32"/>
    <x v="32"/>
    <x v="71"/>
    <x v="71"/>
    <x v="71"/>
    <x v="12"/>
    <x v="142"/>
    <x v="84"/>
    <x v="90"/>
    <x v="28"/>
    <x v="90"/>
    <x v="229"/>
    <x v="0"/>
  </r>
  <r>
    <x v="0"/>
    <x v="32"/>
    <x v="32"/>
    <x v="7"/>
    <x v="7"/>
    <x v="7"/>
    <x v="12"/>
    <x v="142"/>
    <x v="84"/>
    <x v="107"/>
    <x v="25"/>
    <x v="94"/>
    <x v="113"/>
    <x v="0"/>
  </r>
  <r>
    <x v="0"/>
    <x v="33"/>
    <x v="33"/>
    <x v="0"/>
    <x v="0"/>
    <x v="0"/>
    <x v="0"/>
    <x v="139"/>
    <x v="229"/>
    <x v="91"/>
    <x v="300"/>
    <x v="94"/>
    <x v="113"/>
    <x v="0"/>
  </r>
  <r>
    <x v="0"/>
    <x v="33"/>
    <x v="33"/>
    <x v="65"/>
    <x v="65"/>
    <x v="65"/>
    <x v="1"/>
    <x v="140"/>
    <x v="164"/>
    <x v="107"/>
    <x v="240"/>
    <x v="90"/>
    <x v="233"/>
    <x v="0"/>
  </r>
  <r>
    <x v="0"/>
    <x v="33"/>
    <x v="33"/>
    <x v="2"/>
    <x v="2"/>
    <x v="2"/>
    <x v="1"/>
    <x v="140"/>
    <x v="164"/>
    <x v="92"/>
    <x v="306"/>
    <x v="94"/>
    <x v="113"/>
    <x v="0"/>
  </r>
  <r>
    <x v="0"/>
    <x v="33"/>
    <x v="33"/>
    <x v="6"/>
    <x v="6"/>
    <x v="6"/>
    <x v="3"/>
    <x v="142"/>
    <x v="230"/>
    <x v="114"/>
    <x v="193"/>
    <x v="41"/>
    <x v="234"/>
    <x v="0"/>
  </r>
  <r>
    <x v="0"/>
    <x v="33"/>
    <x v="33"/>
    <x v="16"/>
    <x v="16"/>
    <x v="16"/>
    <x v="3"/>
    <x v="142"/>
    <x v="230"/>
    <x v="107"/>
    <x v="240"/>
    <x v="94"/>
    <x v="113"/>
    <x v="0"/>
  </r>
  <r>
    <x v="0"/>
    <x v="33"/>
    <x v="33"/>
    <x v="49"/>
    <x v="49"/>
    <x v="49"/>
    <x v="3"/>
    <x v="142"/>
    <x v="230"/>
    <x v="90"/>
    <x v="241"/>
    <x v="90"/>
    <x v="233"/>
    <x v="0"/>
  </r>
  <r>
    <x v="0"/>
    <x v="33"/>
    <x v="33"/>
    <x v="28"/>
    <x v="28"/>
    <x v="28"/>
    <x v="3"/>
    <x v="142"/>
    <x v="230"/>
    <x v="114"/>
    <x v="193"/>
    <x v="41"/>
    <x v="234"/>
    <x v="0"/>
  </r>
  <r>
    <x v="0"/>
    <x v="33"/>
    <x v="33"/>
    <x v="54"/>
    <x v="54"/>
    <x v="54"/>
    <x v="3"/>
    <x v="142"/>
    <x v="230"/>
    <x v="107"/>
    <x v="240"/>
    <x v="94"/>
    <x v="113"/>
    <x v="0"/>
  </r>
  <r>
    <x v="0"/>
    <x v="33"/>
    <x v="33"/>
    <x v="58"/>
    <x v="58"/>
    <x v="58"/>
    <x v="3"/>
    <x v="142"/>
    <x v="230"/>
    <x v="107"/>
    <x v="240"/>
    <x v="94"/>
    <x v="113"/>
    <x v="0"/>
  </r>
  <r>
    <x v="0"/>
    <x v="33"/>
    <x v="33"/>
    <x v="111"/>
    <x v="111"/>
    <x v="111"/>
    <x v="3"/>
    <x v="142"/>
    <x v="230"/>
    <x v="107"/>
    <x v="240"/>
    <x v="94"/>
    <x v="113"/>
    <x v="0"/>
  </r>
  <r>
    <x v="0"/>
    <x v="33"/>
    <x v="33"/>
    <x v="78"/>
    <x v="78"/>
    <x v="78"/>
    <x v="3"/>
    <x v="142"/>
    <x v="230"/>
    <x v="114"/>
    <x v="193"/>
    <x v="90"/>
    <x v="233"/>
    <x v="0"/>
  </r>
  <r>
    <x v="0"/>
    <x v="33"/>
    <x v="33"/>
    <x v="5"/>
    <x v="5"/>
    <x v="5"/>
    <x v="10"/>
    <x v="143"/>
    <x v="28"/>
    <x v="90"/>
    <x v="241"/>
    <x v="94"/>
    <x v="113"/>
    <x v="0"/>
  </r>
  <r>
    <x v="0"/>
    <x v="33"/>
    <x v="33"/>
    <x v="36"/>
    <x v="36"/>
    <x v="36"/>
    <x v="10"/>
    <x v="143"/>
    <x v="28"/>
    <x v="90"/>
    <x v="241"/>
    <x v="94"/>
    <x v="113"/>
    <x v="0"/>
  </r>
  <r>
    <x v="0"/>
    <x v="33"/>
    <x v="33"/>
    <x v="44"/>
    <x v="44"/>
    <x v="44"/>
    <x v="10"/>
    <x v="143"/>
    <x v="28"/>
    <x v="90"/>
    <x v="241"/>
    <x v="94"/>
    <x v="113"/>
    <x v="0"/>
  </r>
  <r>
    <x v="0"/>
    <x v="33"/>
    <x v="33"/>
    <x v="121"/>
    <x v="121"/>
    <x v="121"/>
    <x v="10"/>
    <x v="143"/>
    <x v="28"/>
    <x v="114"/>
    <x v="193"/>
    <x v="90"/>
    <x v="233"/>
    <x v="0"/>
  </r>
  <r>
    <x v="0"/>
    <x v="33"/>
    <x v="33"/>
    <x v="115"/>
    <x v="115"/>
    <x v="115"/>
    <x v="10"/>
    <x v="143"/>
    <x v="28"/>
    <x v="90"/>
    <x v="241"/>
    <x v="94"/>
    <x v="113"/>
    <x v="0"/>
  </r>
  <r>
    <x v="0"/>
    <x v="33"/>
    <x v="33"/>
    <x v="122"/>
    <x v="122"/>
    <x v="122"/>
    <x v="10"/>
    <x v="143"/>
    <x v="28"/>
    <x v="90"/>
    <x v="241"/>
    <x v="94"/>
    <x v="113"/>
    <x v="0"/>
  </r>
  <r>
    <x v="0"/>
    <x v="33"/>
    <x v="33"/>
    <x v="61"/>
    <x v="61"/>
    <x v="61"/>
    <x v="10"/>
    <x v="143"/>
    <x v="28"/>
    <x v="90"/>
    <x v="241"/>
    <x v="94"/>
    <x v="113"/>
    <x v="0"/>
  </r>
  <r>
    <x v="0"/>
    <x v="33"/>
    <x v="33"/>
    <x v="105"/>
    <x v="105"/>
    <x v="105"/>
    <x v="10"/>
    <x v="143"/>
    <x v="28"/>
    <x v="90"/>
    <x v="241"/>
    <x v="94"/>
    <x v="113"/>
    <x v="0"/>
  </r>
  <r>
    <x v="0"/>
    <x v="33"/>
    <x v="33"/>
    <x v="99"/>
    <x v="99"/>
    <x v="99"/>
    <x v="10"/>
    <x v="143"/>
    <x v="28"/>
    <x v="114"/>
    <x v="193"/>
    <x v="90"/>
    <x v="233"/>
    <x v="0"/>
  </r>
  <r>
    <x v="0"/>
    <x v="33"/>
    <x v="33"/>
    <x v="83"/>
    <x v="83"/>
    <x v="83"/>
    <x v="10"/>
    <x v="143"/>
    <x v="28"/>
    <x v="90"/>
    <x v="241"/>
    <x v="94"/>
    <x v="113"/>
    <x v="0"/>
  </r>
  <r>
    <x v="0"/>
    <x v="33"/>
    <x v="33"/>
    <x v="123"/>
    <x v="123"/>
    <x v="123"/>
    <x v="10"/>
    <x v="143"/>
    <x v="28"/>
    <x v="114"/>
    <x v="193"/>
    <x v="90"/>
    <x v="233"/>
    <x v="0"/>
  </r>
  <r>
    <x v="0"/>
    <x v="33"/>
    <x v="33"/>
    <x v="64"/>
    <x v="64"/>
    <x v="64"/>
    <x v="10"/>
    <x v="143"/>
    <x v="28"/>
    <x v="90"/>
    <x v="241"/>
    <x v="94"/>
    <x v="113"/>
    <x v="0"/>
  </r>
  <r>
    <x v="0"/>
    <x v="33"/>
    <x v="33"/>
    <x v="56"/>
    <x v="56"/>
    <x v="56"/>
    <x v="10"/>
    <x v="143"/>
    <x v="28"/>
    <x v="114"/>
    <x v="193"/>
    <x v="90"/>
    <x v="233"/>
    <x v="0"/>
  </r>
  <r>
    <x v="0"/>
    <x v="33"/>
    <x v="33"/>
    <x v="32"/>
    <x v="32"/>
    <x v="32"/>
    <x v="10"/>
    <x v="143"/>
    <x v="28"/>
    <x v="90"/>
    <x v="241"/>
    <x v="94"/>
    <x v="113"/>
    <x v="0"/>
  </r>
  <r>
    <x v="0"/>
    <x v="33"/>
    <x v="33"/>
    <x v="20"/>
    <x v="20"/>
    <x v="20"/>
    <x v="10"/>
    <x v="143"/>
    <x v="28"/>
    <x v="114"/>
    <x v="193"/>
    <x v="90"/>
    <x v="233"/>
    <x v="0"/>
  </r>
  <r>
    <x v="0"/>
    <x v="33"/>
    <x v="33"/>
    <x v="12"/>
    <x v="12"/>
    <x v="12"/>
    <x v="10"/>
    <x v="143"/>
    <x v="28"/>
    <x v="90"/>
    <x v="241"/>
    <x v="94"/>
    <x v="113"/>
    <x v="0"/>
  </r>
  <r>
    <x v="0"/>
    <x v="33"/>
    <x v="33"/>
    <x v="18"/>
    <x v="18"/>
    <x v="18"/>
    <x v="10"/>
    <x v="143"/>
    <x v="28"/>
    <x v="114"/>
    <x v="193"/>
    <x v="90"/>
    <x v="233"/>
    <x v="0"/>
  </r>
  <r>
    <x v="0"/>
    <x v="33"/>
    <x v="33"/>
    <x v="85"/>
    <x v="85"/>
    <x v="85"/>
    <x v="10"/>
    <x v="143"/>
    <x v="28"/>
    <x v="90"/>
    <x v="241"/>
    <x v="94"/>
    <x v="113"/>
    <x v="0"/>
  </r>
  <r>
    <x v="0"/>
    <x v="33"/>
    <x v="33"/>
    <x v="46"/>
    <x v="46"/>
    <x v="46"/>
    <x v="10"/>
    <x v="143"/>
    <x v="28"/>
    <x v="90"/>
    <x v="241"/>
    <x v="94"/>
    <x v="113"/>
    <x v="0"/>
  </r>
  <r>
    <x v="0"/>
    <x v="33"/>
    <x v="33"/>
    <x v="72"/>
    <x v="72"/>
    <x v="72"/>
    <x v="10"/>
    <x v="143"/>
    <x v="28"/>
    <x v="90"/>
    <x v="241"/>
    <x v="94"/>
    <x v="113"/>
    <x v="0"/>
  </r>
  <r>
    <x v="0"/>
    <x v="33"/>
    <x v="33"/>
    <x v="22"/>
    <x v="22"/>
    <x v="22"/>
    <x v="10"/>
    <x v="143"/>
    <x v="28"/>
    <x v="90"/>
    <x v="241"/>
    <x v="94"/>
    <x v="113"/>
    <x v="0"/>
  </r>
  <r>
    <x v="0"/>
    <x v="33"/>
    <x v="33"/>
    <x v="3"/>
    <x v="3"/>
    <x v="3"/>
    <x v="10"/>
    <x v="143"/>
    <x v="28"/>
    <x v="114"/>
    <x v="193"/>
    <x v="90"/>
    <x v="233"/>
    <x v="0"/>
  </r>
  <r>
    <x v="0"/>
    <x v="33"/>
    <x v="33"/>
    <x v="9"/>
    <x v="9"/>
    <x v="9"/>
    <x v="10"/>
    <x v="143"/>
    <x v="28"/>
    <x v="90"/>
    <x v="241"/>
    <x v="94"/>
    <x v="113"/>
    <x v="0"/>
  </r>
  <r>
    <x v="0"/>
    <x v="33"/>
    <x v="33"/>
    <x v="124"/>
    <x v="124"/>
    <x v="124"/>
    <x v="10"/>
    <x v="143"/>
    <x v="28"/>
    <x v="114"/>
    <x v="193"/>
    <x v="90"/>
    <x v="233"/>
    <x v="0"/>
  </r>
  <r>
    <x v="0"/>
    <x v="33"/>
    <x v="33"/>
    <x v="48"/>
    <x v="48"/>
    <x v="48"/>
    <x v="10"/>
    <x v="143"/>
    <x v="28"/>
    <x v="90"/>
    <x v="241"/>
    <x v="94"/>
    <x v="113"/>
    <x v="0"/>
  </r>
  <r>
    <x v="0"/>
    <x v="33"/>
    <x v="33"/>
    <x v="14"/>
    <x v="14"/>
    <x v="14"/>
    <x v="10"/>
    <x v="143"/>
    <x v="28"/>
    <x v="90"/>
    <x v="241"/>
    <x v="94"/>
    <x v="113"/>
    <x v="0"/>
  </r>
  <r>
    <x v="0"/>
    <x v="33"/>
    <x v="33"/>
    <x v="52"/>
    <x v="52"/>
    <x v="52"/>
    <x v="10"/>
    <x v="143"/>
    <x v="28"/>
    <x v="114"/>
    <x v="193"/>
    <x v="90"/>
    <x v="233"/>
    <x v="0"/>
  </r>
  <r>
    <x v="0"/>
    <x v="33"/>
    <x v="33"/>
    <x v="82"/>
    <x v="82"/>
    <x v="82"/>
    <x v="10"/>
    <x v="143"/>
    <x v="28"/>
    <x v="114"/>
    <x v="193"/>
    <x v="94"/>
    <x v="113"/>
    <x v="1"/>
  </r>
  <r>
    <x v="0"/>
    <x v="34"/>
    <x v="34"/>
    <x v="2"/>
    <x v="2"/>
    <x v="2"/>
    <x v="0"/>
    <x v="95"/>
    <x v="231"/>
    <x v="66"/>
    <x v="307"/>
    <x v="94"/>
    <x v="113"/>
    <x v="0"/>
  </r>
  <r>
    <x v="0"/>
    <x v="34"/>
    <x v="34"/>
    <x v="0"/>
    <x v="0"/>
    <x v="0"/>
    <x v="1"/>
    <x v="96"/>
    <x v="232"/>
    <x v="56"/>
    <x v="230"/>
    <x v="94"/>
    <x v="113"/>
    <x v="0"/>
  </r>
  <r>
    <x v="0"/>
    <x v="34"/>
    <x v="34"/>
    <x v="5"/>
    <x v="5"/>
    <x v="5"/>
    <x v="2"/>
    <x v="116"/>
    <x v="233"/>
    <x v="31"/>
    <x v="308"/>
    <x v="25"/>
    <x v="235"/>
    <x v="0"/>
  </r>
  <r>
    <x v="0"/>
    <x v="34"/>
    <x v="34"/>
    <x v="16"/>
    <x v="16"/>
    <x v="16"/>
    <x v="3"/>
    <x v="130"/>
    <x v="103"/>
    <x v="94"/>
    <x v="309"/>
    <x v="82"/>
    <x v="236"/>
    <x v="0"/>
  </r>
  <r>
    <x v="0"/>
    <x v="34"/>
    <x v="34"/>
    <x v="11"/>
    <x v="11"/>
    <x v="11"/>
    <x v="3"/>
    <x v="130"/>
    <x v="103"/>
    <x v="48"/>
    <x v="310"/>
    <x v="83"/>
    <x v="237"/>
    <x v="0"/>
  </r>
  <r>
    <x v="0"/>
    <x v="34"/>
    <x v="34"/>
    <x v="3"/>
    <x v="3"/>
    <x v="3"/>
    <x v="5"/>
    <x v="123"/>
    <x v="92"/>
    <x v="93"/>
    <x v="4"/>
    <x v="90"/>
    <x v="238"/>
    <x v="0"/>
  </r>
  <r>
    <x v="0"/>
    <x v="34"/>
    <x v="34"/>
    <x v="20"/>
    <x v="20"/>
    <x v="20"/>
    <x v="6"/>
    <x v="133"/>
    <x v="234"/>
    <x v="48"/>
    <x v="310"/>
    <x v="90"/>
    <x v="238"/>
    <x v="0"/>
  </r>
  <r>
    <x v="0"/>
    <x v="34"/>
    <x v="34"/>
    <x v="12"/>
    <x v="12"/>
    <x v="12"/>
    <x v="19"/>
    <x v="134"/>
    <x v="198"/>
    <x v="34"/>
    <x v="311"/>
    <x v="90"/>
    <x v="238"/>
    <x v="0"/>
  </r>
  <r>
    <x v="0"/>
    <x v="34"/>
    <x v="34"/>
    <x v="49"/>
    <x v="49"/>
    <x v="49"/>
    <x v="7"/>
    <x v="135"/>
    <x v="26"/>
    <x v="100"/>
    <x v="312"/>
    <x v="84"/>
    <x v="239"/>
    <x v="0"/>
  </r>
  <r>
    <x v="0"/>
    <x v="34"/>
    <x v="34"/>
    <x v="15"/>
    <x v="15"/>
    <x v="15"/>
    <x v="8"/>
    <x v="141"/>
    <x v="105"/>
    <x v="107"/>
    <x v="16"/>
    <x v="82"/>
    <x v="236"/>
    <x v="0"/>
  </r>
  <r>
    <x v="0"/>
    <x v="34"/>
    <x v="34"/>
    <x v="43"/>
    <x v="43"/>
    <x v="43"/>
    <x v="8"/>
    <x v="141"/>
    <x v="105"/>
    <x v="94"/>
    <x v="309"/>
    <x v="90"/>
    <x v="238"/>
    <x v="0"/>
  </r>
  <r>
    <x v="0"/>
    <x v="34"/>
    <x v="34"/>
    <x v="10"/>
    <x v="10"/>
    <x v="10"/>
    <x v="8"/>
    <x v="141"/>
    <x v="105"/>
    <x v="51"/>
    <x v="187"/>
    <x v="41"/>
    <x v="200"/>
    <x v="0"/>
  </r>
  <r>
    <x v="0"/>
    <x v="34"/>
    <x v="34"/>
    <x v="13"/>
    <x v="13"/>
    <x v="13"/>
    <x v="11"/>
    <x v="136"/>
    <x v="106"/>
    <x v="107"/>
    <x v="16"/>
    <x v="25"/>
    <x v="235"/>
    <x v="0"/>
  </r>
  <r>
    <x v="0"/>
    <x v="34"/>
    <x v="34"/>
    <x v="87"/>
    <x v="87"/>
    <x v="87"/>
    <x v="11"/>
    <x v="136"/>
    <x v="106"/>
    <x v="91"/>
    <x v="200"/>
    <x v="83"/>
    <x v="237"/>
    <x v="0"/>
  </r>
  <r>
    <x v="0"/>
    <x v="34"/>
    <x v="34"/>
    <x v="125"/>
    <x v="125"/>
    <x v="125"/>
    <x v="11"/>
    <x v="136"/>
    <x v="106"/>
    <x v="91"/>
    <x v="200"/>
    <x v="83"/>
    <x v="237"/>
    <x v="0"/>
  </r>
  <r>
    <x v="0"/>
    <x v="34"/>
    <x v="34"/>
    <x v="69"/>
    <x v="69"/>
    <x v="69"/>
    <x v="11"/>
    <x v="136"/>
    <x v="106"/>
    <x v="94"/>
    <x v="309"/>
    <x v="94"/>
    <x v="113"/>
    <x v="0"/>
  </r>
  <r>
    <x v="0"/>
    <x v="34"/>
    <x v="34"/>
    <x v="22"/>
    <x v="22"/>
    <x v="22"/>
    <x v="11"/>
    <x v="136"/>
    <x v="106"/>
    <x v="51"/>
    <x v="187"/>
    <x v="90"/>
    <x v="238"/>
    <x v="0"/>
  </r>
  <r>
    <x v="0"/>
    <x v="34"/>
    <x v="34"/>
    <x v="67"/>
    <x v="67"/>
    <x v="67"/>
    <x v="16"/>
    <x v="137"/>
    <x v="235"/>
    <x v="92"/>
    <x v="313"/>
    <x v="83"/>
    <x v="237"/>
    <x v="0"/>
  </r>
  <r>
    <x v="0"/>
    <x v="34"/>
    <x v="34"/>
    <x v="33"/>
    <x v="33"/>
    <x v="33"/>
    <x v="16"/>
    <x v="137"/>
    <x v="235"/>
    <x v="100"/>
    <x v="312"/>
    <x v="90"/>
    <x v="238"/>
    <x v="0"/>
  </r>
  <r>
    <x v="0"/>
    <x v="34"/>
    <x v="34"/>
    <x v="32"/>
    <x v="32"/>
    <x v="32"/>
    <x v="16"/>
    <x v="137"/>
    <x v="235"/>
    <x v="51"/>
    <x v="187"/>
    <x v="94"/>
    <x v="113"/>
    <x v="0"/>
  </r>
  <r>
    <x v="0"/>
    <x v="34"/>
    <x v="34"/>
    <x v="35"/>
    <x v="35"/>
    <x v="35"/>
    <x v="16"/>
    <x v="137"/>
    <x v="235"/>
    <x v="100"/>
    <x v="312"/>
    <x v="90"/>
    <x v="238"/>
    <x v="0"/>
  </r>
  <r>
    <x v="0"/>
    <x v="34"/>
    <x v="34"/>
    <x v="28"/>
    <x v="28"/>
    <x v="28"/>
    <x v="16"/>
    <x v="137"/>
    <x v="235"/>
    <x v="90"/>
    <x v="314"/>
    <x v="25"/>
    <x v="235"/>
    <x v="0"/>
  </r>
  <r>
    <x v="0"/>
    <x v="34"/>
    <x v="34"/>
    <x v="1"/>
    <x v="1"/>
    <x v="1"/>
    <x v="16"/>
    <x v="137"/>
    <x v="235"/>
    <x v="100"/>
    <x v="312"/>
    <x v="90"/>
    <x v="238"/>
    <x v="0"/>
  </r>
  <r>
    <x v="0"/>
    <x v="34"/>
    <x v="34"/>
    <x v="9"/>
    <x v="9"/>
    <x v="9"/>
    <x v="16"/>
    <x v="137"/>
    <x v="235"/>
    <x v="51"/>
    <x v="187"/>
    <x v="94"/>
    <x v="113"/>
    <x v="0"/>
  </r>
  <r>
    <x v="0"/>
    <x v="35"/>
    <x v="35"/>
    <x v="1"/>
    <x v="1"/>
    <x v="1"/>
    <x v="0"/>
    <x v="110"/>
    <x v="236"/>
    <x v="104"/>
    <x v="315"/>
    <x v="42"/>
    <x v="240"/>
    <x v="0"/>
  </r>
  <r>
    <x v="0"/>
    <x v="35"/>
    <x v="35"/>
    <x v="2"/>
    <x v="2"/>
    <x v="2"/>
    <x v="1"/>
    <x v="128"/>
    <x v="237"/>
    <x v="58"/>
    <x v="59"/>
    <x v="94"/>
    <x v="113"/>
    <x v="0"/>
  </r>
  <r>
    <x v="0"/>
    <x v="35"/>
    <x v="35"/>
    <x v="6"/>
    <x v="6"/>
    <x v="6"/>
    <x v="2"/>
    <x v="129"/>
    <x v="238"/>
    <x v="114"/>
    <x v="193"/>
    <x v="86"/>
    <x v="241"/>
    <x v="0"/>
  </r>
  <r>
    <x v="0"/>
    <x v="35"/>
    <x v="35"/>
    <x v="3"/>
    <x v="3"/>
    <x v="3"/>
    <x v="2"/>
    <x v="129"/>
    <x v="238"/>
    <x v="31"/>
    <x v="2"/>
    <x v="90"/>
    <x v="242"/>
    <x v="0"/>
  </r>
  <r>
    <x v="0"/>
    <x v="35"/>
    <x v="35"/>
    <x v="16"/>
    <x v="16"/>
    <x v="16"/>
    <x v="4"/>
    <x v="122"/>
    <x v="239"/>
    <x v="100"/>
    <x v="132"/>
    <x v="95"/>
    <x v="243"/>
    <x v="0"/>
  </r>
  <r>
    <x v="0"/>
    <x v="35"/>
    <x v="35"/>
    <x v="0"/>
    <x v="0"/>
    <x v="0"/>
    <x v="4"/>
    <x v="122"/>
    <x v="239"/>
    <x v="106"/>
    <x v="305"/>
    <x v="94"/>
    <x v="113"/>
    <x v="0"/>
  </r>
  <r>
    <x v="0"/>
    <x v="35"/>
    <x v="35"/>
    <x v="10"/>
    <x v="10"/>
    <x v="10"/>
    <x v="6"/>
    <x v="133"/>
    <x v="240"/>
    <x v="34"/>
    <x v="316"/>
    <x v="90"/>
    <x v="242"/>
    <x v="1"/>
  </r>
  <r>
    <x v="0"/>
    <x v="35"/>
    <x v="35"/>
    <x v="4"/>
    <x v="4"/>
    <x v="4"/>
    <x v="6"/>
    <x v="133"/>
    <x v="240"/>
    <x v="93"/>
    <x v="317"/>
    <x v="94"/>
    <x v="113"/>
    <x v="0"/>
  </r>
  <r>
    <x v="0"/>
    <x v="35"/>
    <x v="35"/>
    <x v="14"/>
    <x v="14"/>
    <x v="14"/>
    <x v="6"/>
    <x v="133"/>
    <x v="240"/>
    <x v="51"/>
    <x v="175"/>
    <x v="25"/>
    <x v="244"/>
    <x v="0"/>
  </r>
  <r>
    <x v="0"/>
    <x v="35"/>
    <x v="35"/>
    <x v="13"/>
    <x v="13"/>
    <x v="13"/>
    <x v="8"/>
    <x v="134"/>
    <x v="21"/>
    <x v="91"/>
    <x v="179"/>
    <x v="82"/>
    <x v="245"/>
    <x v="0"/>
  </r>
  <r>
    <x v="0"/>
    <x v="35"/>
    <x v="35"/>
    <x v="27"/>
    <x v="27"/>
    <x v="27"/>
    <x v="9"/>
    <x v="135"/>
    <x v="241"/>
    <x v="114"/>
    <x v="193"/>
    <x v="62"/>
    <x v="246"/>
    <x v="0"/>
  </r>
  <r>
    <x v="0"/>
    <x v="35"/>
    <x v="35"/>
    <x v="5"/>
    <x v="5"/>
    <x v="5"/>
    <x v="10"/>
    <x v="141"/>
    <x v="242"/>
    <x v="94"/>
    <x v="174"/>
    <x v="90"/>
    <x v="242"/>
    <x v="0"/>
  </r>
  <r>
    <x v="0"/>
    <x v="35"/>
    <x v="35"/>
    <x v="17"/>
    <x v="17"/>
    <x v="17"/>
    <x v="10"/>
    <x v="141"/>
    <x v="242"/>
    <x v="107"/>
    <x v="177"/>
    <x v="82"/>
    <x v="245"/>
    <x v="0"/>
  </r>
  <r>
    <x v="0"/>
    <x v="35"/>
    <x v="35"/>
    <x v="33"/>
    <x v="33"/>
    <x v="33"/>
    <x v="12"/>
    <x v="137"/>
    <x v="243"/>
    <x v="114"/>
    <x v="193"/>
    <x v="82"/>
    <x v="245"/>
    <x v="0"/>
  </r>
  <r>
    <x v="0"/>
    <x v="35"/>
    <x v="35"/>
    <x v="39"/>
    <x v="39"/>
    <x v="39"/>
    <x v="12"/>
    <x v="137"/>
    <x v="243"/>
    <x v="114"/>
    <x v="193"/>
    <x v="84"/>
    <x v="247"/>
    <x v="0"/>
  </r>
  <r>
    <x v="0"/>
    <x v="35"/>
    <x v="35"/>
    <x v="15"/>
    <x v="15"/>
    <x v="15"/>
    <x v="14"/>
    <x v="138"/>
    <x v="244"/>
    <x v="92"/>
    <x v="318"/>
    <x v="41"/>
    <x v="28"/>
    <x v="0"/>
  </r>
  <r>
    <x v="0"/>
    <x v="35"/>
    <x v="35"/>
    <x v="38"/>
    <x v="38"/>
    <x v="38"/>
    <x v="14"/>
    <x v="138"/>
    <x v="244"/>
    <x v="114"/>
    <x v="193"/>
    <x v="25"/>
    <x v="244"/>
    <x v="0"/>
  </r>
  <r>
    <x v="0"/>
    <x v="35"/>
    <x v="35"/>
    <x v="37"/>
    <x v="37"/>
    <x v="37"/>
    <x v="14"/>
    <x v="138"/>
    <x v="244"/>
    <x v="91"/>
    <x v="179"/>
    <x v="90"/>
    <x v="242"/>
    <x v="0"/>
  </r>
  <r>
    <x v="0"/>
    <x v="35"/>
    <x v="35"/>
    <x v="29"/>
    <x v="29"/>
    <x v="29"/>
    <x v="14"/>
    <x v="138"/>
    <x v="244"/>
    <x v="114"/>
    <x v="193"/>
    <x v="25"/>
    <x v="244"/>
    <x v="0"/>
  </r>
  <r>
    <x v="0"/>
    <x v="35"/>
    <x v="35"/>
    <x v="12"/>
    <x v="12"/>
    <x v="12"/>
    <x v="14"/>
    <x v="138"/>
    <x v="244"/>
    <x v="91"/>
    <x v="179"/>
    <x v="90"/>
    <x v="242"/>
    <x v="0"/>
  </r>
  <r>
    <x v="0"/>
    <x v="35"/>
    <x v="35"/>
    <x v="11"/>
    <x v="11"/>
    <x v="11"/>
    <x v="14"/>
    <x v="138"/>
    <x v="244"/>
    <x v="107"/>
    <x v="177"/>
    <x v="83"/>
    <x v="98"/>
    <x v="0"/>
  </r>
  <r>
    <x v="0"/>
    <x v="35"/>
    <x v="35"/>
    <x v="31"/>
    <x v="31"/>
    <x v="31"/>
    <x v="14"/>
    <x v="138"/>
    <x v="244"/>
    <x v="114"/>
    <x v="193"/>
    <x v="25"/>
    <x v="244"/>
    <x v="0"/>
  </r>
  <r>
    <x v="0"/>
    <x v="35"/>
    <x v="35"/>
    <x v="9"/>
    <x v="9"/>
    <x v="9"/>
    <x v="14"/>
    <x v="138"/>
    <x v="244"/>
    <x v="91"/>
    <x v="179"/>
    <x v="90"/>
    <x v="242"/>
    <x v="0"/>
  </r>
  <r>
    <x v="0"/>
    <x v="36"/>
    <x v="36"/>
    <x v="14"/>
    <x v="14"/>
    <x v="14"/>
    <x v="0"/>
    <x v="141"/>
    <x v="220"/>
    <x v="100"/>
    <x v="319"/>
    <x v="83"/>
    <x v="248"/>
    <x v="0"/>
  </r>
  <r>
    <x v="0"/>
    <x v="36"/>
    <x v="36"/>
    <x v="0"/>
    <x v="0"/>
    <x v="0"/>
    <x v="1"/>
    <x v="136"/>
    <x v="245"/>
    <x v="94"/>
    <x v="320"/>
    <x v="94"/>
    <x v="113"/>
    <x v="0"/>
  </r>
  <r>
    <x v="0"/>
    <x v="36"/>
    <x v="36"/>
    <x v="5"/>
    <x v="5"/>
    <x v="5"/>
    <x v="2"/>
    <x v="137"/>
    <x v="143"/>
    <x v="92"/>
    <x v="168"/>
    <x v="83"/>
    <x v="248"/>
    <x v="0"/>
  </r>
  <r>
    <x v="0"/>
    <x v="36"/>
    <x v="36"/>
    <x v="2"/>
    <x v="2"/>
    <x v="2"/>
    <x v="2"/>
    <x v="137"/>
    <x v="143"/>
    <x v="51"/>
    <x v="321"/>
    <x v="94"/>
    <x v="113"/>
    <x v="0"/>
  </r>
  <r>
    <x v="0"/>
    <x v="36"/>
    <x v="36"/>
    <x v="6"/>
    <x v="6"/>
    <x v="6"/>
    <x v="4"/>
    <x v="139"/>
    <x v="246"/>
    <x v="90"/>
    <x v="123"/>
    <x v="83"/>
    <x v="248"/>
    <x v="0"/>
  </r>
  <r>
    <x v="0"/>
    <x v="36"/>
    <x v="36"/>
    <x v="16"/>
    <x v="16"/>
    <x v="16"/>
    <x v="4"/>
    <x v="139"/>
    <x v="246"/>
    <x v="107"/>
    <x v="68"/>
    <x v="41"/>
    <x v="249"/>
    <x v="0"/>
  </r>
  <r>
    <x v="0"/>
    <x v="36"/>
    <x v="36"/>
    <x v="11"/>
    <x v="11"/>
    <x v="11"/>
    <x v="4"/>
    <x v="139"/>
    <x v="246"/>
    <x v="90"/>
    <x v="123"/>
    <x v="83"/>
    <x v="248"/>
    <x v="0"/>
  </r>
  <r>
    <x v="0"/>
    <x v="36"/>
    <x v="36"/>
    <x v="126"/>
    <x v="126"/>
    <x v="126"/>
    <x v="19"/>
    <x v="140"/>
    <x v="134"/>
    <x v="114"/>
    <x v="193"/>
    <x v="83"/>
    <x v="248"/>
    <x v="0"/>
  </r>
  <r>
    <x v="0"/>
    <x v="36"/>
    <x v="36"/>
    <x v="67"/>
    <x v="67"/>
    <x v="67"/>
    <x v="19"/>
    <x v="140"/>
    <x v="134"/>
    <x v="90"/>
    <x v="123"/>
    <x v="41"/>
    <x v="249"/>
    <x v="0"/>
  </r>
  <r>
    <x v="0"/>
    <x v="36"/>
    <x v="36"/>
    <x v="22"/>
    <x v="22"/>
    <x v="22"/>
    <x v="19"/>
    <x v="140"/>
    <x v="134"/>
    <x v="92"/>
    <x v="168"/>
    <x v="94"/>
    <x v="113"/>
    <x v="0"/>
  </r>
  <r>
    <x v="0"/>
    <x v="36"/>
    <x v="36"/>
    <x v="4"/>
    <x v="4"/>
    <x v="4"/>
    <x v="19"/>
    <x v="140"/>
    <x v="134"/>
    <x v="107"/>
    <x v="68"/>
    <x v="90"/>
    <x v="250"/>
    <x v="0"/>
  </r>
  <r>
    <x v="0"/>
    <x v="36"/>
    <x v="36"/>
    <x v="42"/>
    <x v="42"/>
    <x v="42"/>
    <x v="10"/>
    <x v="142"/>
    <x v="30"/>
    <x v="114"/>
    <x v="193"/>
    <x v="41"/>
    <x v="249"/>
    <x v="0"/>
  </r>
  <r>
    <x v="0"/>
    <x v="36"/>
    <x v="36"/>
    <x v="13"/>
    <x v="13"/>
    <x v="13"/>
    <x v="10"/>
    <x v="142"/>
    <x v="30"/>
    <x v="90"/>
    <x v="123"/>
    <x v="90"/>
    <x v="250"/>
    <x v="0"/>
  </r>
  <r>
    <x v="0"/>
    <x v="36"/>
    <x v="36"/>
    <x v="45"/>
    <x v="45"/>
    <x v="45"/>
    <x v="10"/>
    <x v="142"/>
    <x v="30"/>
    <x v="114"/>
    <x v="193"/>
    <x v="90"/>
    <x v="250"/>
    <x v="1"/>
  </r>
  <r>
    <x v="0"/>
    <x v="36"/>
    <x v="36"/>
    <x v="61"/>
    <x v="61"/>
    <x v="61"/>
    <x v="10"/>
    <x v="142"/>
    <x v="30"/>
    <x v="90"/>
    <x v="123"/>
    <x v="90"/>
    <x v="250"/>
    <x v="0"/>
  </r>
  <r>
    <x v="0"/>
    <x v="36"/>
    <x v="36"/>
    <x v="127"/>
    <x v="127"/>
    <x v="127"/>
    <x v="10"/>
    <x v="142"/>
    <x v="30"/>
    <x v="114"/>
    <x v="193"/>
    <x v="41"/>
    <x v="249"/>
    <x v="0"/>
  </r>
  <r>
    <x v="0"/>
    <x v="36"/>
    <x v="36"/>
    <x v="12"/>
    <x v="12"/>
    <x v="12"/>
    <x v="10"/>
    <x v="142"/>
    <x v="30"/>
    <x v="90"/>
    <x v="123"/>
    <x v="90"/>
    <x v="250"/>
    <x v="0"/>
  </r>
  <r>
    <x v="0"/>
    <x v="36"/>
    <x v="36"/>
    <x v="53"/>
    <x v="53"/>
    <x v="53"/>
    <x v="10"/>
    <x v="142"/>
    <x v="30"/>
    <x v="107"/>
    <x v="68"/>
    <x v="94"/>
    <x v="113"/>
    <x v="0"/>
  </r>
  <r>
    <x v="0"/>
    <x v="36"/>
    <x v="36"/>
    <x v="28"/>
    <x v="28"/>
    <x v="28"/>
    <x v="10"/>
    <x v="142"/>
    <x v="30"/>
    <x v="90"/>
    <x v="123"/>
    <x v="90"/>
    <x v="250"/>
    <x v="0"/>
  </r>
  <r>
    <x v="0"/>
    <x v="36"/>
    <x v="36"/>
    <x v="3"/>
    <x v="3"/>
    <x v="3"/>
    <x v="10"/>
    <x v="142"/>
    <x v="30"/>
    <x v="107"/>
    <x v="68"/>
    <x v="94"/>
    <x v="113"/>
    <x v="0"/>
  </r>
  <r>
    <x v="0"/>
    <x v="36"/>
    <x v="36"/>
    <x v="58"/>
    <x v="58"/>
    <x v="58"/>
    <x v="10"/>
    <x v="142"/>
    <x v="30"/>
    <x v="90"/>
    <x v="123"/>
    <x v="90"/>
    <x v="250"/>
    <x v="0"/>
  </r>
  <r>
    <x v="0"/>
    <x v="36"/>
    <x v="36"/>
    <x v="27"/>
    <x v="27"/>
    <x v="27"/>
    <x v="10"/>
    <x v="142"/>
    <x v="30"/>
    <x v="114"/>
    <x v="193"/>
    <x v="90"/>
    <x v="250"/>
    <x v="0"/>
  </r>
  <r>
    <x v="0"/>
    <x v="36"/>
    <x v="36"/>
    <x v="78"/>
    <x v="78"/>
    <x v="78"/>
    <x v="10"/>
    <x v="142"/>
    <x v="30"/>
    <x v="114"/>
    <x v="193"/>
    <x v="94"/>
    <x v="113"/>
    <x v="0"/>
  </r>
  <r>
    <x v="0"/>
    <x v="36"/>
    <x v="36"/>
    <x v="128"/>
    <x v="128"/>
    <x v="128"/>
    <x v="10"/>
    <x v="142"/>
    <x v="30"/>
    <x v="107"/>
    <x v="68"/>
    <x v="94"/>
    <x v="113"/>
    <x v="0"/>
  </r>
  <r>
    <x v="0"/>
    <x v="36"/>
    <x v="36"/>
    <x v="59"/>
    <x v="59"/>
    <x v="59"/>
    <x v="10"/>
    <x v="142"/>
    <x v="30"/>
    <x v="114"/>
    <x v="193"/>
    <x v="41"/>
    <x v="249"/>
    <x v="0"/>
  </r>
  <r>
    <x v="0"/>
    <x v="37"/>
    <x v="37"/>
    <x v="15"/>
    <x v="15"/>
    <x v="15"/>
    <x v="0"/>
    <x v="141"/>
    <x v="247"/>
    <x v="107"/>
    <x v="322"/>
    <x v="82"/>
    <x v="251"/>
    <x v="0"/>
  </r>
  <r>
    <x v="0"/>
    <x v="37"/>
    <x v="37"/>
    <x v="2"/>
    <x v="2"/>
    <x v="2"/>
    <x v="1"/>
    <x v="137"/>
    <x v="248"/>
    <x v="51"/>
    <x v="323"/>
    <x v="94"/>
    <x v="113"/>
    <x v="0"/>
  </r>
  <r>
    <x v="0"/>
    <x v="37"/>
    <x v="37"/>
    <x v="43"/>
    <x v="43"/>
    <x v="43"/>
    <x v="2"/>
    <x v="138"/>
    <x v="249"/>
    <x v="91"/>
    <x v="324"/>
    <x v="90"/>
    <x v="143"/>
    <x v="0"/>
  </r>
  <r>
    <x v="0"/>
    <x v="37"/>
    <x v="37"/>
    <x v="6"/>
    <x v="6"/>
    <x v="6"/>
    <x v="3"/>
    <x v="139"/>
    <x v="2"/>
    <x v="107"/>
    <x v="322"/>
    <x v="41"/>
    <x v="142"/>
    <x v="0"/>
  </r>
  <r>
    <x v="0"/>
    <x v="37"/>
    <x v="37"/>
    <x v="0"/>
    <x v="0"/>
    <x v="0"/>
    <x v="3"/>
    <x v="139"/>
    <x v="2"/>
    <x v="91"/>
    <x v="324"/>
    <x v="94"/>
    <x v="113"/>
    <x v="0"/>
  </r>
  <r>
    <x v="0"/>
    <x v="37"/>
    <x v="37"/>
    <x v="29"/>
    <x v="29"/>
    <x v="29"/>
    <x v="5"/>
    <x v="140"/>
    <x v="250"/>
    <x v="114"/>
    <x v="193"/>
    <x v="83"/>
    <x v="252"/>
    <x v="0"/>
  </r>
  <r>
    <x v="0"/>
    <x v="37"/>
    <x v="37"/>
    <x v="94"/>
    <x v="94"/>
    <x v="94"/>
    <x v="5"/>
    <x v="140"/>
    <x v="250"/>
    <x v="90"/>
    <x v="325"/>
    <x v="41"/>
    <x v="142"/>
    <x v="0"/>
  </r>
  <r>
    <x v="0"/>
    <x v="37"/>
    <x v="37"/>
    <x v="3"/>
    <x v="3"/>
    <x v="3"/>
    <x v="5"/>
    <x v="140"/>
    <x v="250"/>
    <x v="92"/>
    <x v="326"/>
    <x v="94"/>
    <x v="113"/>
    <x v="0"/>
  </r>
  <r>
    <x v="0"/>
    <x v="37"/>
    <x v="37"/>
    <x v="5"/>
    <x v="5"/>
    <x v="5"/>
    <x v="7"/>
    <x v="142"/>
    <x v="94"/>
    <x v="90"/>
    <x v="325"/>
    <x v="90"/>
    <x v="143"/>
    <x v="0"/>
  </r>
  <r>
    <x v="0"/>
    <x v="37"/>
    <x v="37"/>
    <x v="38"/>
    <x v="38"/>
    <x v="38"/>
    <x v="7"/>
    <x v="142"/>
    <x v="94"/>
    <x v="114"/>
    <x v="193"/>
    <x v="41"/>
    <x v="142"/>
    <x v="0"/>
  </r>
  <r>
    <x v="0"/>
    <x v="37"/>
    <x v="37"/>
    <x v="129"/>
    <x v="129"/>
    <x v="129"/>
    <x v="7"/>
    <x v="142"/>
    <x v="94"/>
    <x v="90"/>
    <x v="325"/>
    <x v="90"/>
    <x v="143"/>
    <x v="0"/>
  </r>
  <r>
    <x v="0"/>
    <x v="37"/>
    <x v="37"/>
    <x v="13"/>
    <x v="13"/>
    <x v="13"/>
    <x v="7"/>
    <x v="142"/>
    <x v="94"/>
    <x v="114"/>
    <x v="193"/>
    <x v="41"/>
    <x v="142"/>
    <x v="0"/>
  </r>
  <r>
    <x v="0"/>
    <x v="37"/>
    <x v="37"/>
    <x v="130"/>
    <x v="130"/>
    <x v="130"/>
    <x v="7"/>
    <x v="142"/>
    <x v="94"/>
    <x v="107"/>
    <x v="322"/>
    <x v="94"/>
    <x v="113"/>
    <x v="0"/>
  </r>
  <r>
    <x v="0"/>
    <x v="37"/>
    <x v="37"/>
    <x v="107"/>
    <x v="107"/>
    <x v="107"/>
    <x v="7"/>
    <x v="142"/>
    <x v="94"/>
    <x v="107"/>
    <x v="322"/>
    <x v="94"/>
    <x v="113"/>
    <x v="0"/>
  </r>
  <r>
    <x v="0"/>
    <x v="37"/>
    <x v="37"/>
    <x v="32"/>
    <x v="32"/>
    <x v="32"/>
    <x v="7"/>
    <x v="142"/>
    <x v="94"/>
    <x v="107"/>
    <x v="322"/>
    <x v="94"/>
    <x v="113"/>
    <x v="0"/>
  </r>
  <r>
    <x v="0"/>
    <x v="37"/>
    <x v="37"/>
    <x v="49"/>
    <x v="49"/>
    <x v="49"/>
    <x v="7"/>
    <x v="142"/>
    <x v="94"/>
    <x v="114"/>
    <x v="193"/>
    <x v="41"/>
    <x v="142"/>
    <x v="0"/>
  </r>
  <r>
    <x v="0"/>
    <x v="37"/>
    <x v="37"/>
    <x v="10"/>
    <x v="10"/>
    <x v="10"/>
    <x v="7"/>
    <x v="142"/>
    <x v="94"/>
    <x v="107"/>
    <x v="322"/>
    <x v="94"/>
    <x v="113"/>
    <x v="0"/>
  </r>
  <r>
    <x v="0"/>
    <x v="37"/>
    <x v="37"/>
    <x v="128"/>
    <x v="128"/>
    <x v="128"/>
    <x v="7"/>
    <x v="142"/>
    <x v="94"/>
    <x v="107"/>
    <x v="322"/>
    <x v="94"/>
    <x v="113"/>
    <x v="0"/>
  </r>
  <r>
    <x v="0"/>
    <x v="37"/>
    <x v="37"/>
    <x v="14"/>
    <x v="14"/>
    <x v="14"/>
    <x v="7"/>
    <x v="142"/>
    <x v="94"/>
    <x v="107"/>
    <x v="322"/>
    <x v="94"/>
    <x v="113"/>
    <x v="0"/>
  </r>
  <r>
    <x v="0"/>
    <x v="37"/>
    <x v="37"/>
    <x v="131"/>
    <x v="131"/>
    <x v="131"/>
    <x v="18"/>
    <x v="143"/>
    <x v="251"/>
    <x v="90"/>
    <x v="325"/>
    <x v="94"/>
    <x v="113"/>
    <x v="0"/>
  </r>
  <r>
    <x v="0"/>
    <x v="37"/>
    <x v="37"/>
    <x v="36"/>
    <x v="36"/>
    <x v="36"/>
    <x v="18"/>
    <x v="143"/>
    <x v="251"/>
    <x v="114"/>
    <x v="193"/>
    <x v="90"/>
    <x v="143"/>
    <x v="0"/>
  </r>
  <r>
    <x v="0"/>
    <x v="37"/>
    <x v="37"/>
    <x v="44"/>
    <x v="44"/>
    <x v="44"/>
    <x v="18"/>
    <x v="143"/>
    <x v="251"/>
    <x v="90"/>
    <x v="325"/>
    <x v="94"/>
    <x v="113"/>
    <x v="0"/>
  </r>
  <r>
    <x v="0"/>
    <x v="37"/>
    <x v="37"/>
    <x v="37"/>
    <x v="37"/>
    <x v="37"/>
    <x v="18"/>
    <x v="143"/>
    <x v="251"/>
    <x v="90"/>
    <x v="325"/>
    <x v="94"/>
    <x v="113"/>
    <x v="0"/>
  </r>
  <r>
    <x v="0"/>
    <x v="37"/>
    <x v="37"/>
    <x v="132"/>
    <x v="132"/>
    <x v="132"/>
    <x v="18"/>
    <x v="143"/>
    <x v="251"/>
    <x v="114"/>
    <x v="193"/>
    <x v="90"/>
    <x v="143"/>
    <x v="0"/>
  </r>
  <r>
    <x v="0"/>
    <x v="37"/>
    <x v="37"/>
    <x v="133"/>
    <x v="133"/>
    <x v="133"/>
    <x v="18"/>
    <x v="143"/>
    <x v="251"/>
    <x v="90"/>
    <x v="325"/>
    <x v="94"/>
    <x v="113"/>
    <x v="0"/>
  </r>
  <r>
    <x v="0"/>
    <x v="37"/>
    <x v="37"/>
    <x v="134"/>
    <x v="134"/>
    <x v="134"/>
    <x v="18"/>
    <x v="143"/>
    <x v="251"/>
    <x v="114"/>
    <x v="193"/>
    <x v="90"/>
    <x v="143"/>
    <x v="0"/>
  </r>
  <r>
    <x v="0"/>
    <x v="37"/>
    <x v="37"/>
    <x v="135"/>
    <x v="135"/>
    <x v="135"/>
    <x v="18"/>
    <x v="143"/>
    <x v="251"/>
    <x v="114"/>
    <x v="193"/>
    <x v="90"/>
    <x v="143"/>
    <x v="0"/>
  </r>
  <r>
    <x v="0"/>
    <x v="37"/>
    <x v="37"/>
    <x v="136"/>
    <x v="136"/>
    <x v="136"/>
    <x v="18"/>
    <x v="143"/>
    <x v="251"/>
    <x v="114"/>
    <x v="193"/>
    <x v="90"/>
    <x v="143"/>
    <x v="0"/>
  </r>
  <r>
    <x v="0"/>
    <x v="37"/>
    <x v="37"/>
    <x v="137"/>
    <x v="137"/>
    <x v="137"/>
    <x v="18"/>
    <x v="143"/>
    <x v="251"/>
    <x v="114"/>
    <x v="193"/>
    <x v="90"/>
    <x v="143"/>
    <x v="0"/>
  </r>
  <r>
    <x v="0"/>
    <x v="37"/>
    <x v="37"/>
    <x v="51"/>
    <x v="51"/>
    <x v="51"/>
    <x v="18"/>
    <x v="143"/>
    <x v="251"/>
    <x v="90"/>
    <x v="325"/>
    <x v="94"/>
    <x v="113"/>
    <x v="0"/>
  </r>
  <r>
    <x v="0"/>
    <x v="37"/>
    <x v="37"/>
    <x v="95"/>
    <x v="95"/>
    <x v="95"/>
    <x v="18"/>
    <x v="143"/>
    <x v="251"/>
    <x v="114"/>
    <x v="193"/>
    <x v="90"/>
    <x v="143"/>
    <x v="0"/>
  </r>
  <r>
    <x v="0"/>
    <x v="37"/>
    <x v="37"/>
    <x v="138"/>
    <x v="138"/>
    <x v="138"/>
    <x v="18"/>
    <x v="143"/>
    <x v="251"/>
    <x v="114"/>
    <x v="193"/>
    <x v="90"/>
    <x v="143"/>
    <x v="0"/>
  </r>
  <r>
    <x v="0"/>
    <x v="37"/>
    <x v="37"/>
    <x v="105"/>
    <x v="105"/>
    <x v="105"/>
    <x v="18"/>
    <x v="143"/>
    <x v="251"/>
    <x v="90"/>
    <x v="325"/>
    <x v="94"/>
    <x v="113"/>
    <x v="0"/>
  </r>
  <r>
    <x v="0"/>
    <x v="37"/>
    <x v="37"/>
    <x v="139"/>
    <x v="139"/>
    <x v="139"/>
    <x v="18"/>
    <x v="143"/>
    <x v="251"/>
    <x v="114"/>
    <x v="193"/>
    <x v="94"/>
    <x v="113"/>
    <x v="0"/>
  </r>
  <r>
    <x v="0"/>
    <x v="37"/>
    <x v="37"/>
    <x v="126"/>
    <x v="126"/>
    <x v="126"/>
    <x v="18"/>
    <x v="143"/>
    <x v="251"/>
    <x v="114"/>
    <x v="193"/>
    <x v="90"/>
    <x v="143"/>
    <x v="0"/>
  </r>
  <r>
    <x v="0"/>
    <x v="37"/>
    <x v="37"/>
    <x v="74"/>
    <x v="74"/>
    <x v="74"/>
    <x v="18"/>
    <x v="143"/>
    <x v="251"/>
    <x v="90"/>
    <x v="325"/>
    <x v="94"/>
    <x v="113"/>
    <x v="0"/>
  </r>
  <r>
    <x v="0"/>
    <x v="37"/>
    <x v="37"/>
    <x v="140"/>
    <x v="140"/>
    <x v="140"/>
    <x v="18"/>
    <x v="143"/>
    <x v="251"/>
    <x v="114"/>
    <x v="193"/>
    <x v="90"/>
    <x v="143"/>
    <x v="0"/>
  </r>
  <r>
    <x v="0"/>
    <x v="37"/>
    <x v="37"/>
    <x v="141"/>
    <x v="141"/>
    <x v="141"/>
    <x v="18"/>
    <x v="143"/>
    <x v="251"/>
    <x v="114"/>
    <x v="193"/>
    <x v="90"/>
    <x v="143"/>
    <x v="0"/>
  </r>
  <r>
    <x v="0"/>
    <x v="37"/>
    <x v="37"/>
    <x v="33"/>
    <x v="33"/>
    <x v="33"/>
    <x v="18"/>
    <x v="143"/>
    <x v="251"/>
    <x v="90"/>
    <x v="325"/>
    <x v="94"/>
    <x v="113"/>
    <x v="0"/>
  </r>
  <r>
    <x v="0"/>
    <x v="37"/>
    <x v="37"/>
    <x v="56"/>
    <x v="56"/>
    <x v="56"/>
    <x v="18"/>
    <x v="143"/>
    <x v="251"/>
    <x v="90"/>
    <x v="325"/>
    <x v="94"/>
    <x v="113"/>
    <x v="0"/>
  </r>
  <r>
    <x v="0"/>
    <x v="37"/>
    <x v="37"/>
    <x v="50"/>
    <x v="50"/>
    <x v="50"/>
    <x v="18"/>
    <x v="143"/>
    <x v="251"/>
    <x v="114"/>
    <x v="193"/>
    <x v="94"/>
    <x v="113"/>
    <x v="1"/>
  </r>
  <r>
    <x v="0"/>
    <x v="37"/>
    <x v="37"/>
    <x v="20"/>
    <x v="20"/>
    <x v="20"/>
    <x v="18"/>
    <x v="143"/>
    <x v="251"/>
    <x v="90"/>
    <x v="325"/>
    <x v="94"/>
    <x v="113"/>
    <x v="0"/>
  </r>
  <r>
    <x v="0"/>
    <x v="37"/>
    <x v="37"/>
    <x v="12"/>
    <x v="12"/>
    <x v="12"/>
    <x v="18"/>
    <x v="143"/>
    <x v="251"/>
    <x v="90"/>
    <x v="325"/>
    <x v="94"/>
    <x v="113"/>
    <x v="0"/>
  </r>
  <r>
    <x v="0"/>
    <x v="37"/>
    <x v="37"/>
    <x v="11"/>
    <x v="11"/>
    <x v="11"/>
    <x v="18"/>
    <x v="143"/>
    <x v="251"/>
    <x v="90"/>
    <x v="325"/>
    <x v="94"/>
    <x v="113"/>
    <x v="0"/>
  </r>
  <r>
    <x v="0"/>
    <x v="37"/>
    <x v="37"/>
    <x v="142"/>
    <x v="142"/>
    <x v="142"/>
    <x v="18"/>
    <x v="143"/>
    <x v="251"/>
    <x v="90"/>
    <x v="325"/>
    <x v="94"/>
    <x v="113"/>
    <x v="0"/>
  </r>
  <r>
    <x v="0"/>
    <x v="37"/>
    <x v="37"/>
    <x v="35"/>
    <x v="35"/>
    <x v="35"/>
    <x v="18"/>
    <x v="143"/>
    <x v="251"/>
    <x v="90"/>
    <x v="325"/>
    <x v="94"/>
    <x v="113"/>
    <x v="0"/>
  </r>
  <r>
    <x v="0"/>
    <x v="37"/>
    <x v="37"/>
    <x v="18"/>
    <x v="18"/>
    <x v="18"/>
    <x v="18"/>
    <x v="143"/>
    <x v="251"/>
    <x v="90"/>
    <x v="325"/>
    <x v="94"/>
    <x v="113"/>
    <x v="0"/>
  </r>
  <r>
    <x v="0"/>
    <x v="37"/>
    <x v="37"/>
    <x v="8"/>
    <x v="8"/>
    <x v="8"/>
    <x v="18"/>
    <x v="143"/>
    <x v="251"/>
    <x v="90"/>
    <x v="325"/>
    <x v="94"/>
    <x v="113"/>
    <x v="0"/>
  </r>
  <r>
    <x v="0"/>
    <x v="37"/>
    <x v="37"/>
    <x v="46"/>
    <x v="46"/>
    <x v="46"/>
    <x v="18"/>
    <x v="143"/>
    <x v="251"/>
    <x v="114"/>
    <x v="193"/>
    <x v="90"/>
    <x v="143"/>
    <x v="0"/>
  </r>
  <r>
    <x v="0"/>
    <x v="37"/>
    <x v="37"/>
    <x v="47"/>
    <x v="47"/>
    <x v="47"/>
    <x v="18"/>
    <x v="143"/>
    <x v="251"/>
    <x v="114"/>
    <x v="193"/>
    <x v="90"/>
    <x v="143"/>
    <x v="0"/>
  </r>
  <r>
    <x v="0"/>
    <x v="37"/>
    <x v="37"/>
    <x v="17"/>
    <x v="17"/>
    <x v="17"/>
    <x v="18"/>
    <x v="143"/>
    <x v="251"/>
    <x v="90"/>
    <x v="325"/>
    <x v="94"/>
    <x v="113"/>
    <x v="0"/>
  </r>
  <r>
    <x v="0"/>
    <x v="37"/>
    <x v="37"/>
    <x v="22"/>
    <x v="22"/>
    <x v="22"/>
    <x v="18"/>
    <x v="143"/>
    <x v="251"/>
    <x v="90"/>
    <x v="325"/>
    <x v="94"/>
    <x v="113"/>
    <x v="0"/>
  </r>
  <r>
    <x v="0"/>
    <x v="37"/>
    <x v="37"/>
    <x v="143"/>
    <x v="143"/>
    <x v="143"/>
    <x v="18"/>
    <x v="143"/>
    <x v="251"/>
    <x v="90"/>
    <x v="325"/>
    <x v="94"/>
    <x v="113"/>
    <x v="0"/>
  </r>
  <r>
    <x v="0"/>
    <x v="37"/>
    <x v="37"/>
    <x v="9"/>
    <x v="9"/>
    <x v="9"/>
    <x v="18"/>
    <x v="143"/>
    <x v="251"/>
    <x v="90"/>
    <x v="325"/>
    <x v="94"/>
    <x v="113"/>
    <x v="0"/>
  </r>
  <r>
    <x v="0"/>
    <x v="37"/>
    <x v="37"/>
    <x v="7"/>
    <x v="7"/>
    <x v="7"/>
    <x v="18"/>
    <x v="143"/>
    <x v="251"/>
    <x v="90"/>
    <x v="325"/>
    <x v="94"/>
    <x v="113"/>
    <x v="0"/>
  </r>
  <r>
    <x v="0"/>
    <x v="37"/>
    <x v="37"/>
    <x v="68"/>
    <x v="68"/>
    <x v="68"/>
    <x v="18"/>
    <x v="143"/>
    <x v="251"/>
    <x v="90"/>
    <x v="325"/>
    <x v="94"/>
    <x v="113"/>
    <x v="0"/>
  </r>
  <r>
    <x v="0"/>
    <x v="37"/>
    <x v="37"/>
    <x v="27"/>
    <x v="27"/>
    <x v="27"/>
    <x v="18"/>
    <x v="143"/>
    <x v="251"/>
    <x v="114"/>
    <x v="193"/>
    <x v="90"/>
    <x v="143"/>
    <x v="0"/>
  </r>
  <r>
    <x v="0"/>
    <x v="37"/>
    <x v="37"/>
    <x v="4"/>
    <x v="4"/>
    <x v="4"/>
    <x v="18"/>
    <x v="143"/>
    <x v="251"/>
    <x v="90"/>
    <x v="325"/>
    <x v="94"/>
    <x v="113"/>
    <x v="0"/>
  </r>
  <r>
    <x v="0"/>
    <x v="37"/>
    <x v="37"/>
    <x v="81"/>
    <x v="81"/>
    <x v="81"/>
    <x v="18"/>
    <x v="143"/>
    <x v="251"/>
    <x v="90"/>
    <x v="325"/>
    <x v="94"/>
    <x v="113"/>
    <x v="0"/>
  </r>
  <r>
    <x v="0"/>
    <x v="37"/>
    <x v="37"/>
    <x v="144"/>
    <x v="144"/>
    <x v="144"/>
    <x v="18"/>
    <x v="143"/>
    <x v="251"/>
    <x v="90"/>
    <x v="325"/>
    <x v="94"/>
    <x v="113"/>
    <x v="0"/>
  </r>
  <r>
    <x v="0"/>
    <x v="38"/>
    <x v="38"/>
    <x v="0"/>
    <x v="0"/>
    <x v="0"/>
    <x v="0"/>
    <x v="98"/>
    <x v="252"/>
    <x v="103"/>
    <x v="327"/>
    <x v="90"/>
    <x v="37"/>
    <x v="0"/>
  </r>
  <r>
    <x v="0"/>
    <x v="38"/>
    <x v="38"/>
    <x v="2"/>
    <x v="2"/>
    <x v="2"/>
    <x v="1"/>
    <x v="116"/>
    <x v="253"/>
    <x v="65"/>
    <x v="328"/>
    <x v="90"/>
    <x v="37"/>
    <x v="0"/>
  </r>
  <r>
    <x v="0"/>
    <x v="38"/>
    <x v="38"/>
    <x v="15"/>
    <x v="15"/>
    <x v="15"/>
    <x v="2"/>
    <x v="123"/>
    <x v="206"/>
    <x v="91"/>
    <x v="329"/>
    <x v="62"/>
    <x v="253"/>
    <x v="0"/>
  </r>
  <r>
    <x v="0"/>
    <x v="38"/>
    <x v="38"/>
    <x v="18"/>
    <x v="18"/>
    <x v="18"/>
    <x v="3"/>
    <x v="133"/>
    <x v="254"/>
    <x v="91"/>
    <x v="329"/>
    <x v="42"/>
    <x v="254"/>
    <x v="0"/>
  </r>
  <r>
    <x v="0"/>
    <x v="38"/>
    <x v="38"/>
    <x v="9"/>
    <x v="9"/>
    <x v="9"/>
    <x v="3"/>
    <x v="133"/>
    <x v="254"/>
    <x v="48"/>
    <x v="330"/>
    <x v="90"/>
    <x v="37"/>
    <x v="0"/>
  </r>
  <r>
    <x v="0"/>
    <x v="38"/>
    <x v="38"/>
    <x v="27"/>
    <x v="27"/>
    <x v="27"/>
    <x v="3"/>
    <x v="133"/>
    <x v="254"/>
    <x v="107"/>
    <x v="331"/>
    <x v="95"/>
    <x v="255"/>
    <x v="0"/>
  </r>
  <r>
    <x v="0"/>
    <x v="38"/>
    <x v="38"/>
    <x v="5"/>
    <x v="5"/>
    <x v="5"/>
    <x v="6"/>
    <x v="134"/>
    <x v="193"/>
    <x v="100"/>
    <x v="332"/>
    <x v="25"/>
    <x v="26"/>
    <x v="0"/>
  </r>
  <r>
    <x v="0"/>
    <x v="38"/>
    <x v="38"/>
    <x v="3"/>
    <x v="3"/>
    <x v="3"/>
    <x v="6"/>
    <x v="134"/>
    <x v="193"/>
    <x v="48"/>
    <x v="330"/>
    <x v="94"/>
    <x v="113"/>
    <x v="0"/>
  </r>
  <r>
    <x v="0"/>
    <x v="38"/>
    <x v="38"/>
    <x v="14"/>
    <x v="14"/>
    <x v="14"/>
    <x v="6"/>
    <x v="134"/>
    <x v="193"/>
    <x v="63"/>
    <x v="333"/>
    <x v="41"/>
    <x v="256"/>
    <x v="0"/>
  </r>
  <r>
    <x v="0"/>
    <x v="38"/>
    <x v="38"/>
    <x v="1"/>
    <x v="1"/>
    <x v="1"/>
    <x v="8"/>
    <x v="135"/>
    <x v="255"/>
    <x v="51"/>
    <x v="334"/>
    <x v="83"/>
    <x v="83"/>
    <x v="0"/>
  </r>
  <r>
    <x v="0"/>
    <x v="38"/>
    <x v="38"/>
    <x v="13"/>
    <x v="13"/>
    <x v="13"/>
    <x v="9"/>
    <x v="141"/>
    <x v="55"/>
    <x v="91"/>
    <x v="329"/>
    <x v="84"/>
    <x v="257"/>
    <x v="0"/>
  </r>
  <r>
    <x v="0"/>
    <x v="38"/>
    <x v="38"/>
    <x v="8"/>
    <x v="8"/>
    <x v="8"/>
    <x v="9"/>
    <x v="141"/>
    <x v="55"/>
    <x v="94"/>
    <x v="335"/>
    <x v="90"/>
    <x v="37"/>
    <x v="0"/>
  </r>
  <r>
    <x v="0"/>
    <x v="38"/>
    <x v="38"/>
    <x v="17"/>
    <x v="17"/>
    <x v="17"/>
    <x v="9"/>
    <x v="141"/>
    <x v="55"/>
    <x v="107"/>
    <x v="331"/>
    <x v="82"/>
    <x v="258"/>
    <x v="0"/>
  </r>
  <r>
    <x v="0"/>
    <x v="38"/>
    <x v="38"/>
    <x v="22"/>
    <x v="22"/>
    <x v="22"/>
    <x v="9"/>
    <x v="141"/>
    <x v="55"/>
    <x v="94"/>
    <x v="335"/>
    <x v="90"/>
    <x v="37"/>
    <x v="0"/>
  </r>
  <r>
    <x v="0"/>
    <x v="38"/>
    <x v="38"/>
    <x v="26"/>
    <x v="26"/>
    <x v="26"/>
    <x v="9"/>
    <x v="141"/>
    <x v="55"/>
    <x v="51"/>
    <x v="334"/>
    <x v="41"/>
    <x v="256"/>
    <x v="0"/>
  </r>
  <r>
    <x v="0"/>
    <x v="38"/>
    <x v="38"/>
    <x v="4"/>
    <x v="4"/>
    <x v="4"/>
    <x v="9"/>
    <x v="141"/>
    <x v="55"/>
    <x v="51"/>
    <x v="334"/>
    <x v="41"/>
    <x v="256"/>
    <x v="0"/>
  </r>
  <r>
    <x v="0"/>
    <x v="38"/>
    <x v="38"/>
    <x v="6"/>
    <x v="6"/>
    <x v="6"/>
    <x v="15"/>
    <x v="136"/>
    <x v="84"/>
    <x v="114"/>
    <x v="193"/>
    <x v="42"/>
    <x v="254"/>
    <x v="0"/>
  </r>
  <r>
    <x v="0"/>
    <x v="38"/>
    <x v="38"/>
    <x v="142"/>
    <x v="142"/>
    <x v="142"/>
    <x v="15"/>
    <x v="136"/>
    <x v="84"/>
    <x v="94"/>
    <x v="335"/>
    <x v="94"/>
    <x v="113"/>
    <x v="0"/>
  </r>
  <r>
    <x v="0"/>
    <x v="38"/>
    <x v="38"/>
    <x v="31"/>
    <x v="31"/>
    <x v="31"/>
    <x v="15"/>
    <x v="136"/>
    <x v="84"/>
    <x v="90"/>
    <x v="336"/>
    <x v="82"/>
    <x v="258"/>
    <x v="0"/>
  </r>
  <r>
    <x v="0"/>
    <x v="38"/>
    <x v="38"/>
    <x v="24"/>
    <x v="24"/>
    <x v="24"/>
    <x v="15"/>
    <x v="136"/>
    <x v="84"/>
    <x v="91"/>
    <x v="329"/>
    <x v="83"/>
    <x v="83"/>
    <x v="0"/>
  </r>
  <r>
    <x v="0"/>
    <x v="39"/>
    <x v="39"/>
    <x v="0"/>
    <x v="0"/>
    <x v="0"/>
    <x v="0"/>
    <x v="145"/>
    <x v="256"/>
    <x v="86"/>
    <x v="337"/>
    <x v="83"/>
    <x v="259"/>
    <x v="0"/>
  </r>
  <r>
    <x v="0"/>
    <x v="39"/>
    <x v="39"/>
    <x v="1"/>
    <x v="1"/>
    <x v="1"/>
    <x v="1"/>
    <x v="100"/>
    <x v="257"/>
    <x v="65"/>
    <x v="338"/>
    <x v="41"/>
    <x v="260"/>
    <x v="0"/>
  </r>
  <r>
    <x v="0"/>
    <x v="39"/>
    <x v="39"/>
    <x v="3"/>
    <x v="3"/>
    <x v="3"/>
    <x v="2"/>
    <x v="116"/>
    <x v="258"/>
    <x v="58"/>
    <x v="339"/>
    <x v="83"/>
    <x v="259"/>
    <x v="0"/>
  </r>
  <r>
    <x v="0"/>
    <x v="39"/>
    <x v="39"/>
    <x v="2"/>
    <x v="2"/>
    <x v="2"/>
    <x v="3"/>
    <x v="119"/>
    <x v="259"/>
    <x v="65"/>
    <x v="338"/>
    <x v="94"/>
    <x v="113"/>
    <x v="0"/>
  </r>
  <r>
    <x v="0"/>
    <x v="39"/>
    <x v="39"/>
    <x v="5"/>
    <x v="5"/>
    <x v="5"/>
    <x v="4"/>
    <x v="129"/>
    <x v="260"/>
    <x v="94"/>
    <x v="340"/>
    <x v="95"/>
    <x v="261"/>
    <x v="0"/>
  </r>
  <r>
    <x v="0"/>
    <x v="39"/>
    <x v="39"/>
    <x v="7"/>
    <x v="7"/>
    <x v="7"/>
    <x v="5"/>
    <x v="134"/>
    <x v="241"/>
    <x v="48"/>
    <x v="161"/>
    <x v="94"/>
    <x v="113"/>
    <x v="0"/>
  </r>
  <r>
    <x v="0"/>
    <x v="39"/>
    <x v="39"/>
    <x v="132"/>
    <x v="132"/>
    <x v="132"/>
    <x v="6"/>
    <x v="135"/>
    <x v="94"/>
    <x v="51"/>
    <x v="341"/>
    <x v="83"/>
    <x v="259"/>
    <x v="0"/>
  </r>
  <r>
    <x v="0"/>
    <x v="39"/>
    <x v="39"/>
    <x v="12"/>
    <x v="12"/>
    <x v="12"/>
    <x v="6"/>
    <x v="135"/>
    <x v="94"/>
    <x v="63"/>
    <x v="280"/>
    <x v="94"/>
    <x v="113"/>
    <x v="1"/>
  </r>
  <r>
    <x v="0"/>
    <x v="39"/>
    <x v="39"/>
    <x v="8"/>
    <x v="8"/>
    <x v="8"/>
    <x v="6"/>
    <x v="135"/>
    <x v="94"/>
    <x v="94"/>
    <x v="340"/>
    <x v="41"/>
    <x v="260"/>
    <x v="0"/>
  </r>
  <r>
    <x v="0"/>
    <x v="39"/>
    <x v="39"/>
    <x v="9"/>
    <x v="9"/>
    <x v="9"/>
    <x v="6"/>
    <x v="135"/>
    <x v="94"/>
    <x v="34"/>
    <x v="285"/>
    <x v="94"/>
    <x v="113"/>
    <x v="0"/>
  </r>
  <r>
    <x v="0"/>
    <x v="39"/>
    <x v="39"/>
    <x v="4"/>
    <x v="4"/>
    <x v="4"/>
    <x v="6"/>
    <x v="135"/>
    <x v="94"/>
    <x v="34"/>
    <x v="285"/>
    <x v="94"/>
    <x v="113"/>
    <x v="0"/>
  </r>
  <r>
    <x v="0"/>
    <x v="39"/>
    <x v="39"/>
    <x v="14"/>
    <x v="14"/>
    <x v="14"/>
    <x v="6"/>
    <x v="135"/>
    <x v="94"/>
    <x v="63"/>
    <x v="280"/>
    <x v="90"/>
    <x v="262"/>
    <x v="0"/>
  </r>
  <r>
    <x v="0"/>
    <x v="39"/>
    <x v="39"/>
    <x v="16"/>
    <x v="16"/>
    <x v="16"/>
    <x v="11"/>
    <x v="141"/>
    <x v="105"/>
    <x v="92"/>
    <x v="103"/>
    <x v="25"/>
    <x v="225"/>
    <x v="0"/>
  </r>
  <r>
    <x v="0"/>
    <x v="39"/>
    <x v="39"/>
    <x v="20"/>
    <x v="20"/>
    <x v="20"/>
    <x v="11"/>
    <x v="141"/>
    <x v="105"/>
    <x v="94"/>
    <x v="340"/>
    <x v="90"/>
    <x v="262"/>
    <x v="0"/>
  </r>
  <r>
    <x v="0"/>
    <x v="39"/>
    <x v="39"/>
    <x v="22"/>
    <x v="22"/>
    <x v="22"/>
    <x v="11"/>
    <x v="141"/>
    <x v="105"/>
    <x v="94"/>
    <x v="340"/>
    <x v="90"/>
    <x v="262"/>
    <x v="0"/>
  </r>
  <r>
    <x v="0"/>
    <x v="39"/>
    <x v="39"/>
    <x v="6"/>
    <x v="6"/>
    <x v="6"/>
    <x v="14"/>
    <x v="136"/>
    <x v="31"/>
    <x v="114"/>
    <x v="193"/>
    <x v="42"/>
    <x v="263"/>
    <x v="0"/>
  </r>
  <r>
    <x v="0"/>
    <x v="39"/>
    <x v="39"/>
    <x v="42"/>
    <x v="42"/>
    <x v="42"/>
    <x v="14"/>
    <x v="136"/>
    <x v="31"/>
    <x v="100"/>
    <x v="30"/>
    <x v="41"/>
    <x v="260"/>
    <x v="0"/>
  </r>
  <r>
    <x v="0"/>
    <x v="39"/>
    <x v="39"/>
    <x v="32"/>
    <x v="32"/>
    <x v="32"/>
    <x v="14"/>
    <x v="136"/>
    <x v="31"/>
    <x v="94"/>
    <x v="340"/>
    <x v="94"/>
    <x v="113"/>
    <x v="0"/>
  </r>
  <r>
    <x v="0"/>
    <x v="39"/>
    <x v="39"/>
    <x v="11"/>
    <x v="11"/>
    <x v="11"/>
    <x v="14"/>
    <x v="136"/>
    <x v="31"/>
    <x v="92"/>
    <x v="103"/>
    <x v="84"/>
    <x v="47"/>
    <x v="0"/>
  </r>
  <r>
    <x v="0"/>
    <x v="39"/>
    <x v="39"/>
    <x v="10"/>
    <x v="10"/>
    <x v="10"/>
    <x v="14"/>
    <x v="136"/>
    <x v="31"/>
    <x v="91"/>
    <x v="101"/>
    <x v="83"/>
    <x v="259"/>
    <x v="0"/>
  </r>
  <r>
    <x v="0"/>
    <x v="40"/>
    <x v="40"/>
    <x v="5"/>
    <x v="5"/>
    <x v="5"/>
    <x v="0"/>
    <x v="120"/>
    <x v="261"/>
    <x v="58"/>
    <x v="342"/>
    <x v="90"/>
    <x v="264"/>
    <x v="0"/>
  </r>
  <r>
    <x v="0"/>
    <x v="40"/>
    <x v="40"/>
    <x v="6"/>
    <x v="6"/>
    <x v="6"/>
    <x v="1"/>
    <x v="134"/>
    <x v="262"/>
    <x v="63"/>
    <x v="343"/>
    <x v="41"/>
    <x v="227"/>
    <x v="0"/>
  </r>
  <r>
    <x v="0"/>
    <x v="40"/>
    <x v="40"/>
    <x v="0"/>
    <x v="0"/>
    <x v="0"/>
    <x v="1"/>
    <x v="134"/>
    <x v="262"/>
    <x v="48"/>
    <x v="344"/>
    <x v="94"/>
    <x v="113"/>
    <x v="0"/>
  </r>
  <r>
    <x v="0"/>
    <x v="40"/>
    <x v="40"/>
    <x v="2"/>
    <x v="2"/>
    <x v="2"/>
    <x v="3"/>
    <x v="136"/>
    <x v="263"/>
    <x v="94"/>
    <x v="114"/>
    <x v="94"/>
    <x v="113"/>
    <x v="0"/>
  </r>
  <r>
    <x v="0"/>
    <x v="40"/>
    <x v="40"/>
    <x v="42"/>
    <x v="42"/>
    <x v="42"/>
    <x v="4"/>
    <x v="138"/>
    <x v="264"/>
    <x v="100"/>
    <x v="69"/>
    <x v="94"/>
    <x v="113"/>
    <x v="0"/>
  </r>
  <r>
    <x v="0"/>
    <x v="40"/>
    <x v="40"/>
    <x v="35"/>
    <x v="35"/>
    <x v="35"/>
    <x v="4"/>
    <x v="138"/>
    <x v="264"/>
    <x v="91"/>
    <x v="267"/>
    <x v="90"/>
    <x v="264"/>
    <x v="0"/>
  </r>
  <r>
    <x v="0"/>
    <x v="40"/>
    <x v="40"/>
    <x v="46"/>
    <x v="46"/>
    <x v="46"/>
    <x v="4"/>
    <x v="138"/>
    <x v="264"/>
    <x v="92"/>
    <x v="332"/>
    <x v="90"/>
    <x v="264"/>
    <x v="1"/>
  </r>
  <r>
    <x v="0"/>
    <x v="40"/>
    <x v="40"/>
    <x v="22"/>
    <x v="22"/>
    <x v="22"/>
    <x v="4"/>
    <x v="138"/>
    <x v="264"/>
    <x v="91"/>
    <x v="267"/>
    <x v="90"/>
    <x v="264"/>
    <x v="0"/>
  </r>
  <r>
    <x v="0"/>
    <x v="40"/>
    <x v="40"/>
    <x v="44"/>
    <x v="44"/>
    <x v="44"/>
    <x v="7"/>
    <x v="139"/>
    <x v="265"/>
    <x v="107"/>
    <x v="269"/>
    <x v="41"/>
    <x v="227"/>
    <x v="0"/>
  </r>
  <r>
    <x v="0"/>
    <x v="40"/>
    <x v="40"/>
    <x v="29"/>
    <x v="29"/>
    <x v="29"/>
    <x v="7"/>
    <x v="139"/>
    <x v="265"/>
    <x v="107"/>
    <x v="269"/>
    <x v="41"/>
    <x v="227"/>
    <x v="0"/>
  </r>
  <r>
    <x v="0"/>
    <x v="40"/>
    <x v="40"/>
    <x v="13"/>
    <x v="13"/>
    <x v="13"/>
    <x v="7"/>
    <x v="139"/>
    <x v="265"/>
    <x v="92"/>
    <x v="332"/>
    <x v="90"/>
    <x v="264"/>
    <x v="0"/>
  </r>
  <r>
    <x v="0"/>
    <x v="40"/>
    <x v="40"/>
    <x v="12"/>
    <x v="12"/>
    <x v="12"/>
    <x v="7"/>
    <x v="139"/>
    <x v="265"/>
    <x v="91"/>
    <x v="267"/>
    <x v="94"/>
    <x v="113"/>
    <x v="0"/>
  </r>
  <r>
    <x v="0"/>
    <x v="40"/>
    <x v="40"/>
    <x v="28"/>
    <x v="28"/>
    <x v="28"/>
    <x v="7"/>
    <x v="139"/>
    <x v="265"/>
    <x v="107"/>
    <x v="269"/>
    <x v="41"/>
    <x v="227"/>
    <x v="0"/>
  </r>
  <r>
    <x v="0"/>
    <x v="40"/>
    <x v="40"/>
    <x v="3"/>
    <x v="3"/>
    <x v="3"/>
    <x v="7"/>
    <x v="139"/>
    <x v="265"/>
    <x v="91"/>
    <x v="267"/>
    <x v="94"/>
    <x v="113"/>
    <x v="0"/>
  </r>
  <r>
    <x v="0"/>
    <x v="40"/>
    <x v="40"/>
    <x v="7"/>
    <x v="7"/>
    <x v="7"/>
    <x v="7"/>
    <x v="139"/>
    <x v="265"/>
    <x v="91"/>
    <x v="267"/>
    <x v="94"/>
    <x v="113"/>
    <x v="0"/>
  </r>
  <r>
    <x v="0"/>
    <x v="40"/>
    <x v="40"/>
    <x v="4"/>
    <x v="4"/>
    <x v="4"/>
    <x v="7"/>
    <x v="139"/>
    <x v="265"/>
    <x v="91"/>
    <x v="267"/>
    <x v="94"/>
    <x v="113"/>
    <x v="0"/>
  </r>
  <r>
    <x v="0"/>
    <x v="40"/>
    <x v="40"/>
    <x v="41"/>
    <x v="41"/>
    <x v="41"/>
    <x v="7"/>
    <x v="139"/>
    <x v="265"/>
    <x v="114"/>
    <x v="193"/>
    <x v="84"/>
    <x v="228"/>
    <x v="0"/>
  </r>
  <r>
    <x v="0"/>
    <x v="40"/>
    <x v="40"/>
    <x v="108"/>
    <x v="108"/>
    <x v="108"/>
    <x v="16"/>
    <x v="140"/>
    <x v="86"/>
    <x v="107"/>
    <x v="269"/>
    <x v="90"/>
    <x v="264"/>
    <x v="0"/>
  </r>
  <r>
    <x v="0"/>
    <x v="40"/>
    <x v="40"/>
    <x v="32"/>
    <x v="32"/>
    <x v="32"/>
    <x v="16"/>
    <x v="140"/>
    <x v="86"/>
    <x v="90"/>
    <x v="52"/>
    <x v="41"/>
    <x v="227"/>
    <x v="0"/>
  </r>
  <r>
    <x v="0"/>
    <x v="40"/>
    <x v="40"/>
    <x v="1"/>
    <x v="1"/>
    <x v="1"/>
    <x v="16"/>
    <x v="140"/>
    <x v="86"/>
    <x v="92"/>
    <x v="332"/>
    <x v="94"/>
    <x v="113"/>
    <x v="0"/>
  </r>
  <r>
    <x v="0"/>
    <x v="40"/>
    <x v="40"/>
    <x v="9"/>
    <x v="9"/>
    <x v="9"/>
    <x v="16"/>
    <x v="140"/>
    <x v="86"/>
    <x v="92"/>
    <x v="332"/>
    <x v="94"/>
    <x v="113"/>
    <x v="0"/>
  </r>
  <r>
    <x v="0"/>
    <x v="40"/>
    <x v="40"/>
    <x v="14"/>
    <x v="14"/>
    <x v="14"/>
    <x v="16"/>
    <x v="140"/>
    <x v="86"/>
    <x v="107"/>
    <x v="269"/>
    <x v="90"/>
    <x v="264"/>
    <x v="0"/>
  </r>
  <r>
    <x v="0"/>
    <x v="41"/>
    <x v="41"/>
    <x v="1"/>
    <x v="1"/>
    <x v="1"/>
    <x v="0"/>
    <x v="110"/>
    <x v="158"/>
    <x v="47"/>
    <x v="345"/>
    <x v="90"/>
    <x v="256"/>
    <x v="0"/>
  </r>
  <r>
    <x v="0"/>
    <x v="41"/>
    <x v="41"/>
    <x v="0"/>
    <x v="0"/>
    <x v="0"/>
    <x v="1"/>
    <x v="121"/>
    <x v="266"/>
    <x v="31"/>
    <x v="346"/>
    <x v="94"/>
    <x v="113"/>
    <x v="0"/>
  </r>
  <r>
    <x v="0"/>
    <x v="41"/>
    <x v="41"/>
    <x v="2"/>
    <x v="2"/>
    <x v="2"/>
    <x v="2"/>
    <x v="123"/>
    <x v="205"/>
    <x v="81"/>
    <x v="347"/>
    <x v="94"/>
    <x v="113"/>
    <x v="0"/>
  </r>
  <r>
    <x v="0"/>
    <x v="41"/>
    <x v="41"/>
    <x v="5"/>
    <x v="5"/>
    <x v="5"/>
    <x v="3"/>
    <x v="133"/>
    <x v="157"/>
    <x v="48"/>
    <x v="348"/>
    <x v="90"/>
    <x v="256"/>
    <x v="0"/>
  </r>
  <r>
    <x v="0"/>
    <x v="41"/>
    <x v="41"/>
    <x v="28"/>
    <x v="28"/>
    <x v="28"/>
    <x v="3"/>
    <x v="133"/>
    <x v="157"/>
    <x v="51"/>
    <x v="349"/>
    <x v="25"/>
    <x v="265"/>
    <x v="0"/>
  </r>
  <r>
    <x v="0"/>
    <x v="41"/>
    <x v="41"/>
    <x v="6"/>
    <x v="6"/>
    <x v="6"/>
    <x v="5"/>
    <x v="135"/>
    <x v="64"/>
    <x v="100"/>
    <x v="187"/>
    <x v="84"/>
    <x v="253"/>
    <x v="0"/>
  </r>
  <r>
    <x v="0"/>
    <x v="41"/>
    <x v="41"/>
    <x v="22"/>
    <x v="22"/>
    <x v="22"/>
    <x v="5"/>
    <x v="135"/>
    <x v="64"/>
    <x v="63"/>
    <x v="350"/>
    <x v="90"/>
    <x v="256"/>
    <x v="0"/>
  </r>
  <r>
    <x v="0"/>
    <x v="41"/>
    <x v="41"/>
    <x v="8"/>
    <x v="8"/>
    <x v="8"/>
    <x v="19"/>
    <x v="141"/>
    <x v="267"/>
    <x v="94"/>
    <x v="100"/>
    <x v="90"/>
    <x v="256"/>
    <x v="0"/>
  </r>
  <r>
    <x v="0"/>
    <x v="41"/>
    <x v="41"/>
    <x v="10"/>
    <x v="10"/>
    <x v="10"/>
    <x v="19"/>
    <x v="141"/>
    <x v="267"/>
    <x v="94"/>
    <x v="100"/>
    <x v="90"/>
    <x v="256"/>
    <x v="0"/>
  </r>
  <r>
    <x v="0"/>
    <x v="41"/>
    <x v="41"/>
    <x v="20"/>
    <x v="20"/>
    <x v="20"/>
    <x v="8"/>
    <x v="136"/>
    <x v="6"/>
    <x v="94"/>
    <x v="100"/>
    <x v="94"/>
    <x v="113"/>
    <x v="0"/>
  </r>
  <r>
    <x v="0"/>
    <x v="41"/>
    <x v="41"/>
    <x v="9"/>
    <x v="9"/>
    <x v="9"/>
    <x v="8"/>
    <x v="136"/>
    <x v="6"/>
    <x v="94"/>
    <x v="100"/>
    <x v="94"/>
    <x v="113"/>
    <x v="0"/>
  </r>
  <r>
    <x v="0"/>
    <x v="41"/>
    <x v="41"/>
    <x v="7"/>
    <x v="7"/>
    <x v="7"/>
    <x v="8"/>
    <x v="136"/>
    <x v="6"/>
    <x v="94"/>
    <x v="100"/>
    <x v="94"/>
    <x v="113"/>
    <x v="0"/>
  </r>
  <r>
    <x v="0"/>
    <x v="41"/>
    <x v="41"/>
    <x v="15"/>
    <x v="15"/>
    <x v="15"/>
    <x v="11"/>
    <x v="137"/>
    <x v="135"/>
    <x v="91"/>
    <x v="271"/>
    <x v="41"/>
    <x v="257"/>
    <x v="0"/>
  </r>
  <r>
    <x v="0"/>
    <x v="41"/>
    <x v="41"/>
    <x v="13"/>
    <x v="13"/>
    <x v="13"/>
    <x v="11"/>
    <x v="137"/>
    <x v="135"/>
    <x v="91"/>
    <x v="271"/>
    <x v="41"/>
    <x v="257"/>
    <x v="0"/>
  </r>
  <r>
    <x v="0"/>
    <x v="41"/>
    <x v="41"/>
    <x v="32"/>
    <x v="32"/>
    <x v="32"/>
    <x v="11"/>
    <x v="137"/>
    <x v="135"/>
    <x v="100"/>
    <x v="187"/>
    <x v="90"/>
    <x v="256"/>
    <x v="0"/>
  </r>
  <r>
    <x v="0"/>
    <x v="41"/>
    <x v="41"/>
    <x v="12"/>
    <x v="12"/>
    <x v="12"/>
    <x v="14"/>
    <x v="138"/>
    <x v="75"/>
    <x v="100"/>
    <x v="187"/>
    <x v="94"/>
    <x v="113"/>
    <x v="0"/>
  </r>
  <r>
    <x v="0"/>
    <x v="41"/>
    <x v="41"/>
    <x v="53"/>
    <x v="53"/>
    <x v="53"/>
    <x v="14"/>
    <x v="138"/>
    <x v="75"/>
    <x v="100"/>
    <x v="187"/>
    <x v="94"/>
    <x v="113"/>
    <x v="0"/>
  </r>
  <r>
    <x v="0"/>
    <x v="41"/>
    <x v="41"/>
    <x v="3"/>
    <x v="3"/>
    <x v="3"/>
    <x v="14"/>
    <x v="138"/>
    <x v="75"/>
    <x v="100"/>
    <x v="187"/>
    <x v="94"/>
    <x v="113"/>
    <x v="0"/>
  </r>
  <r>
    <x v="0"/>
    <x v="41"/>
    <x v="41"/>
    <x v="24"/>
    <x v="24"/>
    <x v="24"/>
    <x v="14"/>
    <x v="138"/>
    <x v="75"/>
    <x v="91"/>
    <x v="271"/>
    <x v="90"/>
    <x v="256"/>
    <x v="0"/>
  </r>
  <r>
    <x v="0"/>
    <x v="41"/>
    <x v="41"/>
    <x v="111"/>
    <x v="111"/>
    <x v="111"/>
    <x v="14"/>
    <x v="138"/>
    <x v="75"/>
    <x v="91"/>
    <x v="271"/>
    <x v="90"/>
    <x v="256"/>
    <x v="0"/>
  </r>
  <r>
    <x v="0"/>
    <x v="41"/>
    <x v="41"/>
    <x v="4"/>
    <x v="4"/>
    <x v="4"/>
    <x v="14"/>
    <x v="138"/>
    <x v="75"/>
    <x v="100"/>
    <x v="187"/>
    <x v="94"/>
    <x v="113"/>
    <x v="0"/>
  </r>
  <r>
    <x v="0"/>
    <x v="42"/>
    <x v="42"/>
    <x v="5"/>
    <x v="5"/>
    <x v="5"/>
    <x v="0"/>
    <x v="123"/>
    <x v="268"/>
    <x v="93"/>
    <x v="351"/>
    <x v="90"/>
    <x v="180"/>
    <x v="0"/>
  </r>
  <r>
    <x v="0"/>
    <x v="42"/>
    <x v="42"/>
    <x v="6"/>
    <x v="6"/>
    <x v="6"/>
    <x v="1"/>
    <x v="138"/>
    <x v="269"/>
    <x v="90"/>
    <x v="352"/>
    <x v="84"/>
    <x v="194"/>
    <x v="0"/>
  </r>
  <r>
    <x v="0"/>
    <x v="42"/>
    <x v="42"/>
    <x v="36"/>
    <x v="36"/>
    <x v="36"/>
    <x v="1"/>
    <x v="138"/>
    <x v="269"/>
    <x v="100"/>
    <x v="353"/>
    <x v="94"/>
    <x v="113"/>
    <x v="0"/>
  </r>
  <r>
    <x v="0"/>
    <x v="42"/>
    <x v="42"/>
    <x v="53"/>
    <x v="53"/>
    <x v="53"/>
    <x v="3"/>
    <x v="139"/>
    <x v="201"/>
    <x v="91"/>
    <x v="354"/>
    <x v="94"/>
    <x v="113"/>
    <x v="0"/>
  </r>
  <r>
    <x v="0"/>
    <x v="42"/>
    <x v="42"/>
    <x v="28"/>
    <x v="28"/>
    <x v="28"/>
    <x v="3"/>
    <x v="139"/>
    <x v="201"/>
    <x v="92"/>
    <x v="355"/>
    <x v="90"/>
    <x v="180"/>
    <x v="0"/>
  </r>
  <r>
    <x v="0"/>
    <x v="42"/>
    <x v="42"/>
    <x v="2"/>
    <x v="2"/>
    <x v="2"/>
    <x v="3"/>
    <x v="139"/>
    <x v="201"/>
    <x v="91"/>
    <x v="354"/>
    <x v="94"/>
    <x v="113"/>
    <x v="0"/>
  </r>
  <r>
    <x v="0"/>
    <x v="42"/>
    <x v="42"/>
    <x v="38"/>
    <x v="38"/>
    <x v="38"/>
    <x v="6"/>
    <x v="140"/>
    <x v="157"/>
    <x v="107"/>
    <x v="335"/>
    <x v="90"/>
    <x v="180"/>
    <x v="0"/>
  </r>
  <r>
    <x v="0"/>
    <x v="42"/>
    <x v="42"/>
    <x v="132"/>
    <x v="132"/>
    <x v="132"/>
    <x v="6"/>
    <x v="140"/>
    <x v="157"/>
    <x v="107"/>
    <x v="335"/>
    <x v="90"/>
    <x v="180"/>
    <x v="0"/>
  </r>
  <r>
    <x v="0"/>
    <x v="42"/>
    <x v="42"/>
    <x v="32"/>
    <x v="32"/>
    <x v="32"/>
    <x v="6"/>
    <x v="140"/>
    <x v="157"/>
    <x v="92"/>
    <x v="355"/>
    <x v="94"/>
    <x v="113"/>
    <x v="0"/>
  </r>
  <r>
    <x v="0"/>
    <x v="42"/>
    <x v="42"/>
    <x v="0"/>
    <x v="0"/>
    <x v="0"/>
    <x v="6"/>
    <x v="140"/>
    <x v="157"/>
    <x v="92"/>
    <x v="355"/>
    <x v="94"/>
    <x v="113"/>
    <x v="0"/>
  </r>
  <r>
    <x v="0"/>
    <x v="42"/>
    <x v="42"/>
    <x v="13"/>
    <x v="13"/>
    <x v="13"/>
    <x v="9"/>
    <x v="142"/>
    <x v="54"/>
    <x v="107"/>
    <x v="335"/>
    <x v="94"/>
    <x v="113"/>
    <x v="0"/>
  </r>
  <r>
    <x v="0"/>
    <x v="42"/>
    <x v="42"/>
    <x v="64"/>
    <x v="64"/>
    <x v="64"/>
    <x v="9"/>
    <x v="142"/>
    <x v="54"/>
    <x v="107"/>
    <x v="335"/>
    <x v="94"/>
    <x v="113"/>
    <x v="0"/>
  </r>
  <r>
    <x v="0"/>
    <x v="42"/>
    <x v="42"/>
    <x v="56"/>
    <x v="56"/>
    <x v="56"/>
    <x v="9"/>
    <x v="142"/>
    <x v="54"/>
    <x v="107"/>
    <x v="335"/>
    <x v="94"/>
    <x v="113"/>
    <x v="0"/>
  </r>
  <r>
    <x v="0"/>
    <x v="42"/>
    <x v="42"/>
    <x v="20"/>
    <x v="20"/>
    <x v="20"/>
    <x v="9"/>
    <x v="142"/>
    <x v="54"/>
    <x v="107"/>
    <x v="335"/>
    <x v="94"/>
    <x v="113"/>
    <x v="0"/>
  </r>
  <r>
    <x v="0"/>
    <x v="42"/>
    <x v="42"/>
    <x v="19"/>
    <x v="19"/>
    <x v="19"/>
    <x v="9"/>
    <x v="142"/>
    <x v="54"/>
    <x v="114"/>
    <x v="193"/>
    <x v="41"/>
    <x v="192"/>
    <x v="0"/>
  </r>
  <r>
    <x v="0"/>
    <x v="42"/>
    <x v="42"/>
    <x v="17"/>
    <x v="17"/>
    <x v="17"/>
    <x v="9"/>
    <x v="142"/>
    <x v="54"/>
    <x v="114"/>
    <x v="193"/>
    <x v="41"/>
    <x v="192"/>
    <x v="0"/>
  </r>
  <r>
    <x v="0"/>
    <x v="42"/>
    <x v="42"/>
    <x v="22"/>
    <x v="22"/>
    <x v="22"/>
    <x v="9"/>
    <x v="142"/>
    <x v="54"/>
    <x v="107"/>
    <x v="335"/>
    <x v="94"/>
    <x v="113"/>
    <x v="0"/>
  </r>
  <r>
    <x v="0"/>
    <x v="42"/>
    <x v="42"/>
    <x v="9"/>
    <x v="9"/>
    <x v="9"/>
    <x v="9"/>
    <x v="142"/>
    <x v="54"/>
    <x v="107"/>
    <x v="335"/>
    <x v="94"/>
    <x v="113"/>
    <x v="0"/>
  </r>
  <r>
    <x v="0"/>
    <x v="42"/>
    <x v="42"/>
    <x v="27"/>
    <x v="27"/>
    <x v="27"/>
    <x v="9"/>
    <x v="142"/>
    <x v="54"/>
    <x v="114"/>
    <x v="193"/>
    <x v="41"/>
    <x v="192"/>
    <x v="0"/>
  </r>
  <r>
    <x v="0"/>
    <x v="42"/>
    <x v="42"/>
    <x v="78"/>
    <x v="78"/>
    <x v="78"/>
    <x v="9"/>
    <x v="142"/>
    <x v="54"/>
    <x v="90"/>
    <x v="352"/>
    <x v="94"/>
    <x v="113"/>
    <x v="0"/>
  </r>
  <r>
    <x v="0"/>
    <x v="43"/>
    <x v="43"/>
    <x v="0"/>
    <x v="0"/>
    <x v="0"/>
    <x v="0"/>
    <x v="93"/>
    <x v="270"/>
    <x v="25"/>
    <x v="323"/>
    <x v="90"/>
    <x v="266"/>
    <x v="0"/>
  </r>
  <r>
    <x v="0"/>
    <x v="43"/>
    <x v="43"/>
    <x v="2"/>
    <x v="2"/>
    <x v="2"/>
    <x v="1"/>
    <x v="110"/>
    <x v="271"/>
    <x v="103"/>
    <x v="356"/>
    <x v="94"/>
    <x v="113"/>
    <x v="0"/>
  </r>
  <r>
    <x v="0"/>
    <x v="43"/>
    <x v="43"/>
    <x v="6"/>
    <x v="6"/>
    <x v="6"/>
    <x v="2"/>
    <x v="116"/>
    <x v="211"/>
    <x v="92"/>
    <x v="89"/>
    <x v="93"/>
    <x v="267"/>
    <x v="0"/>
  </r>
  <r>
    <x v="0"/>
    <x v="43"/>
    <x v="43"/>
    <x v="1"/>
    <x v="1"/>
    <x v="1"/>
    <x v="2"/>
    <x v="116"/>
    <x v="211"/>
    <x v="31"/>
    <x v="326"/>
    <x v="84"/>
    <x v="99"/>
    <x v="0"/>
  </r>
  <r>
    <x v="0"/>
    <x v="43"/>
    <x v="43"/>
    <x v="5"/>
    <x v="5"/>
    <x v="5"/>
    <x v="4"/>
    <x v="122"/>
    <x v="39"/>
    <x v="93"/>
    <x v="357"/>
    <x v="83"/>
    <x v="268"/>
    <x v="0"/>
  </r>
  <r>
    <x v="0"/>
    <x v="43"/>
    <x v="43"/>
    <x v="28"/>
    <x v="28"/>
    <x v="28"/>
    <x v="5"/>
    <x v="130"/>
    <x v="66"/>
    <x v="100"/>
    <x v="325"/>
    <x v="62"/>
    <x v="269"/>
    <x v="0"/>
  </r>
  <r>
    <x v="0"/>
    <x v="43"/>
    <x v="43"/>
    <x v="8"/>
    <x v="8"/>
    <x v="8"/>
    <x v="5"/>
    <x v="130"/>
    <x v="66"/>
    <x v="63"/>
    <x v="358"/>
    <x v="25"/>
    <x v="270"/>
    <x v="0"/>
  </r>
  <r>
    <x v="0"/>
    <x v="43"/>
    <x v="43"/>
    <x v="4"/>
    <x v="4"/>
    <x v="4"/>
    <x v="5"/>
    <x v="130"/>
    <x v="66"/>
    <x v="81"/>
    <x v="64"/>
    <x v="90"/>
    <x v="266"/>
    <x v="0"/>
  </r>
  <r>
    <x v="0"/>
    <x v="43"/>
    <x v="43"/>
    <x v="132"/>
    <x v="132"/>
    <x v="132"/>
    <x v="7"/>
    <x v="123"/>
    <x v="272"/>
    <x v="34"/>
    <x v="224"/>
    <x v="83"/>
    <x v="268"/>
    <x v="0"/>
  </r>
  <r>
    <x v="0"/>
    <x v="43"/>
    <x v="43"/>
    <x v="14"/>
    <x v="14"/>
    <x v="14"/>
    <x v="8"/>
    <x v="133"/>
    <x v="215"/>
    <x v="94"/>
    <x v="272"/>
    <x v="84"/>
    <x v="99"/>
    <x v="0"/>
  </r>
  <r>
    <x v="0"/>
    <x v="43"/>
    <x v="43"/>
    <x v="12"/>
    <x v="12"/>
    <x v="12"/>
    <x v="9"/>
    <x v="134"/>
    <x v="27"/>
    <x v="34"/>
    <x v="224"/>
    <x v="90"/>
    <x v="266"/>
    <x v="0"/>
  </r>
  <r>
    <x v="0"/>
    <x v="43"/>
    <x v="43"/>
    <x v="11"/>
    <x v="11"/>
    <x v="11"/>
    <x v="9"/>
    <x v="134"/>
    <x v="27"/>
    <x v="51"/>
    <x v="359"/>
    <x v="84"/>
    <x v="99"/>
    <x v="0"/>
  </r>
  <r>
    <x v="0"/>
    <x v="43"/>
    <x v="43"/>
    <x v="3"/>
    <x v="3"/>
    <x v="3"/>
    <x v="9"/>
    <x v="134"/>
    <x v="27"/>
    <x v="51"/>
    <x v="359"/>
    <x v="84"/>
    <x v="99"/>
    <x v="0"/>
  </r>
  <r>
    <x v="0"/>
    <x v="43"/>
    <x v="43"/>
    <x v="9"/>
    <x v="9"/>
    <x v="9"/>
    <x v="9"/>
    <x v="134"/>
    <x v="27"/>
    <x v="34"/>
    <x v="224"/>
    <x v="90"/>
    <x v="266"/>
    <x v="0"/>
  </r>
  <r>
    <x v="0"/>
    <x v="43"/>
    <x v="43"/>
    <x v="54"/>
    <x v="54"/>
    <x v="54"/>
    <x v="13"/>
    <x v="135"/>
    <x v="135"/>
    <x v="100"/>
    <x v="325"/>
    <x v="84"/>
    <x v="99"/>
    <x v="0"/>
  </r>
  <r>
    <x v="0"/>
    <x v="43"/>
    <x v="43"/>
    <x v="7"/>
    <x v="7"/>
    <x v="7"/>
    <x v="13"/>
    <x v="135"/>
    <x v="135"/>
    <x v="63"/>
    <x v="358"/>
    <x v="90"/>
    <x v="266"/>
    <x v="0"/>
  </r>
  <r>
    <x v="0"/>
    <x v="43"/>
    <x v="43"/>
    <x v="16"/>
    <x v="16"/>
    <x v="16"/>
    <x v="15"/>
    <x v="141"/>
    <x v="85"/>
    <x v="92"/>
    <x v="89"/>
    <x v="25"/>
    <x v="270"/>
    <x v="0"/>
  </r>
  <r>
    <x v="0"/>
    <x v="43"/>
    <x v="43"/>
    <x v="32"/>
    <x v="32"/>
    <x v="32"/>
    <x v="15"/>
    <x v="141"/>
    <x v="85"/>
    <x v="63"/>
    <x v="358"/>
    <x v="94"/>
    <x v="113"/>
    <x v="0"/>
  </r>
  <r>
    <x v="0"/>
    <x v="43"/>
    <x v="43"/>
    <x v="49"/>
    <x v="49"/>
    <x v="49"/>
    <x v="15"/>
    <x v="141"/>
    <x v="85"/>
    <x v="91"/>
    <x v="360"/>
    <x v="84"/>
    <x v="99"/>
    <x v="0"/>
  </r>
  <r>
    <x v="0"/>
    <x v="43"/>
    <x v="43"/>
    <x v="22"/>
    <x v="22"/>
    <x v="22"/>
    <x v="15"/>
    <x v="141"/>
    <x v="85"/>
    <x v="94"/>
    <x v="272"/>
    <x v="90"/>
    <x v="266"/>
    <x v="0"/>
  </r>
  <r>
    <x v="0"/>
    <x v="43"/>
    <x v="43"/>
    <x v="78"/>
    <x v="78"/>
    <x v="78"/>
    <x v="15"/>
    <x v="141"/>
    <x v="85"/>
    <x v="114"/>
    <x v="193"/>
    <x v="90"/>
    <x v="266"/>
    <x v="0"/>
  </r>
  <r>
    <x v="0"/>
    <x v="44"/>
    <x v="44"/>
    <x v="5"/>
    <x v="5"/>
    <x v="5"/>
    <x v="0"/>
    <x v="133"/>
    <x v="273"/>
    <x v="51"/>
    <x v="361"/>
    <x v="25"/>
    <x v="271"/>
    <x v="0"/>
  </r>
  <r>
    <x v="0"/>
    <x v="44"/>
    <x v="44"/>
    <x v="0"/>
    <x v="0"/>
    <x v="0"/>
    <x v="1"/>
    <x v="134"/>
    <x v="262"/>
    <x v="48"/>
    <x v="362"/>
    <x v="94"/>
    <x v="113"/>
    <x v="0"/>
  </r>
  <r>
    <x v="0"/>
    <x v="44"/>
    <x v="44"/>
    <x v="36"/>
    <x v="36"/>
    <x v="36"/>
    <x v="2"/>
    <x v="136"/>
    <x v="263"/>
    <x v="51"/>
    <x v="361"/>
    <x v="90"/>
    <x v="268"/>
    <x v="0"/>
  </r>
  <r>
    <x v="0"/>
    <x v="44"/>
    <x v="44"/>
    <x v="6"/>
    <x v="6"/>
    <x v="6"/>
    <x v="3"/>
    <x v="137"/>
    <x v="102"/>
    <x v="107"/>
    <x v="271"/>
    <x v="84"/>
    <x v="272"/>
    <x v="0"/>
  </r>
  <r>
    <x v="0"/>
    <x v="44"/>
    <x v="44"/>
    <x v="15"/>
    <x v="15"/>
    <x v="15"/>
    <x v="3"/>
    <x v="137"/>
    <x v="102"/>
    <x v="51"/>
    <x v="361"/>
    <x v="94"/>
    <x v="113"/>
    <x v="0"/>
  </r>
  <r>
    <x v="0"/>
    <x v="44"/>
    <x v="44"/>
    <x v="13"/>
    <x v="13"/>
    <x v="13"/>
    <x v="3"/>
    <x v="137"/>
    <x v="102"/>
    <x v="92"/>
    <x v="8"/>
    <x v="83"/>
    <x v="273"/>
    <x v="0"/>
  </r>
  <r>
    <x v="0"/>
    <x v="44"/>
    <x v="44"/>
    <x v="12"/>
    <x v="12"/>
    <x v="12"/>
    <x v="3"/>
    <x v="137"/>
    <x v="102"/>
    <x v="100"/>
    <x v="363"/>
    <x v="90"/>
    <x v="268"/>
    <x v="0"/>
  </r>
  <r>
    <x v="0"/>
    <x v="44"/>
    <x v="44"/>
    <x v="3"/>
    <x v="3"/>
    <x v="3"/>
    <x v="19"/>
    <x v="138"/>
    <x v="264"/>
    <x v="91"/>
    <x v="231"/>
    <x v="90"/>
    <x v="268"/>
    <x v="0"/>
  </r>
  <r>
    <x v="0"/>
    <x v="44"/>
    <x v="44"/>
    <x v="2"/>
    <x v="2"/>
    <x v="2"/>
    <x v="19"/>
    <x v="138"/>
    <x v="264"/>
    <x v="100"/>
    <x v="363"/>
    <x v="94"/>
    <x v="113"/>
    <x v="0"/>
  </r>
  <r>
    <x v="0"/>
    <x v="44"/>
    <x v="44"/>
    <x v="10"/>
    <x v="10"/>
    <x v="10"/>
    <x v="19"/>
    <x v="138"/>
    <x v="264"/>
    <x v="91"/>
    <x v="231"/>
    <x v="90"/>
    <x v="268"/>
    <x v="0"/>
  </r>
  <r>
    <x v="0"/>
    <x v="44"/>
    <x v="44"/>
    <x v="4"/>
    <x v="4"/>
    <x v="4"/>
    <x v="19"/>
    <x v="138"/>
    <x v="264"/>
    <x v="100"/>
    <x v="363"/>
    <x v="94"/>
    <x v="113"/>
    <x v="0"/>
  </r>
  <r>
    <x v="0"/>
    <x v="44"/>
    <x v="44"/>
    <x v="14"/>
    <x v="14"/>
    <x v="14"/>
    <x v="19"/>
    <x v="138"/>
    <x v="264"/>
    <x v="100"/>
    <x v="363"/>
    <x v="94"/>
    <x v="113"/>
    <x v="0"/>
  </r>
  <r>
    <x v="0"/>
    <x v="44"/>
    <x v="44"/>
    <x v="11"/>
    <x v="11"/>
    <x v="11"/>
    <x v="11"/>
    <x v="139"/>
    <x v="265"/>
    <x v="92"/>
    <x v="8"/>
    <x v="90"/>
    <x v="268"/>
    <x v="0"/>
  </r>
  <r>
    <x v="0"/>
    <x v="44"/>
    <x v="44"/>
    <x v="22"/>
    <x v="22"/>
    <x v="22"/>
    <x v="11"/>
    <x v="139"/>
    <x v="265"/>
    <x v="107"/>
    <x v="271"/>
    <x v="41"/>
    <x v="274"/>
    <x v="0"/>
  </r>
  <r>
    <x v="0"/>
    <x v="44"/>
    <x v="44"/>
    <x v="44"/>
    <x v="44"/>
    <x v="44"/>
    <x v="13"/>
    <x v="140"/>
    <x v="86"/>
    <x v="107"/>
    <x v="271"/>
    <x v="90"/>
    <x v="268"/>
    <x v="0"/>
  </r>
  <r>
    <x v="0"/>
    <x v="44"/>
    <x v="44"/>
    <x v="29"/>
    <x v="29"/>
    <x v="29"/>
    <x v="13"/>
    <x v="140"/>
    <x v="86"/>
    <x v="107"/>
    <x v="271"/>
    <x v="90"/>
    <x v="268"/>
    <x v="0"/>
  </r>
  <r>
    <x v="0"/>
    <x v="44"/>
    <x v="44"/>
    <x v="145"/>
    <x v="145"/>
    <x v="145"/>
    <x v="13"/>
    <x v="140"/>
    <x v="86"/>
    <x v="114"/>
    <x v="193"/>
    <x v="83"/>
    <x v="273"/>
    <x v="0"/>
  </r>
  <r>
    <x v="0"/>
    <x v="44"/>
    <x v="44"/>
    <x v="20"/>
    <x v="20"/>
    <x v="20"/>
    <x v="13"/>
    <x v="140"/>
    <x v="86"/>
    <x v="107"/>
    <x v="271"/>
    <x v="90"/>
    <x v="268"/>
    <x v="0"/>
  </r>
  <r>
    <x v="0"/>
    <x v="44"/>
    <x v="44"/>
    <x v="49"/>
    <x v="49"/>
    <x v="49"/>
    <x v="13"/>
    <x v="140"/>
    <x v="86"/>
    <x v="90"/>
    <x v="63"/>
    <x v="41"/>
    <x v="274"/>
    <x v="0"/>
  </r>
  <r>
    <x v="0"/>
    <x v="44"/>
    <x v="44"/>
    <x v="146"/>
    <x v="146"/>
    <x v="146"/>
    <x v="13"/>
    <x v="140"/>
    <x v="86"/>
    <x v="90"/>
    <x v="63"/>
    <x v="41"/>
    <x v="274"/>
    <x v="0"/>
  </r>
  <r>
    <x v="0"/>
    <x v="44"/>
    <x v="44"/>
    <x v="17"/>
    <x v="17"/>
    <x v="17"/>
    <x v="13"/>
    <x v="140"/>
    <x v="86"/>
    <x v="107"/>
    <x v="271"/>
    <x v="90"/>
    <x v="268"/>
    <x v="0"/>
  </r>
  <r>
    <x v="0"/>
    <x v="44"/>
    <x v="44"/>
    <x v="111"/>
    <x v="111"/>
    <x v="111"/>
    <x v="13"/>
    <x v="140"/>
    <x v="86"/>
    <x v="107"/>
    <x v="271"/>
    <x v="90"/>
    <x v="268"/>
    <x v="0"/>
  </r>
  <r>
    <x v="0"/>
    <x v="44"/>
    <x v="44"/>
    <x v="26"/>
    <x v="26"/>
    <x v="26"/>
    <x v="13"/>
    <x v="140"/>
    <x v="86"/>
    <x v="92"/>
    <x v="8"/>
    <x v="94"/>
    <x v="113"/>
    <x v="0"/>
  </r>
  <r>
    <x v="0"/>
    <x v="45"/>
    <x v="45"/>
    <x v="2"/>
    <x v="2"/>
    <x v="2"/>
    <x v="0"/>
    <x v="123"/>
    <x v="274"/>
    <x v="81"/>
    <x v="364"/>
    <x v="94"/>
    <x v="113"/>
    <x v="0"/>
  </r>
  <r>
    <x v="0"/>
    <x v="45"/>
    <x v="45"/>
    <x v="132"/>
    <x v="132"/>
    <x v="132"/>
    <x v="1"/>
    <x v="135"/>
    <x v="275"/>
    <x v="51"/>
    <x v="365"/>
    <x v="83"/>
    <x v="275"/>
    <x v="0"/>
  </r>
  <r>
    <x v="0"/>
    <x v="45"/>
    <x v="45"/>
    <x v="12"/>
    <x v="12"/>
    <x v="12"/>
    <x v="1"/>
    <x v="135"/>
    <x v="275"/>
    <x v="34"/>
    <x v="366"/>
    <x v="94"/>
    <x v="113"/>
    <x v="0"/>
  </r>
  <r>
    <x v="0"/>
    <x v="45"/>
    <x v="45"/>
    <x v="5"/>
    <x v="5"/>
    <x v="5"/>
    <x v="3"/>
    <x v="136"/>
    <x v="276"/>
    <x v="91"/>
    <x v="242"/>
    <x v="83"/>
    <x v="275"/>
    <x v="0"/>
  </r>
  <r>
    <x v="0"/>
    <x v="45"/>
    <x v="45"/>
    <x v="14"/>
    <x v="14"/>
    <x v="14"/>
    <x v="3"/>
    <x v="136"/>
    <x v="276"/>
    <x v="92"/>
    <x v="367"/>
    <x v="84"/>
    <x v="276"/>
    <x v="0"/>
  </r>
  <r>
    <x v="0"/>
    <x v="45"/>
    <x v="45"/>
    <x v="6"/>
    <x v="6"/>
    <x v="6"/>
    <x v="5"/>
    <x v="137"/>
    <x v="79"/>
    <x v="114"/>
    <x v="193"/>
    <x v="82"/>
    <x v="277"/>
    <x v="0"/>
  </r>
  <r>
    <x v="0"/>
    <x v="45"/>
    <x v="45"/>
    <x v="28"/>
    <x v="28"/>
    <x v="28"/>
    <x v="5"/>
    <x v="137"/>
    <x v="79"/>
    <x v="107"/>
    <x v="368"/>
    <x v="84"/>
    <x v="276"/>
    <x v="0"/>
  </r>
  <r>
    <x v="0"/>
    <x v="45"/>
    <x v="45"/>
    <x v="22"/>
    <x v="22"/>
    <x v="22"/>
    <x v="5"/>
    <x v="137"/>
    <x v="79"/>
    <x v="100"/>
    <x v="369"/>
    <x v="90"/>
    <x v="104"/>
    <x v="0"/>
  </r>
  <r>
    <x v="0"/>
    <x v="45"/>
    <x v="45"/>
    <x v="0"/>
    <x v="0"/>
    <x v="0"/>
    <x v="5"/>
    <x v="137"/>
    <x v="79"/>
    <x v="51"/>
    <x v="365"/>
    <x v="94"/>
    <x v="113"/>
    <x v="0"/>
  </r>
  <r>
    <x v="0"/>
    <x v="45"/>
    <x v="45"/>
    <x v="44"/>
    <x v="44"/>
    <x v="44"/>
    <x v="8"/>
    <x v="139"/>
    <x v="127"/>
    <x v="91"/>
    <x v="242"/>
    <x v="94"/>
    <x v="113"/>
    <x v="0"/>
  </r>
  <r>
    <x v="0"/>
    <x v="45"/>
    <x v="45"/>
    <x v="32"/>
    <x v="32"/>
    <x v="32"/>
    <x v="8"/>
    <x v="139"/>
    <x v="127"/>
    <x v="91"/>
    <x v="242"/>
    <x v="94"/>
    <x v="113"/>
    <x v="0"/>
  </r>
  <r>
    <x v="0"/>
    <x v="45"/>
    <x v="45"/>
    <x v="15"/>
    <x v="15"/>
    <x v="15"/>
    <x v="10"/>
    <x v="140"/>
    <x v="128"/>
    <x v="90"/>
    <x v="134"/>
    <x v="41"/>
    <x v="108"/>
    <x v="0"/>
  </r>
  <r>
    <x v="0"/>
    <x v="45"/>
    <x v="45"/>
    <x v="16"/>
    <x v="16"/>
    <x v="16"/>
    <x v="10"/>
    <x v="140"/>
    <x v="128"/>
    <x v="92"/>
    <x v="367"/>
    <x v="94"/>
    <x v="113"/>
    <x v="0"/>
  </r>
  <r>
    <x v="0"/>
    <x v="45"/>
    <x v="45"/>
    <x v="20"/>
    <x v="20"/>
    <x v="20"/>
    <x v="10"/>
    <x v="140"/>
    <x v="128"/>
    <x v="92"/>
    <x v="367"/>
    <x v="94"/>
    <x v="113"/>
    <x v="0"/>
  </r>
  <r>
    <x v="0"/>
    <x v="45"/>
    <x v="45"/>
    <x v="124"/>
    <x v="124"/>
    <x v="124"/>
    <x v="10"/>
    <x v="140"/>
    <x v="128"/>
    <x v="107"/>
    <x v="368"/>
    <x v="90"/>
    <x v="104"/>
    <x v="0"/>
  </r>
  <r>
    <x v="0"/>
    <x v="45"/>
    <x v="45"/>
    <x v="147"/>
    <x v="147"/>
    <x v="147"/>
    <x v="14"/>
    <x v="142"/>
    <x v="277"/>
    <x v="114"/>
    <x v="193"/>
    <x v="41"/>
    <x v="108"/>
    <x v="0"/>
  </r>
  <r>
    <x v="0"/>
    <x v="45"/>
    <x v="45"/>
    <x v="36"/>
    <x v="36"/>
    <x v="36"/>
    <x v="14"/>
    <x v="142"/>
    <x v="277"/>
    <x v="90"/>
    <x v="134"/>
    <x v="90"/>
    <x v="104"/>
    <x v="0"/>
  </r>
  <r>
    <x v="0"/>
    <x v="45"/>
    <x v="45"/>
    <x v="38"/>
    <x v="38"/>
    <x v="38"/>
    <x v="14"/>
    <x v="142"/>
    <x v="277"/>
    <x v="114"/>
    <x v="193"/>
    <x v="41"/>
    <x v="108"/>
    <x v="0"/>
  </r>
  <r>
    <x v="0"/>
    <x v="45"/>
    <x v="45"/>
    <x v="43"/>
    <x v="43"/>
    <x v="43"/>
    <x v="14"/>
    <x v="142"/>
    <x v="277"/>
    <x v="90"/>
    <x v="134"/>
    <x v="90"/>
    <x v="104"/>
    <x v="0"/>
  </r>
  <r>
    <x v="0"/>
    <x v="45"/>
    <x v="45"/>
    <x v="37"/>
    <x v="37"/>
    <x v="37"/>
    <x v="14"/>
    <x v="142"/>
    <x v="277"/>
    <x v="107"/>
    <x v="368"/>
    <x v="94"/>
    <x v="113"/>
    <x v="0"/>
  </r>
  <r>
    <x v="0"/>
    <x v="45"/>
    <x v="45"/>
    <x v="29"/>
    <x v="29"/>
    <x v="29"/>
    <x v="14"/>
    <x v="142"/>
    <x v="277"/>
    <x v="114"/>
    <x v="193"/>
    <x v="41"/>
    <x v="108"/>
    <x v="0"/>
  </r>
  <r>
    <x v="0"/>
    <x v="45"/>
    <x v="45"/>
    <x v="13"/>
    <x v="13"/>
    <x v="13"/>
    <x v="14"/>
    <x v="142"/>
    <x v="277"/>
    <x v="114"/>
    <x v="193"/>
    <x v="41"/>
    <x v="108"/>
    <x v="0"/>
  </r>
  <r>
    <x v="0"/>
    <x v="45"/>
    <x v="45"/>
    <x v="148"/>
    <x v="148"/>
    <x v="148"/>
    <x v="14"/>
    <x v="142"/>
    <x v="277"/>
    <x v="114"/>
    <x v="193"/>
    <x v="41"/>
    <x v="108"/>
    <x v="0"/>
  </r>
  <r>
    <x v="0"/>
    <x v="45"/>
    <x v="45"/>
    <x v="84"/>
    <x v="84"/>
    <x v="84"/>
    <x v="14"/>
    <x v="142"/>
    <x v="277"/>
    <x v="90"/>
    <x v="134"/>
    <x v="90"/>
    <x v="104"/>
    <x v="0"/>
  </r>
  <r>
    <x v="0"/>
    <x v="45"/>
    <x v="45"/>
    <x v="51"/>
    <x v="51"/>
    <x v="51"/>
    <x v="14"/>
    <x v="142"/>
    <x v="277"/>
    <x v="114"/>
    <x v="193"/>
    <x v="41"/>
    <x v="108"/>
    <x v="0"/>
  </r>
  <r>
    <x v="0"/>
    <x v="45"/>
    <x v="45"/>
    <x v="139"/>
    <x v="139"/>
    <x v="139"/>
    <x v="14"/>
    <x v="142"/>
    <x v="277"/>
    <x v="114"/>
    <x v="193"/>
    <x v="94"/>
    <x v="113"/>
    <x v="0"/>
  </r>
  <r>
    <x v="0"/>
    <x v="45"/>
    <x v="45"/>
    <x v="50"/>
    <x v="50"/>
    <x v="50"/>
    <x v="14"/>
    <x v="142"/>
    <x v="277"/>
    <x v="107"/>
    <x v="368"/>
    <x v="94"/>
    <x v="113"/>
    <x v="0"/>
  </r>
  <r>
    <x v="0"/>
    <x v="45"/>
    <x v="45"/>
    <x v="3"/>
    <x v="3"/>
    <x v="3"/>
    <x v="14"/>
    <x v="142"/>
    <x v="277"/>
    <x v="107"/>
    <x v="368"/>
    <x v="94"/>
    <x v="113"/>
    <x v="0"/>
  </r>
  <r>
    <x v="0"/>
    <x v="45"/>
    <x v="45"/>
    <x v="9"/>
    <x v="9"/>
    <x v="9"/>
    <x v="14"/>
    <x v="142"/>
    <x v="277"/>
    <x v="107"/>
    <x v="368"/>
    <x v="94"/>
    <x v="113"/>
    <x v="0"/>
  </r>
  <r>
    <x v="0"/>
    <x v="45"/>
    <x v="45"/>
    <x v="27"/>
    <x v="27"/>
    <x v="27"/>
    <x v="14"/>
    <x v="142"/>
    <x v="277"/>
    <x v="114"/>
    <x v="193"/>
    <x v="90"/>
    <x v="104"/>
    <x v="0"/>
  </r>
  <r>
    <x v="0"/>
    <x v="45"/>
    <x v="45"/>
    <x v="128"/>
    <x v="128"/>
    <x v="128"/>
    <x v="14"/>
    <x v="142"/>
    <x v="277"/>
    <x v="107"/>
    <x v="368"/>
    <x v="94"/>
    <x v="113"/>
    <x v="0"/>
  </r>
  <r>
    <x v="0"/>
    <x v="46"/>
    <x v="46"/>
    <x v="2"/>
    <x v="2"/>
    <x v="2"/>
    <x v="0"/>
    <x v="130"/>
    <x v="278"/>
    <x v="36"/>
    <x v="370"/>
    <x v="94"/>
    <x v="113"/>
    <x v="0"/>
  </r>
  <r>
    <x v="0"/>
    <x v="46"/>
    <x v="46"/>
    <x v="0"/>
    <x v="0"/>
    <x v="0"/>
    <x v="1"/>
    <x v="134"/>
    <x v="279"/>
    <x v="48"/>
    <x v="305"/>
    <x v="94"/>
    <x v="113"/>
    <x v="0"/>
  </r>
  <r>
    <x v="0"/>
    <x v="46"/>
    <x v="46"/>
    <x v="5"/>
    <x v="5"/>
    <x v="5"/>
    <x v="2"/>
    <x v="135"/>
    <x v="280"/>
    <x v="34"/>
    <x v="371"/>
    <x v="94"/>
    <x v="113"/>
    <x v="0"/>
  </r>
  <r>
    <x v="0"/>
    <x v="46"/>
    <x v="46"/>
    <x v="132"/>
    <x v="132"/>
    <x v="132"/>
    <x v="3"/>
    <x v="136"/>
    <x v="281"/>
    <x v="91"/>
    <x v="372"/>
    <x v="83"/>
    <x v="278"/>
    <x v="0"/>
  </r>
  <r>
    <x v="0"/>
    <x v="46"/>
    <x v="46"/>
    <x v="3"/>
    <x v="3"/>
    <x v="3"/>
    <x v="3"/>
    <x v="136"/>
    <x v="281"/>
    <x v="100"/>
    <x v="174"/>
    <x v="41"/>
    <x v="279"/>
    <x v="0"/>
  </r>
  <r>
    <x v="0"/>
    <x v="46"/>
    <x v="46"/>
    <x v="6"/>
    <x v="6"/>
    <x v="6"/>
    <x v="5"/>
    <x v="137"/>
    <x v="101"/>
    <x v="90"/>
    <x v="373"/>
    <x v="25"/>
    <x v="280"/>
    <x v="0"/>
  </r>
  <r>
    <x v="0"/>
    <x v="46"/>
    <x v="46"/>
    <x v="1"/>
    <x v="1"/>
    <x v="1"/>
    <x v="5"/>
    <x v="137"/>
    <x v="101"/>
    <x v="100"/>
    <x v="174"/>
    <x v="90"/>
    <x v="281"/>
    <x v="0"/>
  </r>
  <r>
    <x v="0"/>
    <x v="46"/>
    <x v="46"/>
    <x v="32"/>
    <x v="32"/>
    <x v="32"/>
    <x v="19"/>
    <x v="138"/>
    <x v="282"/>
    <x v="100"/>
    <x v="174"/>
    <x v="94"/>
    <x v="113"/>
    <x v="0"/>
  </r>
  <r>
    <x v="0"/>
    <x v="46"/>
    <x v="46"/>
    <x v="36"/>
    <x v="36"/>
    <x v="36"/>
    <x v="7"/>
    <x v="139"/>
    <x v="6"/>
    <x v="92"/>
    <x v="5"/>
    <x v="90"/>
    <x v="281"/>
    <x v="0"/>
  </r>
  <r>
    <x v="0"/>
    <x v="46"/>
    <x v="46"/>
    <x v="43"/>
    <x v="43"/>
    <x v="43"/>
    <x v="7"/>
    <x v="139"/>
    <x v="6"/>
    <x v="91"/>
    <x v="372"/>
    <x v="94"/>
    <x v="113"/>
    <x v="0"/>
  </r>
  <r>
    <x v="0"/>
    <x v="46"/>
    <x v="46"/>
    <x v="35"/>
    <x v="35"/>
    <x v="35"/>
    <x v="7"/>
    <x v="139"/>
    <x v="6"/>
    <x v="91"/>
    <x v="372"/>
    <x v="94"/>
    <x v="113"/>
    <x v="0"/>
  </r>
  <r>
    <x v="0"/>
    <x v="46"/>
    <x v="46"/>
    <x v="4"/>
    <x v="4"/>
    <x v="4"/>
    <x v="7"/>
    <x v="139"/>
    <x v="6"/>
    <x v="91"/>
    <x v="372"/>
    <x v="94"/>
    <x v="113"/>
    <x v="0"/>
  </r>
  <r>
    <x v="0"/>
    <x v="46"/>
    <x v="46"/>
    <x v="38"/>
    <x v="38"/>
    <x v="38"/>
    <x v="11"/>
    <x v="140"/>
    <x v="106"/>
    <x v="90"/>
    <x v="373"/>
    <x v="41"/>
    <x v="279"/>
    <x v="0"/>
  </r>
  <r>
    <x v="0"/>
    <x v="46"/>
    <x v="46"/>
    <x v="37"/>
    <x v="37"/>
    <x v="37"/>
    <x v="11"/>
    <x v="140"/>
    <x v="106"/>
    <x v="92"/>
    <x v="5"/>
    <x v="94"/>
    <x v="113"/>
    <x v="0"/>
  </r>
  <r>
    <x v="0"/>
    <x v="46"/>
    <x v="46"/>
    <x v="16"/>
    <x v="16"/>
    <x v="16"/>
    <x v="11"/>
    <x v="140"/>
    <x v="106"/>
    <x v="90"/>
    <x v="373"/>
    <x v="41"/>
    <x v="279"/>
    <x v="0"/>
  </r>
  <r>
    <x v="0"/>
    <x v="46"/>
    <x v="46"/>
    <x v="126"/>
    <x v="126"/>
    <x v="126"/>
    <x v="11"/>
    <x v="140"/>
    <x v="106"/>
    <x v="114"/>
    <x v="193"/>
    <x v="83"/>
    <x v="278"/>
    <x v="0"/>
  </r>
  <r>
    <x v="0"/>
    <x v="46"/>
    <x v="46"/>
    <x v="56"/>
    <x v="56"/>
    <x v="56"/>
    <x v="11"/>
    <x v="140"/>
    <x v="106"/>
    <x v="107"/>
    <x v="374"/>
    <x v="90"/>
    <x v="281"/>
    <x v="0"/>
  </r>
  <r>
    <x v="0"/>
    <x v="46"/>
    <x v="46"/>
    <x v="18"/>
    <x v="18"/>
    <x v="18"/>
    <x v="11"/>
    <x v="140"/>
    <x v="106"/>
    <x v="90"/>
    <x v="373"/>
    <x v="41"/>
    <x v="279"/>
    <x v="0"/>
  </r>
  <r>
    <x v="0"/>
    <x v="46"/>
    <x v="46"/>
    <x v="8"/>
    <x v="8"/>
    <x v="8"/>
    <x v="11"/>
    <x v="140"/>
    <x v="106"/>
    <x v="92"/>
    <x v="5"/>
    <x v="94"/>
    <x v="113"/>
    <x v="0"/>
  </r>
  <r>
    <x v="0"/>
    <x v="46"/>
    <x v="46"/>
    <x v="17"/>
    <x v="17"/>
    <x v="17"/>
    <x v="11"/>
    <x v="140"/>
    <x v="106"/>
    <x v="107"/>
    <x v="374"/>
    <x v="90"/>
    <x v="281"/>
    <x v="0"/>
  </r>
  <r>
    <x v="0"/>
    <x v="46"/>
    <x v="46"/>
    <x v="22"/>
    <x v="22"/>
    <x v="22"/>
    <x v="11"/>
    <x v="140"/>
    <x v="106"/>
    <x v="92"/>
    <x v="5"/>
    <x v="94"/>
    <x v="113"/>
    <x v="0"/>
  </r>
  <r>
    <x v="0"/>
    <x v="46"/>
    <x v="46"/>
    <x v="7"/>
    <x v="7"/>
    <x v="7"/>
    <x v="11"/>
    <x v="140"/>
    <x v="106"/>
    <x v="92"/>
    <x v="5"/>
    <x v="94"/>
    <x v="113"/>
    <x v="0"/>
  </r>
  <r>
    <x v="0"/>
    <x v="46"/>
    <x v="46"/>
    <x v="10"/>
    <x v="10"/>
    <x v="10"/>
    <x v="11"/>
    <x v="140"/>
    <x v="106"/>
    <x v="92"/>
    <x v="5"/>
    <x v="94"/>
    <x v="113"/>
    <x v="0"/>
  </r>
  <r>
    <x v="0"/>
    <x v="46"/>
    <x v="46"/>
    <x v="41"/>
    <x v="41"/>
    <x v="41"/>
    <x v="11"/>
    <x v="140"/>
    <x v="106"/>
    <x v="114"/>
    <x v="193"/>
    <x v="41"/>
    <x v="279"/>
    <x v="0"/>
  </r>
  <r>
    <x v="0"/>
    <x v="46"/>
    <x v="46"/>
    <x v="14"/>
    <x v="14"/>
    <x v="14"/>
    <x v="11"/>
    <x v="140"/>
    <x v="106"/>
    <x v="92"/>
    <x v="5"/>
    <x v="94"/>
    <x v="113"/>
    <x v="0"/>
  </r>
  <r>
    <x v="0"/>
    <x v="47"/>
    <x v="47"/>
    <x v="6"/>
    <x v="6"/>
    <x v="6"/>
    <x v="0"/>
    <x v="133"/>
    <x v="283"/>
    <x v="91"/>
    <x v="311"/>
    <x v="42"/>
    <x v="282"/>
    <x v="0"/>
  </r>
  <r>
    <x v="0"/>
    <x v="47"/>
    <x v="47"/>
    <x v="0"/>
    <x v="0"/>
    <x v="0"/>
    <x v="0"/>
    <x v="133"/>
    <x v="283"/>
    <x v="93"/>
    <x v="375"/>
    <x v="94"/>
    <x v="113"/>
    <x v="0"/>
  </r>
  <r>
    <x v="0"/>
    <x v="47"/>
    <x v="47"/>
    <x v="5"/>
    <x v="5"/>
    <x v="5"/>
    <x v="2"/>
    <x v="135"/>
    <x v="262"/>
    <x v="51"/>
    <x v="376"/>
    <x v="83"/>
    <x v="283"/>
    <x v="0"/>
  </r>
  <r>
    <x v="0"/>
    <x v="47"/>
    <x v="47"/>
    <x v="2"/>
    <x v="2"/>
    <x v="2"/>
    <x v="3"/>
    <x v="141"/>
    <x v="284"/>
    <x v="63"/>
    <x v="346"/>
    <x v="94"/>
    <x v="113"/>
    <x v="0"/>
  </r>
  <r>
    <x v="0"/>
    <x v="47"/>
    <x v="47"/>
    <x v="20"/>
    <x v="20"/>
    <x v="20"/>
    <x v="4"/>
    <x v="137"/>
    <x v="285"/>
    <x v="51"/>
    <x v="376"/>
    <x v="94"/>
    <x v="113"/>
    <x v="0"/>
  </r>
  <r>
    <x v="0"/>
    <x v="47"/>
    <x v="47"/>
    <x v="14"/>
    <x v="14"/>
    <x v="14"/>
    <x v="4"/>
    <x v="137"/>
    <x v="285"/>
    <x v="51"/>
    <x v="376"/>
    <x v="94"/>
    <x v="113"/>
    <x v="0"/>
  </r>
  <r>
    <x v="0"/>
    <x v="47"/>
    <x v="47"/>
    <x v="43"/>
    <x v="43"/>
    <x v="43"/>
    <x v="6"/>
    <x v="138"/>
    <x v="184"/>
    <x v="91"/>
    <x v="311"/>
    <x v="90"/>
    <x v="91"/>
    <x v="0"/>
  </r>
  <r>
    <x v="0"/>
    <x v="47"/>
    <x v="47"/>
    <x v="132"/>
    <x v="132"/>
    <x v="132"/>
    <x v="6"/>
    <x v="138"/>
    <x v="184"/>
    <x v="91"/>
    <x v="311"/>
    <x v="90"/>
    <x v="91"/>
    <x v="0"/>
  </r>
  <r>
    <x v="0"/>
    <x v="47"/>
    <x v="47"/>
    <x v="32"/>
    <x v="32"/>
    <x v="32"/>
    <x v="6"/>
    <x v="138"/>
    <x v="184"/>
    <x v="100"/>
    <x v="377"/>
    <x v="94"/>
    <x v="113"/>
    <x v="0"/>
  </r>
  <r>
    <x v="0"/>
    <x v="47"/>
    <x v="47"/>
    <x v="9"/>
    <x v="9"/>
    <x v="9"/>
    <x v="6"/>
    <x v="138"/>
    <x v="184"/>
    <x v="100"/>
    <x v="377"/>
    <x v="94"/>
    <x v="113"/>
    <x v="0"/>
  </r>
  <r>
    <x v="0"/>
    <x v="47"/>
    <x v="47"/>
    <x v="15"/>
    <x v="15"/>
    <x v="15"/>
    <x v="9"/>
    <x v="139"/>
    <x v="68"/>
    <x v="107"/>
    <x v="138"/>
    <x v="41"/>
    <x v="180"/>
    <x v="0"/>
  </r>
  <r>
    <x v="0"/>
    <x v="47"/>
    <x v="47"/>
    <x v="37"/>
    <x v="37"/>
    <x v="37"/>
    <x v="9"/>
    <x v="139"/>
    <x v="68"/>
    <x v="91"/>
    <x v="311"/>
    <x v="94"/>
    <x v="113"/>
    <x v="0"/>
  </r>
  <r>
    <x v="0"/>
    <x v="47"/>
    <x v="47"/>
    <x v="13"/>
    <x v="13"/>
    <x v="13"/>
    <x v="9"/>
    <x v="139"/>
    <x v="68"/>
    <x v="91"/>
    <x v="311"/>
    <x v="94"/>
    <x v="113"/>
    <x v="0"/>
  </r>
  <r>
    <x v="0"/>
    <x v="47"/>
    <x v="47"/>
    <x v="84"/>
    <x v="84"/>
    <x v="84"/>
    <x v="9"/>
    <x v="139"/>
    <x v="68"/>
    <x v="90"/>
    <x v="191"/>
    <x v="83"/>
    <x v="283"/>
    <x v="0"/>
  </r>
  <r>
    <x v="0"/>
    <x v="47"/>
    <x v="47"/>
    <x v="115"/>
    <x v="115"/>
    <x v="115"/>
    <x v="9"/>
    <x v="139"/>
    <x v="68"/>
    <x v="91"/>
    <x v="311"/>
    <x v="94"/>
    <x v="113"/>
    <x v="0"/>
  </r>
  <r>
    <x v="0"/>
    <x v="47"/>
    <x v="47"/>
    <x v="28"/>
    <x v="28"/>
    <x v="28"/>
    <x v="9"/>
    <x v="139"/>
    <x v="68"/>
    <x v="107"/>
    <x v="138"/>
    <x v="41"/>
    <x v="180"/>
    <x v="0"/>
  </r>
  <r>
    <x v="0"/>
    <x v="47"/>
    <x v="47"/>
    <x v="50"/>
    <x v="50"/>
    <x v="50"/>
    <x v="15"/>
    <x v="140"/>
    <x v="9"/>
    <x v="92"/>
    <x v="121"/>
    <x v="94"/>
    <x v="113"/>
    <x v="0"/>
  </r>
  <r>
    <x v="0"/>
    <x v="47"/>
    <x v="47"/>
    <x v="12"/>
    <x v="12"/>
    <x v="12"/>
    <x v="15"/>
    <x v="140"/>
    <x v="9"/>
    <x v="92"/>
    <x v="121"/>
    <x v="94"/>
    <x v="113"/>
    <x v="0"/>
  </r>
  <r>
    <x v="0"/>
    <x v="47"/>
    <x v="47"/>
    <x v="22"/>
    <x v="22"/>
    <x v="22"/>
    <x v="15"/>
    <x v="140"/>
    <x v="9"/>
    <x v="92"/>
    <x v="121"/>
    <x v="94"/>
    <x v="113"/>
    <x v="0"/>
  </r>
  <r>
    <x v="0"/>
    <x v="47"/>
    <x v="47"/>
    <x v="40"/>
    <x v="40"/>
    <x v="40"/>
    <x v="18"/>
    <x v="142"/>
    <x v="286"/>
    <x v="107"/>
    <x v="138"/>
    <x v="94"/>
    <x v="113"/>
    <x v="0"/>
  </r>
  <r>
    <x v="0"/>
    <x v="47"/>
    <x v="47"/>
    <x v="36"/>
    <x v="36"/>
    <x v="36"/>
    <x v="18"/>
    <x v="142"/>
    <x v="286"/>
    <x v="107"/>
    <x v="138"/>
    <x v="94"/>
    <x v="113"/>
    <x v="0"/>
  </r>
  <r>
    <x v="0"/>
    <x v="47"/>
    <x v="47"/>
    <x v="38"/>
    <x v="38"/>
    <x v="38"/>
    <x v="18"/>
    <x v="142"/>
    <x v="286"/>
    <x v="114"/>
    <x v="193"/>
    <x v="41"/>
    <x v="180"/>
    <x v="0"/>
  </r>
  <r>
    <x v="0"/>
    <x v="47"/>
    <x v="47"/>
    <x v="42"/>
    <x v="42"/>
    <x v="42"/>
    <x v="18"/>
    <x v="142"/>
    <x v="286"/>
    <x v="107"/>
    <x v="138"/>
    <x v="94"/>
    <x v="113"/>
    <x v="0"/>
  </r>
  <r>
    <x v="0"/>
    <x v="47"/>
    <x v="47"/>
    <x v="44"/>
    <x v="44"/>
    <x v="44"/>
    <x v="18"/>
    <x v="142"/>
    <x v="286"/>
    <x v="107"/>
    <x v="138"/>
    <x v="94"/>
    <x v="113"/>
    <x v="0"/>
  </r>
  <r>
    <x v="0"/>
    <x v="47"/>
    <x v="47"/>
    <x v="148"/>
    <x v="148"/>
    <x v="148"/>
    <x v="18"/>
    <x v="142"/>
    <x v="286"/>
    <x v="90"/>
    <x v="191"/>
    <x v="90"/>
    <x v="91"/>
    <x v="0"/>
  </r>
  <r>
    <x v="0"/>
    <x v="47"/>
    <x v="47"/>
    <x v="126"/>
    <x v="126"/>
    <x v="126"/>
    <x v="18"/>
    <x v="142"/>
    <x v="286"/>
    <x v="114"/>
    <x v="193"/>
    <x v="41"/>
    <x v="180"/>
    <x v="0"/>
  </r>
  <r>
    <x v="0"/>
    <x v="47"/>
    <x v="47"/>
    <x v="83"/>
    <x v="83"/>
    <x v="83"/>
    <x v="18"/>
    <x v="142"/>
    <x v="286"/>
    <x v="114"/>
    <x v="193"/>
    <x v="41"/>
    <x v="180"/>
    <x v="0"/>
  </r>
  <r>
    <x v="0"/>
    <x v="47"/>
    <x v="47"/>
    <x v="33"/>
    <x v="33"/>
    <x v="33"/>
    <x v="18"/>
    <x v="142"/>
    <x v="286"/>
    <x v="90"/>
    <x v="191"/>
    <x v="90"/>
    <x v="91"/>
    <x v="0"/>
  </r>
  <r>
    <x v="0"/>
    <x v="47"/>
    <x v="47"/>
    <x v="11"/>
    <x v="11"/>
    <x v="11"/>
    <x v="18"/>
    <x v="142"/>
    <x v="286"/>
    <x v="107"/>
    <x v="138"/>
    <x v="94"/>
    <x v="113"/>
    <x v="0"/>
  </r>
  <r>
    <x v="0"/>
    <x v="47"/>
    <x v="47"/>
    <x v="35"/>
    <x v="35"/>
    <x v="35"/>
    <x v="18"/>
    <x v="142"/>
    <x v="286"/>
    <x v="107"/>
    <x v="138"/>
    <x v="94"/>
    <x v="113"/>
    <x v="0"/>
  </r>
  <r>
    <x v="0"/>
    <x v="47"/>
    <x v="47"/>
    <x v="18"/>
    <x v="18"/>
    <x v="18"/>
    <x v="18"/>
    <x v="142"/>
    <x v="286"/>
    <x v="90"/>
    <x v="191"/>
    <x v="90"/>
    <x v="91"/>
    <x v="0"/>
  </r>
  <r>
    <x v="0"/>
    <x v="47"/>
    <x v="47"/>
    <x v="85"/>
    <x v="85"/>
    <x v="85"/>
    <x v="18"/>
    <x v="142"/>
    <x v="286"/>
    <x v="107"/>
    <x v="138"/>
    <x v="94"/>
    <x v="113"/>
    <x v="0"/>
  </r>
  <r>
    <x v="0"/>
    <x v="47"/>
    <x v="47"/>
    <x v="54"/>
    <x v="54"/>
    <x v="54"/>
    <x v="18"/>
    <x v="142"/>
    <x v="286"/>
    <x v="107"/>
    <x v="138"/>
    <x v="94"/>
    <x v="113"/>
    <x v="0"/>
  </r>
  <r>
    <x v="0"/>
    <x v="47"/>
    <x v="47"/>
    <x v="24"/>
    <x v="24"/>
    <x v="24"/>
    <x v="18"/>
    <x v="142"/>
    <x v="286"/>
    <x v="107"/>
    <x v="138"/>
    <x v="94"/>
    <x v="113"/>
    <x v="0"/>
  </r>
  <r>
    <x v="0"/>
    <x v="47"/>
    <x v="47"/>
    <x v="128"/>
    <x v="128"/>
    <x v="128"/>
    <x v="18"/>
    <x v="142"/>
    <x v="286"/>
    <x v="107"/>
    <x v="138"/>
    <x v="94"/>
    <x v="113"/>
    <x v="0"/>
  </r>
  <r>
    <x v="0"/>
    <x v="48"/>
    <x v="48"/>
    <x v="2"/>
    <x v="2"/>
    <x v="2"/>
    <x v="0"/>
    <x v="116"/>
    <x v="287"/>
    <x v="99"/>
    <x v="378"/>
    <x v="94"/>
    <x v="113"/>
    <x v="0"/>
  </r>
  <r>
    <x v="0"/>
    <x v="48"/>
    <x v="48"/>
    <x v="0"/>
    <x v="0"/>
    <x v="0"/>
    <x v="1"/>
    <x v="120"/>
    <x v="288"/>
    <x v="104"/>
    <x v="379"/>
    <x v="41"/>
    <x v="14"/>
    <x v="0"/>
  </r>
  <r>
    <x v="0"/>
    <x v="48"/>
    <x v="48"/>
    <x v="4"/>
    <x v="4"/>
    <x v="4"/>
    <x v="2"/>
    <x v="122"/>
    <x v="289"/>
    <x v="106"/>
    <x v="380"/>
    <x v="94"/>
    <x v="113"/>
    <x v="0"/>
  </r>
  <r>
    <x v="0"/>
    <x v="48"/>
    <x v="48"/>
    <x v="6"/>
    <x v="6"/>
    <x v="6"/>
    <x v="3"/>
    <x v="123"/>
    <x v="290"/>
    <x v="107"/>
    <x v="89"/>
    <x v="22"/>
    <x v="284"/>
    <x v="0"/>
  </r>
  <r>
    <x v="0"/>
    <x v="48"/>
    <x v="48"/>
    <x v="22"/>
    <x v="22"/>
    <x v="22"/>
    <x v="3"/>
    <x v="123"/>
    <x v="290"/>
    <x v="94"/>
    <x v="381"/>
    <x v="25"/>
    <x v="94"/>
    <x v="0"/>
  </r>
  <r>
    <x v="0"/>
    <x v="48"/>
    <x v="48"/>
    <x v="28"/>
    <x v="28"/>
    <x v="28"/>
    <x v="5"/>
    <x v="134"/>
    <x v="192"/>
    <x v="100"/>
    <x v="162"/>
    <x v="25"/>
    <x v="94"/>
    <x v="0"/>
  </r>
  <r>
    <x v="0"/>
    <x v="48"/>
    <x v="48"/>
    <x v="13"/>
    <x v="13"/>
    <x v="13"/>
    <x v="6"/>
    <x v="135"/>
    <x v="119"/>
    <x v="92"/>
    <x v="382"/>
    <x v="82"/>
    <x v="225"/>
    <x v="0"/>
  </r>
  <r>
    <x v="0"/>
    <x v="48"/>
    <x v="48"/>
    <x v="15"/>
    <x v="15"/>
    <x v="15"/>
    <x v="19"/>
    <x v="141"/>
    <x v="25"/>
    <x v="114"/>
    <x v="193"/>
    <x v="62"/>
    <x v="285"/>
    <x v="0"/>
  </r>
  <r>
    <x v="0"/>
    <x v="48"/>
    <x v="48"/>
    <x v="36"/>
    <x v="36"/>
    <x v="36"/>
    <x v="19"/>
    <x v="141"/>
    <x v="25"/>
    <x v="91"/>
    <x v="383"/>
    <x v="84"/>
    <x v="286"/>
    <x v="0"/>
  </r>
  <r>
    <x v="0"/>
    <x v="48"/>
    <x v="48"/>
    <x v="1"/>
    <x v="1"/>
    <x v="1"/>
    <x v="19"/>
    <x v="141"/>
    <x v="25"/>
    <x v="100"/>
    <x v="162"/>
    <x v="83"/>
    <x v="287"/>
    <x v="0"/>
  </r>
  <r>
    <x v="0"/>
    <x v="48"/>
    <x v="48"/>
    <x v="32"/>
    <x v="32"/>
    <x v="32"/>
    <x v="9"/>
    <x v="136"/>
    <x v="128"/>
    <x v="51"/>
    <x v="384"/>
    <x v="90"/>
    <x v="9"/>
    <x v="0"/>
  </r>
  <r>
    <x v="0"/>
    <x v="48"/>
    <x v="48"/>
    <x v="20"/>
    <x v="20"/>
    <x v="20"/>
    <x v="9"/>
    <x v="136"/>
    <x v="128"/>
    <x v="100"/>
    <x v="162"/>
    <x v="41"/>
    <x v="14"/>
    <x v="0"/>
  </r>
  <r>
    <x v="0"/>
    <x v="48"/>
    <x v="48"/>
    <x v="11"/>
    <x v="11"/>
    <x v="11"/>
    <x v="9"/>
    <x v="136"/>
    <x v="128"/>
    <x v="92"/>
    <x v="382"/>
    <x v="84"/>
    <x v="286"/>
    <x v="0"/>
  </r>
  <r>
    <x v="0"/>
    <x v="48"/>
    <x v="48"/>
    <x v="17"/>
    <x v="17"/>
    <x v="17"/>
    <x v="9"/>
    <x v="136"/>
    <x v="128"/>
    <x v="114"/>
    <x v="193"/>
    <x v="42"/>
    <x v="246"/>
    <x v="0"/>
  </r>
  <r>
    <x v="0"/>
    <x v="48"/>
    <x v="48"/>
    <x v="3"/>
    <x v="3"/>
    <x v="3"/>
    <x v="9"/>
    <x v="136"/>
    <x v="128"/>
    <x v="94"/>
    <x v="381"/>
    <x v="94"/>
    <x v="113"/>
    <x v="0"/>
  </r>
  <r>
    <x v="0"/>
    <x v="48"/>
    <x v="48"/>
    <x v="14"/>
    <x v="14"/>
    <x v="14"/>
    <x v="9"/>
    <x v="136"/>
    <x v="128"/>
    <x v="91"/>
    <x v="383"/>
    <x v="83"/>
    <x v="287"/>
    <x v="0"/>
  </r>
  <r>
    <x v="0"/>
    <x v="48"/>
    <x v="48"/>
    <x v="5"/>
    <x v="5"/>
    <x v="5"/>
    <x v="15"/>
    <x v="137"/>
    <x v="45"/>
    <x v="91"/>
    <x v="383"/>
    <x v="41"/>
    <x v="14"/>
    <x v="0"/>
  </r>
  <r>
    <x v="0"/>
    <x v="48"/>
    <x v="48"/>
    <x v="12"/>
    <x v="12"/>
    <x v="12"/>
    <x v="15"/>
    <x v="137"/>
    <x v="45"/>
    <x v="100"/>
    <x v="162"/>
    <x v="90"/>
    <x v="9"/>
    <x v="0"/>
  </r>
  <r>
    <x v="0"/>
    <x v="48"/>
    <x v="48"/>
    <x v="21"/>
    <x v="21"/>
    <x v="21"/>
    <x v="15"/>
    <x v="137"/>
    <x v="45"/>
    <x v="51"/>
    <x v="384"/>
    <x v="94"/>
    <x v="113"/>
    <x v="0"/>
  </r>
  <r>
    <x v="0"/>
    <x v="48"/>
    <x v="48"/>
    <x v="54"/>
    <x v="54"/>
    <x v="54"/>
    <x v="15"/>
    <x v="137"/>
    <x v="45"/>
    <x v="92"/>
    <x v="382"/>
    <x v="83"/>
    <x v="287"/>
    <x v="0"/>
  </r>
  <r>
    <x v="0"/>
    <x v="49"/>
    <x v="49"/>
    <x v="0"/>
    <x v="0"/>
    <x v="0"/>
    <x v="0"/>
    <x v="120"/>
    <x v="291"/>
    <x v="50"/>
    <x v="323"/>
    <x v="94"/>
    <x v="113"/>
    <x v="0"/>
  </r>
  <r>
    <x v="0"/>
    <x v="49"/>
    <x v="49"/>
    <x v="2"/>
    <x v="2"/>
    <x v="2"/>
    <x v="1"/>
    <x v="128"/>
    <x v="292"/>
    <x v="58"/>
    <x v="370"/>
    <x v="94"/>
    <x v="113"/>
    <x v="0"/>
  </r>
  <r>
    <x v="0"/>
    <x v="49"/>
    <x v="49"/>
    <x v="8"/>
    <x v="8"/>
    <x v="8"/>
    <x v="2"/>
    <x v="130"/>
    <x v="210"/>
    <x v="48"/>
    <x v="385"/>
    <x v="83"/>
    <x v="288"/>
    <x v="0"/>
  </r>
  <r>
    <x v="0"/>
    <x v="49"/>
    <x v="49"/>
    <x v="5"/>
    <x v="5"/>
    <x v="5"/>
    <x v="3"/>
    <x v="134"/>
    <x v="293"/>
    <x v="94"/>
    <x v="23"/>
    <x v="83"/>
    <x v="288"/>
    <x v="0"/>
  </r>
  <r>
    <x v="0"/>
    <x v="49"/>
    <x v="49"/>
    <x v="3"/>
    <x v="3"/>
    <x v="3"/>
    <x v="4"/>
    <x v="135"/>
    <x v="140"/>
    <x v="51"/>
    <x v="322"/>
    <x v="83"/>
    <x v="288"/>
    <x v="0"/>
  </r>
  <r>
    <x v="0"/>
    <x v="49"/>
    <x v="49"/>
    <x v="6"/>
    <x v="6"/>
    <x v="6"/>
    <x v="5"/>
    <x v="136"/>
    <x v="294"/>
    <x v="114"/>
    <x v="193"/>
    <x v="42"/>
    <x v="289"/>
    <x v="0"/>
  </r>
  <r>
    <x v="0"/>
    <x v="49"/>
    <x v="49"/>
    <x v="15"/>
    <x v="15"/>
    <x v="15"/>
    <x v="5"/>
    <x v="136"/>
    <x v="294"/>
    <x v="92"/>
    <x v="325"/>
    <x v="84"/>
    <x v="290"/>
    <x v="0"/>
  </r>
  <r>
    <x v="0"/>
    <x v="49"/>
    <x v="49"/>
    <x v="32"/>
    <x v="32"/>
    <x v="32"/>
    <x v="5"/>
    <x v="136"/>
    <x v="294"/>
    <x v="100"/>
    <x v="298"/>
    <x v="41"/>
    <x v="83"/>
    <x v="0"/>
  </r>
  <r>
    <x v="0"/>
    <x v="49"/>
    <x v="49"/>
    <x v="1"/>
    <x v="1"/>
    <x v="1"/>
    <x v="5"/>
    <x v="136"/>
    <x v="294"/>
    <x v="92"/>
    <x v="325"/>
    <x v="84"/>
    <x v="290"/>
    <x v="0"/>
  </r>
  <r>
    <x v="0"/>
    <x v="49"/>
    <x v="49"/>
    <x v="4"/>
    <x v="4"/>
    <x v="4"/>
    <x v="5"/>
    <x v="136"/>
    <x v="294"/>
    <x v="51"/>
    <x v="322"/>
    <x v="90"/>
    <x v="291"/>
    <x v="0"/>
  </r>
  <r>
    <x v="0"/>
    <x v="49"/>
    <x v="49"/>
    <x v="122"/>
    <x v="122"/>
    <x v="122"/>
    <x v="9"/>
    <x v="137"/>
    <x v="26"/>
    <x v="92"/>
    <x v="325"/>
    <x v="83"/>
    <x v="288"/>
    <x v="0"/>
  </r>
  <r>
    <x v="0"/>
    <x v="49"/>
    <x v="49"/>
    <x v="12"/>
    <x v="12"/>
    <x v="12"/>
    <x v="9"/>
    <x v="137"/>
    <x v="26"/>
    <x v="91"/>
    <x v="386"/>
    <x v="90"/>
    <x v="291"/>
    <x v="1"/>
  </r>
  <r>
    <x v="0"/>
    <x v="49"/>
    <x v="49"/>
    <x v="22"/>
    <x v="22"/>
    <x v="22"/>
    <x v="9"/>
    <x v="137"/>
    <x v="26"/>
    <x v="100"/>
    <x v="298"/>
    <x v="90"/>
    <x v="291"/>
    <x v="0"/>
  </r>
  <r>
    <x v="0"/>
    <x v="49"/>
    <x v="49"/>
    <x v="24"/>
    <x v="24"/>
    <x v="24"/>
    <x v="9"/>
    <x v="137"/>
    <x v="26"/>
    <x v="91"/>
    <x v="386"/>
    <x v="41"/>
    <x v="83"/>
    <x v="0"/>
  </r>
  <r>
    <x v="0"/>
    <x v="49"/>
    <x v="49"/>
    <x v="42"/>
    <x v="42"/>
    <x v="42"/>
    <x v="13"/>
    <x v="138"/>
    <x v="10"/>
    <x v="92"/>
    <x v="325"/>
    <x v="41"/>
    <x v="83"/>
    <x v="0"/>
  </r>
  <r>
    <x v="0"/>
    <x v="49"/>
    <x v="49"/>
    <x v="13"/>
    <x v="13"/>
    <x v="13"/>
    <x v="13"/>
    <x v="138"/>
    <x v="10"/>
    <x v="91"/>
    <x v="386"/>
    <x v="90"/>
    <x v="291"/>
    <x v="0"/>
  </r>
  <r>
    <x v="0"/>
    <x v="49"/>
    <x v="49"/>
    <x v="132"/>
    <x v="132"/>
    <x v="132"/>
    <x v="13"/>
    <x v="138"/>
    <x v="10"/>
    <x v="91"/>
    <x v="386"/>
    <x v="90"/>
    <x v="291"/>
    <x v="0"/>
  </r>
  <r>
    <x v="0"/>
    <x v="49"/>
    <x v="49"/>
    <x v="33"/>
    <x v="33"/>
    <x v="33"/>
    <x v="13"/>
    <x v="138"/>
    <x v="10"/>
    <x v="114"/>
    <x v="193"/>
    <x v="25"/>
    <x v="292"/>
    <x v="0"/>
  </r>
  <r>
    <x v="0"/>
    <x v="49"/>
    <x v="49"/>
    <x v="11"/>
    <x v="11"/>
    <x v="11"/>
    <x v="13"/>
    <x v="138"/>
    <x v="10"/>
    <x v="92"/>
    <x v="325"/>
    <x v="90"/>
    <x v="291"/>
    <x v="1"/>
  </r>
  <r>
    <x v="0"/>
    <x v="49"/>
    <x v="49"/>
    <x v="49"/>
    <x v="49"/>
    <x v="49"/>
    <x v="13"/>
    <x v="138"/>
    <x v="10"/>
    <x v="92"/>
    <x v="325"/>
    <x v="41"/>
    <x v="83"/>
    <x v="0"/>
  </r>
  <r>
    <x v="0"/>
    <x v="49"/>
    <x v="49"/>
    <x v="28"/>
    <x v="28"/>
    <x v="28"/>
    <x v="13"/>
    <x v="138"/>
    <x v="10"/>
    <x v="90"/>
    <x v="387"/>
    <x v="84"/>
    <x v="290"/>
    <x v="0"/>
  </r>
  <r>
    <x v="0"/>
    <x v="49"/>
    <x v="49"/>
    <x v="54"/>
    <x v="54"/>
    <x v="54"/>
    <x v="13"/>
    <x v="138"/>
    <x v="10"/>
    <x v="92"/>
    <x v="325"/>
    <x v="41"/>
    <x v="83"/>
    <x v="0"/>
  </r>
  <r>
    <x v="0"/>
    <x v="49"/>
    <x v="49"/>
    <x v="7"/>
    <x v="7"/>
    <x v="7"/>
    <x v="13"/>
    <x v="138"/>
    <x v="10"/>
    <x v="100"/>
    <x v="298"/>
    <x v="94"/>
    <x v="113"/>
    <x v="0"/>
  </r>
  <r>
    <x v="0"/>
    <x v="49"/>
    <x v="49"/>
    <x v="14"/>
    <x v="14"/>
    <x v="14"/>
    <x v="13"/>
    <x v="138"/>
    <x v="10"/>
    <x v="92"/>
    <x v="325"/>
    <x v="41"/>
    <x v="83"/>
    <x v="0"/>
  </r>
  <r>
    <x v="0"/>
    <x v="50"/>
    <x v="50"/>
    <x v="149"/>
    <x v="149"/>
    <x v="149"/>
    <x v="0"/>
    <x v="135"/>
    <x v="295"/>
    <x v="114"/>
    <x v="193"/>
    <x v="95"/>
    <x v="293"/>
    <x v="0"/>
  </r>
  <r>
    <x v="0"/>
    <x v="50"/>
    <x v="50"/>
    <x v="30"/>
    <x v="30"/>
    <x v="30"/>
    <x v="1"/>
    <x v="137"/>
    <x v="296"/>
    <x v="107"/>
    <x v="292"/>
    <x v="84"/>
    <x v="294"/>
    <x v="0"/>
  </r>
  <r>
    <x v="0"/>
    <x v="50"/>
    <x v="50"/>
    <x v="6"/>
    <x v="6"/>
    <x v="6"/>
    <x v="2"/>
    <x v="138"/>
    <x v="297"/>
    <x v="114"/>
    <x v="193"/>
    <x v="25"/>
    <x v="295"/>
    <x v="0"/>
  </r>
  <r>
    <x v="0"/>
    <x v="50"/>
    <x v="50"/>
    <x v="54"/>
    <x v="54"/>
    <x v="54"/>
    <x v="2"/>
    <x v="138"/>
    <x v="297"/>
    <x v="90"/>
    <x v="388"/>
    <x v="84"/>
    <x v="294"/>
    <x v="0"/>
  </r>
  <r>
    <x v="0"/>
    <x v="50"/>
    <x v="50"/>
    <x v="2"/>
    <x v="2"/>
    <x v="2"/>
    <x v="2"/>
    <x v="138"/>
    <x v="297"/>
    <x v="100"/>
    <x v="389"/>
    <x v="94"/>
    <x v="113"/>
    <x v="0"/>
  </r>
  <r>
    <x v="0"/>
    <x v="50"/>
    <x v="50"/>
    <x v="13"/>
    <x v="13"/>
    <x v="13"/>
    <x v="5"/>
    <x v="139"/>
    <x v="298"/>
    <x v="114"/>
    <x v="193"/>
    <x v="84"/>
    <x v="294"/>
    <x v="0"/>
  </r>
  <r>
    <x v="0"/>
    <x v="50"/>
    <x v="50"/>
    <x v="72"/>
    <x v="72"/>
    <x v="72"/>
    <x v="5"/>
    <x v="139"/>
    <x v="298"/>
    <x v="114"/>
    <x v="193"/>
    <x v="84"/>
    <x v="294"/>
    <x v="0"/>
  </r>
  <r>
    <x v="0"/>
    <x v="50"/>
    <x v="50"/>
    <x v="22"/>
    <x v="22"/>
    <x v="22"/>
    <x v="5"/>
    <x v="139"/>
    <x v="298"/>
    <x v="107"/>
    <x v="292"/>
    <x v="41"/>
    <x v="296"/>
    <x v="0"/>
  </r>
  <r>
    <x v="0"/>
    <x v="50"/>
    <x v="50"/>
    <x v="0"/>
    <x v="0"/>
    <x v="0"/>
    <x v="5"/>
    <x v="139"/>
    <x v="298"/>
    <x v="91"/>
    <x v="390"/>
    <x v="94"/>
    <x v="113"/>
    <x v="0"/>
  </r>
  <r>
    <x v="0"/>
    <x v="50"/>
    <x v="50"/>
    <x v="5"/>
    <x v="5"/>
    <x v="5"/>
    <x v="8"/>
    <x v="140"/>
    <x v="299"/>
    <x v="107"/>
    <x v="292"/>
    <x v="90"/>
    <x v="23"/>
    <x v="0"/>
  </r>
  <r>
    <x v="0"/>
    <x v="50"/>
    <x v="50"/>
    <x v="38"/>
    <x v="38"/>
    <x v="38"/>
    <x v="8"/>
    <x v="140"/>
    <x v="299"/>
    <x v="114"/>
    <x v="193"/>
    <x v="83"/>
    <x v="168"/>
    <x v="0"/>
  </r>
  <r>
    <x v="0"/>
    <x v="50"/>
    <x v="50"/>
    <x v="29"/>
    <x v="29"/>
    <x v="29"/>
    <x v="8"/>
    <x v="140"/>
    <x v="299"/>
    <x v="90"/>
    <x v="388"/>
    <x v="41"/>
    <x v="296"/>
    <x v="0"/>
  </r>
  <r>
    <x v="0"/>
    <x v="50"/>
    <x v="50"/>
    <x v="32"/>
    <x v="32"/>
    <x v="32"/>
    <x v="8"/>
    <x v="140"/>
    <x v="299"/>
    <x v="107"/>
    <x v="292"/>
    <x v="90"/>
    <x v="23"/>
    <x v="0"/>
  </r>
  <r>
    <x v="0"/>
    <x v="50"/>
    <x v="50"/>
    <x v="53"/>
    <x v="53"/>
    <x v="53"/>
    <x v="8"/>
    <x v="140"/>
    <x v="299"/>
    <x v="107"/>
    <x v="292"/>
    <x v="90"/>
    <x v="23"/>
    <x v="0"/>
  </r>
  <r>
    <x v="0"/>
    <x v="50"/>
    <x v="50"/>
    <x v="3"/>
    <x v="3"/>
    <x v="3"/>
    <x v="8"/>
    <x v="140"/>
    <x v="299"/>
    <x v="92"/>
    <x v="391"/>
    <x v="94"/>
    <x v="113"/>
    <x v="0"/>
  </r>
  <r>
    <x v="0"/>
    <x v="50"/>
    <x v="50"/>
    <x v="36"/>
    <x v="36"/>
    <x v="36"/>
    <x v="14"/>
    <x v="142"/>
    <x v="12"/>
    <x v="107"/>
    <x v="292"/>
    <x v="94"/>
    <x v="113"/>
    <x v="0"/>
  </r>
  <r>
    <x v="0"/>
    <x v="50"/>
    <x v="50"/>
    <x v="16"/>
    <x v="16"/>
    <x v="16"/>
    <x v="14"/>
    <x v="142"/>
    <x v="12"/>
    <x v="114"/>
    <x v="193"/>
    <x v="41"/>
    <x v="296"/>
    <x v="0"/>
  </r>
  <r>
    <x v="0"/>
    <x v="50"/>
    <x v="50"/>
    <x v="61"/>
    <x v="61"/>
    <x v="61"/>
    <x v="14"/>
    <x v="142"/>
    <x v="12"/>
    <x v="114"/>
    <x v="193"/>
    <x v="41"/>
    <x v="296"/>
    <x v="0"/>
  </r>
  <r>
    <x v="0"/>
    <x v="50"/>
    <x v="50"/>
    <x v="85"/>
    <x v="85"/>
    <x v="85"/>
    <x v="14"/>
    <x v="142"/>
    <x v="12"/>
    <x v="90"/>
    <x v="388"/>
    <x v="90"/>
    <x v="23"/>
    <x v="0"/>
  </r>
  <r>
    <x v="0"/>
    <x v="50"/>
    <x v="50"/>
    <x v="8"/>
    <x v="8"/>
    <x v="8"/>
    <x v="14"/>
    <x v="142"/>
    <x v="12"/>
    <x v="107"/>
    <x v="292"/>
    <x v="94"/>
    <x v="113"/>
    <x v="0"/>
  </r>
  <r>
    <x v="0"/>
    <x v="50"/>
    <x v="50"/>
    <x v="9"/>
    <x v="9"/>
    <x v="9"/>
    <x v="14"/>
    <x v="142"/>
    <x v="12"/>
    <x v="107"/>
    <x v="292"/>
    <x v="94"/>
    <x v="113"/>
    <x v="0"/>
  </r>
  <r>
    <x v="0"/>
    <x v="50"/>
    <x v="50"/>
    <x v="10"/>
    <x v="10"/>
    <x v="10"/>
    <x v="14"/>
    <x v="142"/>
    <x v="12"/>
    <x v="107"/>
    <x v="292"/>
    <x v="94"/>
    <x v="113"/>
    <x v="0"/>
  </r>
  <r>
    <x v="0"/>
    <x v="50"/>
    <x v="50"/>
    <x v="150"/>
    <x v="150"/>
    <x v="150"/>
    <x v="14"/>
    <x v="142"/>
    <x v="12"/>
    <x v="114"/>
    <x v="193"/>
    <x v="41"/>
    <x v="296"/>
    <x v="0"/>
  </r>
  <r>
    <x v="0"/>
    <x v="50"/>
    <x v="50"/>
    <x v="52"/>
    <x v="52"/>
    <x v="52"/>
    <x v="14"/>
    <x v="142"/>
    <x v="12"/>
    <x v="114"/>
    <x v="193"/>
    <x v="41"/>
    <x v="296"/>
    <x v="0"/>
  </r>
  <r>
    <x v="0"/>
    <x v="51"/>
    <x v="51"/>
    <x v="6"/>
    <x v="6"/>
    <x v="6"/>
    <x v="0"/>
    <x v="137"/>
    <x v="222"/>
    <x v="114"/>
    <x v="193"/>
    <x v="82"/>
    <x v="297"/>
    <x v="0"/>
  </r>
  <r>
    <x v="0"/>
    <x v="51"/>
    <x v="51"/>
    <x v="0"/>
    <x v="0"/>
    <x v="0"/>
    <x v="0"/>
    <x v="137"/>
    <x v="222"/>
    <x v="51"/>
    <x v="392"/>
    <x v="94"/>
    <x v="113"/>
    <x v="0"/>
  </r>
  <r>
    <x v="0"/>
    <x v="51"/>
    <x v="51"/>
    <x v="5"/>
    <x v="5"/>
    <x v="5"/>
    <x v="2"/>
    <x v="139"/>
    <x v="223"/>
    <x v="91"/>
    <x v="390"/>
    <x v="94"/>
    <x v="113"/>
    <x v="0"/>
  </r>
  <r>
    <x v="0"/>
    <x v="51"/>
    <x v="51"/>
    <x v="22"/>
    <x v="22"/>
    <x v="22"/>
    <x v="2"/>
    <x v="139"/>
    <x v="223"/>
    <x v="91"/>
    <x v="390"/>
    <x v="94"/>
    <x v="113"/>
    <x v="0"/>
  </r>
  <r>
    <x v="0"/>
    <x v="51"/>
    <x v="51"/>
    <x v="131"/>
    <x v="131"/>
    <x v="131"/>
    <x v="4"/>
    <x v="140"/>
    <x v="300"/>
    <x v="114"/>
    <x v="193"/>
    <x v="83"/>
    <x v="248"/>
    <x v="0"/>
  </r>
  <r>
    <x v="0"/>
    <x v="51"/>
    <x v="51"/>
    <x v="30"/>
    <x v="30"/>
    <x v="30"/>
    <x v="4"/>
    <x v="140"/>
    <x v="300"/>
    <x v="90"/>
    <x v="388"/>
    <x v="41"/>
    <x v="249"/>
    <x v="0"/>
  </r>
  <r>
    <x v="0"/>
    <x v="51"/>
    <x v="51"/>
    <x v="151"/>
    <x v="151"/>
    <x v="151"/>
    <x v="4"/>
    <x v="140"/>
    <x v="300"/>
    <x v="114"/>
    <x v="193"/>
    <x v="83"/>
    <x v="248"/>
    <x v="0"/>
  </r>
  <r>
    <x v="0"/>
    <x v="51"/>
    <x v="51"/>
    <x v="20"/>
    <x v="20"/>
    <x v="20"/>
    <x v="4"/>
    <x v="140"/>
    <x v="300"/>
    <x v="92"/>
    <x v="391"/>
    <x v="94"/>
    <x v="113"/>
    <x v="0"/>
  </r>
  <r>
    <x v="0"/>
    <x v="51"/>
    <x v="51"/>
    <x v="49"/>
    <x v="49"/>
    <x v="49"/>
    <x v="4"/>
    <x v="140"/>
    <x v="300"/>
    <x v="90"/>
    <x v="388"/>
    <x v="41"/>
    <x v="249"/>
    <x v="0"/>
  </r>
  <r>
    <x v="0"/>
    <x v="51"/>
    <x v="51"/>
    <x v="152"/>
    <x v="152"/>
    <x v="152"/>
    <x v="4"/>
    <x v="140"/>
    <x v="300"/>
    <x v="114"/>
    <x v="193"/>
    <x v="83"/>
    <x v="248"/>
    <x v="0"/>
  </r>
  <r>
    <x v="0"/>
    <x v="51"/>
    <x v="51"/>
    <x v="2"/>
    <x v="2"/>
    <x v="2"/>
    <x v="4"/>
    <x v="140"/>
    <x v="300"/>
    <x v="92"/>
    <x v="391"/>
    <x v="94"/>
    <x v="113"/>
    <x v="0"/>
  </r>
  <r>
    <x v="0"/>
    <x v="51"/>
    <x v="51"/>
    <x v="40"/>
    <x v="40"/>
    <x v="40"/>
    <x v="10"/>
    <x v="142"/>
    <x v="8"/>
    <x v="90"/>
    <x v="388"/>
    <x v="90"/>
    <x v="250"/>
    <x v="0"/>
  </r>
  <r>
    <x v="0"/>
    <x v="51"/>
    <x v="51"/>
    <x v="38"/>
    <x v="38"/>
    <x v="38"/>
    <x v="10"/>
    <x v="142"/>
    <x v="8"/>
    <x v="114"/>
    <x v="193"/>
    <x v="41"/>
    <x v="249"/>
    <x v="0"/>
  </r>
  <r>
    <x v="0"/>
    <x v="51"/>
    <x v="51"/>
    <x v="153"/>
    <x v="153"/>
    <x v="153"/>
    <x v="10"/>
    <x v="142"/>
    <x v="8"/>
    <x v="114"/>
    <x v="193"/>
    <x v="41"/>
    <x v="249"/>
    <x v="0"/>
  </r>
  <r>
    <x v="0"/>
    <x v="51"/>
    <x v="51"/>
    <x v="115"/>
    <x v="115"/>
    <x v="115"/>
    <x v="10"/>
    <x v="142"/>
    <x v="8"/>
    <x v="107"/>
    <x v="292"/>
    <x v="94"/>
    <x v="113"/>
    <x v="0"/>
  </r>
  <r>
    <x v="0"/>
    <x v="51"/>
    <x v="51"/>
    <x v="11"/>
    <x v="11"/>
    <x v="11"/>
    <x v="10"/>
    <x v="142"/>
    <x v="8"/>
    <x v="114"/>
    <x v="193"/>
    <x v="41"/>
    <x v="249"/>
    <x v="0"/>
  </r>
  <r>
    <x v="0"/>
    <x v="51"/>
    <x v="51"/>
    <x v="53"/>
    <x v="53"/>
    <x v="53"/>
    <x v="10"/>
    <x v="142"/>
    <x v="8"/>
    <x v="107"/>
    <x v="292"/>
    <x v="94"/>
    <x v="113"/>
    <x v="0"/>
  </r>
  <r>
    <x v="0"/>
    <x v="51"/>
    <x v="51"/>
    <x v="18"/>
    <x v="18"/>
    <x v="18"/>
    <x v="10"/>
    <x v="142"/>
    <x v="8"/>
    <x v="90"/>
    <x v="388"/>
    <x v="90"/>
    <x v="250"/>
    <x v="0"/>
  </r>
  <r>
    <x v="0"/>
    <x v="51"/>
    <x v="51"/>
    <x v="8"/>
    <x v="8"/>
    <x v="8"/>
    <x v="10"/>
    <x v="142"/>
    <x v="8"/>
    <x v="90"/>
    <x v="388"/>
    <x v="90"/>
    <x v="250"/>
    <x v="0"/>
  </r>
  <r>
    <x v="0"/>
    <x v="51"/>
    <x v="51"/>
    <x v="19"/>
    <x v="19"/>
    <x v="19"/>
    <x v="10"/>
    <x v="142"/>
    <x v="8"/>
    <x v="114"/>
    <x v="193"/>
    <x v="41"/>
    <x v="249"/>
    <x v="0"/>
  </r>
  <r>
    <x v="0"/>
    <x v="51"/>
    <x v="51"/>
    <x v="1"/>
    <x v="1"/>
    <x v="1"/>
    <x v="10"/>
    <x v="142"/>
    <x v="8"/>
    <x v="114"/>
    <x v="193"/>
    <x v="41"/>
    <x v="249"/>
    <x v="0"/>
  </r>
  <r>
    <x v="0"/>
    <x v="51"/>
    <x v="51"/>
    <x v="17"/>
    <x v="17"/>
    <x v="17"/>
    <x v="10"/>
    <x v="142"/>
    <x v="8"/>
    <x v="114"/>
    <x v="193"/>
    <x v="41"/>
    <x v="249"/>
    <x v="0"/>
  </r>
  <r>
    <x v="0"/>
    <x v="51"/>
    <x v="51"/>
    <x v="111"/>
    <x v="111"/>
    <x v="111"/>
    <x v="10"/>
    <x v="142"/>
    <x v="8"/>
    <x v="90"/>
    <x v="388"/>
    <x v="90"/>
    <x v="250"/>
    <x v="0"/>
  </r>
  <r>
    <x v="0"/>
    <x v="51"/>
    <x v="51"/>
    <x v="48"/>
    <x v="48"/>
    <x v="48"/>
    <x v="10"/>
    <x v="142"/>
    <x v="8"/>
    <x v="114"/>
    <x v="193"/>
    <x v="90"/>
    <x v="250"/>
    <x v="0"/>
  </r>
  <r>
    <x v="0"/>
    <x v="52"/>
    <x v="52"/>
    <x v="6"/>
    <x v="6"/>
    <x v="6"/>
    <x v="0"/>
    <x v="141"/>
    <x v="301"/>
    <x v="114"/>
    <x v="193"/>
    <x v="42"/>
    <x v="298"/>
    <x v="1"/>
  </r>
  <r>
    <x v="0"/>
    <x v="52"/>
    <x v="52"/>
    <x v="29"/>
    <x v="29"/>
    <x v="29"/>
    <x v="1"/>
    <x v="139"/>
    <x v="248"/>
    <x v="114"/>
    <x v="193"/>
    <x v="84"/>
    <x v="299"/>
    <x v="0"/>
  </r>
  <r>
    <x v="0"/>
    <x v="52"/>
    <x v="52"/>
    <x v="16"/>
    <x v="16"/>
    <x v="16"/>
    <x v="2"/>
    <x v="140"/>
    <x v="271"/>
    <x v="114"/>
    <x v="193"/>
    <x v="83"/>
    <x v="191"/>
    <x v="0"/>
  </r>
  <r>
    <x v="0"/>
    <x v="52"/>
    <x v="52"/>
    <x v="30"/>
    <x v="30"/>
    <x v="30"/>
    <x v="2"/>
    <x v="140"/>
    <x v="271"/>
    <x v="114"/>
    <x v="193"/>
    <x v="83"/>
    <x v="191"/>
    <x v="0"/>
  </r>
  <r>
    <x v="0"/>
    <x v="52"/>
    <x v="52"/>
    <x v="154"/>
    <x v="154"/>
    <x v="154"/>
    <x v="2"/>
    <x v="140"/>
    <x v="271"/>
    <x v="114"/>
    <x v="193"/>
    <x v="83"/>
    <x v="191"/>
    <x v="0"/>
  </r>
  <r>
    <x v="0"/>
    <x v="52"/>
    <x v="52"/>
    <x v="131"/>
    <x v="131"/>
    <x v="131"/>
    <x v="5"/>
    <x v="142"/>
    <x v="250"/>
    <x v="114"/>
    <x v="193"/>
    <x v="41"/>
    <x v="300"/>
    <x v="0"/>
  </r>
  <r>
    <x v="0"/>
    <x v="52"/>
    <x v="52"/>
    <x v="43"/>
    <x v="43"/>
    <x v="43"/>
    <x v="5"/>
    <x v="142"/>
    <x v="250"/>
    <x v="90"/>
    <x v="304"/>
    <x v="90"/>
    <x v="301"/>
    <x v="0"/>
  </r>
  <r>
    <x v="0"/>
    <x v="52"/>
    <x v="52"/>
    <x v="149"/>
    <x v="149"/>
    <x v="149"/>
    <x v="5"/>
    <x v="142"/>
    <x v="250"/>
    <x v="114"/>
    <x v="193"/>
    <x v="41"/>
    <x v="300"/>
    <x v="0"/>
  </r>
  <r>
    <x v="0"/>
    <x v="52"/>
    <x v="52"/>
    <x v="8"/>
    <x v="8"/>
    <x v="8"/>
    <x v="5"/>
    <x v="142"/>
    <x v="250"/>
    <x v="114"/>
    <x v="193"/>
    <x v="41"/>
    <x v="300"/>
    <x v="0"/>
  </r>
  <r>
    <x v="0"/>
    <x v="52"/>
    <x v="52"/>
    <x v="152"/>
    <x v="152"/>
    <x v="152"/>
    <x v="5"/>
    <x v="142"/>
    <x v="250"/>
    <x v="114"/>
    <x v="193"/>
    <x v="41"/>
    <x v="300"/>
    <x v="0"/>
  </r>
  <r>
    <x v="0"/>
    <x v="52"/>
    <x v="52"/>
    <x v="78"/>
    <x v="78"/>
    <x v="78"/>
    <x v="5"/>
    <x v="142"/>
    <x v="250"/>
    <x v="114"/>
    <x v="193"/>
    <x v="90"/>
    <x v="301"/>
    <x v="0"/>
  </r>
  <r>
    <x v="0"/>
    <x v="52"/>
    <x v="52"/>
    <x v="128"/>
    <x v="128"/>
    <x v="128"/>
    <x v="5"/>
    <x v="142"/>
    <x v="250"/>
    <x v="107"/>
    <x v="393"/>
    <x v="94"/>
    <x v="113"/>
    <x v="0"/>
  </r>
  <r>
    <x v="0"/>
    <x v="52"/>
    <x v="52"/>
    <x v="38"/>
    <x v="38"/>
    <x v="38"/>
    <x v="11"/>
    <x v="143"/>
    <x v="86"/>
    <x v="114"/>
    <x v="193"/>
    <x v="90"/>
    <x v="301"/>
    <x v="0"/>
  </r>
  <r>
    <x v="0"/>
    <x v="52"/>
    <x v="52"/>
    <x v="44"/>
    <x v="44"/>
    <x v="44"/>
    <x v="11"/>
    <x v="143"/>
    <x v="86"/>
    <x v="114"/>
    <x v="193"/>
    <x v="90"/>
    <x v="301"/>
    <x v="0"/>
  </r>
  <r>
    <x v="0"/>
    <x v="52"/>
    <x v="52"/>
    <x v="13"/>
    <x v="13"/>
    <x v="13"/>
    <x v="11"/>
    <x v="143"/>
    <x v="86"/>
    <x v="114"/>
    <x v="193"/>
    <x v="90"/>
    <x v="301"/>
    <x v="0"/>
  </r>
  <r>
    <x v="0"/>
    <x v="52"/>
    <x v="52"/>
    <x v="148"/>
    <x v="148"/>
    <x v="148"/>
    <x v="11"/>
    <x v="143"/>
    <x v="86"/>
    <x v="114"/>
    <x v="193"/>
    <x v="90"/>
    <x v="301"/>
    <x v="0"/>
  </r>
  <r>
    <x v="0"/>
    <x v="52"/>
    <x v="52"/>
    <x v="153"/>
    <x v="153"/>
    <x v="153"/>
    <x v="11"/>
    <x v="143"/>
    <x v="86"/>
    <x v="114"/>
    <x v="193"/>
    <x v="90"/>
    <x v="301"/>
    <x v="0"/>
  </r>
  <r>
    <x v="0"/>
    <x v="52"/>
    <x v="52"/>
    <x v="155"/>
    <x v="155"/>
    <x v="155"/>
    <x v="11"/>
    <x v="143"/>
    <x v="86"/>
    <x v="114"/>
    <x v="193"/>
    <x v="90"/>
    <x v="301"/>
    <x v="0"/>
  </r>
  <r>
    <x v="0"/>
    <x v="52"/>
    <x v="52"/>
    <x v="61"/>
    <x v="61"/>
    <x v="61"/>
    <x v="11"/>
    <x v="143"/>
    <x v="86"/>
    <x v="114"/>
    <x v="193"/>
    <x v="90"/>
    <x v="301"/>
    <x v="0"/>
  </r>
  <r>
    <x v="0"/>
    <x v="52"/>
    <x v="52"/>
    <x v="94"/>
    <x v="94"/>
    <x v="94"/>
    <x v="11"/>
    <x v="143"/>
    <x v="86"/>
    <x v="114"/>
    <x v="193"/>
    <x v="90"/>
    <x v="301"/>
    <x v="0"/>
  </r>
  <r>
    <x v="0"/>
    <x v="52"/>
    <x v="52"/>
    <x v="97"/>
    <x v="97"/>
    <x v="97"/>
    <x v="11"/>
    <x v="143"/>
    <x v="86"/>
    <x v="114"/>
    <x v="193"/>
    <x v="90"/>
    <x v="301"/>
    <x v="0"/>
  </r>
  <r>
    <x v="0"/>
    <x v="52"/>
    <x v="52"/>
    <x v="156"/>
    <x v="156"/>
    <x v="156"/>
    <x v="11"/>
    <x v="143"/>
    <x v="86"/>
    <x v="114"/>
    <x v="193"/>
    <x v="90"/>
    <x v="301"/>
    <x v="0"/>
  </r>
  <r>
    <x v="0"/>
    <x v="52"/>
    <x v="52"/>
    <x v="157"/>
    <x v="157"/>
    <x v="157"/>
    <x v="11"/>
    <x v="143"/>
    <x v="86"/>
    <x v="114"/>
    <x v="193"/>
    <x v="90"/>
    <x v="301"/>
    <x v="0"/>
  </r>
  <r>
    <x v="0"/>
    <x v="52"/>
    <x v="52"/>
    <x v="158"/>
    <x v="158"/>
    <x v="158"/>
    <x v="11"/>
    <x v="143"/>
    <x v="86"/>
    <x v="114"/>
    <x v="193"/>
    <x v="90"/>
    <x v="301"/>
    <x v="0"/>
  </r>
  <r>
    <x v="0"/>
    <x v="52"/>
    <x v="52"/>
    <x v="159"/>
    <x v="159"/>
    <x v="159"/>
    <x v="11"/>
    <x v="143"/>
    <x v="86"/>
    <x v="114"/>
    <x v="193"/>
    <x v="90"/>
    <x v="301"/>
    <x v="0"/>
  </r>
  <r>
    <x v="0"/>
    <x v="52"/>
    <x v="52"/>
    <x v="28"/>
    <x v="28"/>
    <x v="28"/>
    <x v="11"/>
    <x v="143"/>
    <x v="86"/>
    <x v="114"/>
    <x v="193"/>
    <x v="90"/>
    <x v="301"/>
    <x v="0"/>
  </r>
  <r>
    <x v="0"/>
    <x v="52"/>
    <x v="52"/>
    <x v="160"/>
    <x v="160"/>
    <x v="160"/>
    <x v="11"/>
    <x v="143"/>
    <x v="86"/>
    <x v="114"/>
    <x v="193"/>
    <x v="90"/>
    <x v="301"/>
    <x v="0"/>
  </r>
  <r>
    <x v="0"/>
    <x v="52"/>
    <x v="52"/>
    <x v="46"/>
    <x v="46"/>
    <x v="46"/>
    <x v="11"/>
    <x v="143"/>
    <x v="86"/>
    <x v="114"/>
    <x v="193"/>
    <x v="90"/>
    <x v="301"/>
    <x v="0"/>
  </r>
  <r>
    <x v="0"/>
    <x v="52"/>
    <x v="52"/>
    <x v="25"/>
    <x v="25"/>
    <x v="25"/>
    <x v="11"/>
    <x v="143"/>
    <x v="86"/>
    <x v="114"/>
    <x v="193"/>
    <x v="90"/>
    <x v="301"/>
    <x v="0"/>
  </r>
  <r>
    <x v="0"/>
    <x v="52"/>
    <x v="52"/>
    <x v="55"/>
    <x v="55"/>
    <x v="55"/>
    <x v="11"/>
    <x v="143"/>
    <x v="86"/>
    <x v="90"/>
    <x v="304"/>
    <x v="94"/>
    <x v="113"/>
    <x v="0"/>
  </r>
  <r>
    <x v="0"/>
    <x v="52"/>
    <x v="52"/>
    <x v="17"/>
    <x v="17"/>
    <x v="17"/>
    <x v="11"/>
    <x v="143"/>
    <x v="86"/>
    <x v="114"/>
    <x v="193"/>
    <x v="90"/>
    <x v="301"/>
    <x v="0"/>
  </r>
  <r>
    <x v="0"/>
    <x v="52"/>
    <x v="52"/>
    <x v="161"/>
    <x v="161"/>
    <x v="161"/>
    <x v="11"/>
    <x v="143"/>
    <x v="86"/>
    <x v="114"/>
    <x v="193"/>
    <x v="90"/>
    <x v="301"/>
    <x v="0"/>
  </r>
  <r>
    <x v="0"/>
    <x v="52"/>
    <x v="52"/>
    <x v="54"/>
    <x v="54"/>
    <x v="54"/>
    <x v="11"/>
    <x v="143"/>
    <x v="86"/>
    <x v="90"/>
    <x v="304"/>
    <x v="94"/>
    <x v="113"/>
    <x v="0"/>
  </r>
  <r>
    <x v="0"/>
    <x v="52"/>
    <x v="52"/>
    <x v="58"/>
    <x v="58"/>
    <x v="58"/>
    <x v="11"/>
    <x v="143"/>
    <x v="86"/>
    <x v="90"/>
    <x v="304"/>
    <x v="94"/>
    <x v="113"/>
    <x v="0"/>
  </r>
  <r>
    <x v="0"/>
    <x v="52"/>
    <x v="52"/>
    <x v="27"/>
    <x v="27"/>
    <x v="27"/>
    <x v="11"/>
    <x v="143"/>
    <x v="86"/>
    <x v="114"/>
    <x v="193"/>
    <x v="90"/>
    <x v="301"/>
    <x v="0"/>
  </r>
  <r>
    <x v="0"/>
    <x v="52"/>
    <x v="52"/>
    <x v="2"/>
    <x v="2"/>
    <x v="2"/>
    <x v="11"/>
    <x v="143"/>
    <x v="86"/>
    <x v="114"/>
    <x v="193"/>
    <x v="90"/>
    <x v="301"/>
    <x v="0"/>
  </r>
  <r>
    <x v="0"/>
    <x v="52"/>
    <x v="52"/>
    <x v="0"/>
    <x v="0"/>
    <x v="0"/>
    <x v="11"/>
    <x v="143"/>
    <x v="86"/>
    <x v="90"/>
    <x v="304"/>
    <x v="94"/>
    <x v="113"/>
    <x v="0"/>
  </r>
  <r>
    <x v="0"/>
    <x v="52"/>
    <x v="52"/>
    <x v="111"/>
    <x v="111"/>
    <x v="111"/>
    <x v="11"/>
    <x v="143"/>
    <x v="86"/>
    <x v="114"/>
    <x v="193"/>
    <x v="90"/>
    <x v="301"/>
    <x v="0"/>
  </r>
  <r>
    <x v="0"/>
    <x v="52"/>
    <x v="52"/>
    <x v="60"/>
    <x v="60"/>
    <x v="60"/>
    <x v="11"/>
    <x v="143"/>
    <x v="86"/>
    <x v="114"/>
    <x v="193"/>
    <x v="90"/>
    <x v="301"/>
    <x v="0"/>
  </r>
  <r>
    <x v="0"/>
    <x v="52"/>
    <x v="52"/>
    <x v="14"/>
    <x v="14"/>
    <x v="14"/>
    <x v="11"/>
    <x v="143"/>
    <x v="86"/>
    <x v="114"/>
    <x v="193"/>
    <x v="90"/>
    <x v="301"/>
    <x v="0"/>
  </r>
  <r>
    <x v="0"/>
    <x v="52"/>
    <x v="52"/>
    <x v="162"/>
    <x v="162"/>
    <x v="162"/>
    <x v="11"/>
    <x v="143"/>
    <x v="86"/>
    <x v="114"/>
    <x v="193"/>
    <x v="90"/>
    <x v="301"/>
    <x v="0"/>
  </r>
  <r>
    <x v="0"/>
    <x v="52"/>
    <x v="52"/>
    <x v="163"/>
    <x v="163"/>
    <x v="163"/>
    <x v="11"/>
    <x v="143"/>
    <x v="86"/>
    <x v="114"/>
    <x v="193"/>
    <x v="90"/>
    <x v="301"/>
    <x v="0"/>
  </r>
  <r>
    <x v="0"/>
    <x v="52"/>
    <x v="52"/>
    <x v="164"/>
    <x v="164"/>
    <x v="164"/>
    <x v="11"/>
    <x v="143"/>
    <x v="86"/>
    <x v="114"/>
    <x v="193"/>
    <x v="90"/>
    <x v="301"/>
    <x v="0"/>
  </r>
  <r>
    <x v="0"/>
    <x v="53"/>
    <x v="53"/>
    <x v="132"/>
    <x v="132"/>
    <x v="132"/>
    <x v="0"/>
    <x v="139"/>
    <x v="302"/>
    <x v="92"/>
    <x v="364"/>
    <x v="90"/>
    <x v="166"/>
    <x v="0"/>
  </r>
  <r>
    <x v="0"/>
    <x v="53"/>
    <x v="53"/>
    <x v="32"/>
    <x v="32"/>
    <x v="32"/>
    <x v="0"/>
    <x v="139"/>
    <x v="302"/>
    <x v="92"/>
    <x v="364"/>
    <x v="90"/>
    <x v="166"/>
    <x v="0"/>
  </r>
  <r>
    <x v="0"/>
    <x v="53"/>
    <x v="53"/>
    <x v="16"/>
    <x v="16"/>
    <x v="16"/>
    <x v="2"/>
    <x v="140"/>
    <x v="220"/>
    <x v="107"/>
    <x v="306"/>
    <x v="90"/>
    <x v="166"/>
    <x v="0"/>
  </r>
  <r>
    <x v="0"/>
    <x v="53"/>
    <x v="53"/>
    <x v="5"/>
    <x v="5"/>
    <x v="5"/>
    <x v="3"/>
    <x v="142"/>
    <x v="303"/>
    <x v="107"/>
    <x v="306"/>
    <x v="94"/>
    <x v="113"/>
    <x v="0"/>
  </r>
  <r>
    <x v="0"/>
    <x v="53"/>
    <x v="53"/>
    <x v="12"/>
    <x v="12"/>
    <x v="12"/>
    <x v="3"/>
    <x v="142"/>
    <x v="303"/>
    <x v="107"/>
    <x v="306"/>
    <x v="94"/>
    <x v="113"/>
    <x v="0"/>
  </r>
  <r>
    <x v="0"/>
    <x v="53"/>
    <x v="53"/>
    <x v="101"/>
    <x v="101"/>
    <x v="101"/>
    <x v="3"/>
    <x v="142"/>
    <x v="303"/>
    <x v="114"/>
    <x v="193"/>
    <x v="41"/>
    <x v="210"/>
    <x v="0"/>
  </r>
  <r>
    <x v="0"/>
    <x v="53"/>
    <x v="53"/>
    <x v="9"/>
    <x v="9"/>
    <x v="9"/>
    <x v="3"/>
    <x v="142"/>
    <x v="303"/>
    <x v="107"/>
    <x v="306"/>
    <x v="94"/>
    <x v="113"/>
    <x v="0"/>
  </r>
  <r>
    <x v="0"/>
    <x v="53"/>
    <x v="53"/>
    <x v="6"/>
    <x v="6"/>
    <x v="6"/>
    <x v="19"/>
    <x v="143"/>
    <x v="53"/>
    <x v="114"/>
    <x v="193"/>
    <x v="90"/>
    <x v="166"/>
    <x v="0"/>
  </r>
  <r>
    <x v="0"/>
    <x v="53"/>
    <x v="53"/>
    <x v="15"/>
    <x v="15"/>
    <x v="15"/>
    <x v="19"/>
    <x v="143"/>
    <x v="53"/>
    <x v="114"/>
    <x v="193"/>
    <x v="90"/>
    <x v="166"/>
    <x v="0"/>
  </r>
  <r>
    <x v="0"/>
    <x v="53"/>
    <x v="53"/>
    <x v="38"/>
    <x v="38"/>
    <x v="38"/>
    <x v="19"/>
    <x v="143"/>
    <x v="53"/>
    <x v="114"/>
    <x v="193"/>
    <x v="90"/>
    <x v="166"/>
    <x v="0"/>
  </r>
  <r>
    <x v="0"/>
    <x v="53"/>
    <x v="53"/>
    <x v="165"/>
    <x v="165"/>
    <x v="165"/>
    <x v="19"/>
    <x v="143"/>
    <x v="53"/>
    <x v="90"/>
    <x v="242"/>
    <x v="94"/>
    <x v="113"/>
    <x v="0"/>
  </r>
  <r>
    <x v="0"/>
    <x v="53"/>
    <x v="53"/>
    <x v="29"/>
    <x v="29"/>
    <x v="29"/>
    <x v="19"/>
    <x v="143"/>
    <x v="53"/>
    <x v="90"/>
    <x v="242"/>
    <x v="94"/>
    <x v="113"/>
    <x v="0"/>
  </r>
  <r>
    <x v="0"/>
    <x v="53"/>
    <x v="53"/>
    <x v="13"/>
    <x v="13"/>
    <x v="13"/>
    <x v="19"/>
    <x v="143"/>
    <x v="53"/>
    <x v="114"/>
    <x v="193"/>
    <x v="90"/>
    <x v="166"/>
    <x v="0"/>
  </r>
  <r>
    <x v="0"/>
    <x v="53"/>
    <x v="53"/>
    <x v="153"/>
    <x v="153"/>
    <x v="153"/>
    <x v="19"/>
    <x v="143"/>
    <x v="53"/>
    <x v="114"/>
    <x v="193"/>
    <x v="90"/>
    <x v="166"/>
    <x v="0"/>
  </r>
  <r>
    <x v="0"/>
    <x v="53"/>
    <x v="53"/>
    <x v="79"/>
    <x v="79"/>
    <x v="79"/>
    <x v="19"/>
    <x v="143"/>
    <x v="53"/>
    <x v="114"/>
    <x v="193"/>
    <x v="90"/>
    <x v="166"/>
    <x v="0"/>
  </r>
  <r>
    <x v="0"/>
    <x v="53"/>
    <x v="53"/>
    <x v="166"/>
    <x v="166"/>
    <x v="166"/>
    <x v="19"/>
    <x v="143"/>
    <x v="53"/>
    <x v="114"/>
    <x v="193"/>
    <x v="90"/>
    <x v="166"/>
    <x v="0"/>
  </r>
  <r>
    <x v="0"/>
    <x v="53"/>
    <x v="53"/>
    <x v="122"/>
    <x v="122"/>
    <x v="122"/>
    <x v="19"/>
    <x v="143"/>
    <x v="53"/>
    <x v="114"/>
    <x v="193"/>
    <x v="90"/>
    <x v="166"/>
    <x v="0"/>
  </r>
  <r>
    <x v="0"/>
    <x v="53"/>
    <x v="53"/>
    <x v="80"/>
    <x v="80"/>
    <x v="80"/>
    <x v="19"/>
    <x v="143"/>
    <x v="53"/>
    <x v="114"/>
    <x v="193"/>
    <x v="90"/>
    <x v="166"/>
    <x v="0"/>
  </r>
  <r>
    <x v="0"/>
    <x v="53"/>
    <x v="53"/>
    <x v="64"/>
    <x v="64"/>
    <x v="64"/>
    <x v="19"/>
    <x v="143"/>
    <x v="53"/>
    <x v="114"/>
    <x v="193"/>
    <x v="90"/>
    <x v="166"/>
    <x v="0"/>
  </r>
  <r>
    <x v="0"/>
    <x v="53"/>
    <x v="53"/>
    <x v="56"/>
    <x v="56"/>
    <x v="56"/>
    <x v="19"/>
    <x v="143"/>
    <x v="53"/>
    <x v="90"/>
    <x v="242"/>
    <x v="94"/>
    <x v="113"/>
    <x v="0"/>
  </r>
  <r>
    <x v="0"/>
    <x v="53"/>
    <x v="53"/>
    <x v="50"/>
    <x v="50"/>
    <x v="50"/>
    <x v="19"/>
    <x v="143"/>
    <x v="53"/>
    <x v="90"/>
    <x v="242"/>
    <x v="94"/>
    <x v="113"/>
    <x v="0"/>
  </r>
  <r>
    <x v="0"/>
    <x v="53"/>
    <x v="53"/>
    <x v="53"/>
    <x v="53"/>
    <x v="53"/>
    <x v="19"/>
    <x v="143"/>
    <x v="53"/>
    <x v="90"/>
    <x v="242"/>
    <x v="94"/>
    <x v="113"/>
    <x v="0"/>
  </r>
  <r>
    <x v="0"/>
    <x v="53"/>
    <x v="53"/>
    <x v="69"/>
    <x v="69"/>
    <x v="69"/>
    <x v="19"/>
    <x v="143"/>
    <x v="53"/>
    <x v="114"/>
    <x v="193"/>
    <x v="90"/>
    <x v="166"/>
    <x v="0"/>
  </r>
  <r>
    <x v="0"/>
    <x v="53"/>
    <x v="53"/>
    <x v="49"/>
    <x v="49"/>
    <x v="49"/>
    <x v="19"/>
    <x v="143"/>
    <x v="53"/>
    <x v="90"/>
    <x v="242"/>
    <x v="94"/>
    <x v="113"/>
    <x v="0"/>
  </r>
  <r>
    <x v="0"/>
    <x v="53"/>
    <x v="53"/>
    <x v="54"/>
    <x v="54"/>
    <x v="54"/>
    <x v="19"/>
    <x v="143"/>
    <x v="53"/>
    <x v="90"/>
    <x v="242"/>
    <x v="94"/>
    <x v="113"/>
    <x v="0"/>
  </r>
  <r>
    <x v="0"/>
    <x v="53"/>
    <x v="53"/>
    <x v="3"/>
    <x v="3"/>
    <x v="3"/>
    <x v="19"/>
    <x v="143"/>
    <x v="53"/>
    <x v="90"/>
    <x v="242"/>
    <x v="94"/>
    <x v="113"/>
    <x v="0"/>
  </r>
  <r>
    <x v="0"/>
    <x v="53"/>
    <x v="53"/>
    <x v="7"/>
    <x v="7"/>
    <x v="7"/>
    <x v="19"/>
    <x v="143"/>
    <x v="53"/>
    <x v="90"/>
    <x v="242"/>
    <x v="94"/>
    <x v="113"/>
    <x v="0"/>
  </r>
  <r>
    <x v="0"/>
    <x v="53"/>
    <x v="53"/>
    <x v="27"/>
    <x v="27"/>
    <x v="27"/>
    <x v="19"/>
    <x v="143"/>
    <x v="53"/>
    <x v="114"/>
    <x v="193"/>
    <x v="90"/>
    <x v="166"/>
    <x v="0"/>
  </r>
  <r>
    <x v="0"/>
    <x v="53"/>
    <x v="53"/>
    <x v="24"/>
    <x v="24"/>
    <x v="24"/>
    <x v="19"/>
    <x v="143"/>
    <x v="53"/>
    <x v="114"/>
    <x v="193"/>
    <x v="90"/>
    <x v="166"/>
    <x v="0"/>
  </r>
  <r>
    <x v="0"/>
    <x v="53"/>
    <x v="53"/>
    <x v="2"/>
    <x v="2"/>
    <x v="2"/>
    <x v="19"/>
    <x v="143"/>
    <x v="53"/>
    <x v="90"/>
    <x v="242"/>
    <x v="94"/>
    <x v="113"/>
    <x v="0"/>
  </r>
  <r>
    <x v="0"/>
    <x v="53"/>
    <x v="53"/>
    <x v="167"/>
    <x v="167"/>
    <x v="167"/>
    <x v="19"/>
    <x v="143"/>
    <x v="53"/>
    <x v="114"/>
    <x v="193"/>
    <x v="90"/>
    <x v="166"/>
    <x v="0"/>
  </r>
  <r>
    <x v="0"/>
    <x v="53"/>
    <x v="53"/>
    <x v="168"/>
    <x v="168"/>
    <x v="168"/>
    <x v="19"/>
    <x v="143"/>
    <x v="53"/>
    <x v="114"/>
    <x v="193"/>
    <x v="94"/>
    <x v="113"/>
    <x v="1"/>
  </r>
  <r>
    <x v="0"/>
    <x v="53"/>
    <x v="53"/>
    <x v="14"/>
    <x v="14"/>
    <x v="14"/>
    <x v="19"/>
    <x v="143"/>
    <x v="53"/>
    <x v="114"/>
    <x v="193"/>
    <x v="90"/>
    <x v="166"/>
    <x v="0"/>
  </r>
  <r>
    <x v="0"/>
    <x v="54"/>
    <x v="54"/>
    <x v="8"/>
    <x v="8"/>
    <x v="8"/>
    <x v="0"/>
    <x v="142"/>
    <x v="304"/>
    <x v="114"/>
    <x v="193"/>
    <x v="41"/>
    <x v="302"/>
    <x v="0"/>
  </r>
  <r>
    <x v="0"/>
    <x v="54"/>
    <x v="54"/>
    <x v="6"/>
    <x v="6"/>
    <x v="6"/>
    <x v="1"/>
    <x v="143"/>
    <x v="305"/>
    <x v="114"/>
    <x v="193"/>
    <x v="90"/>
    <x v="303"/>
    <x v="0"/>
  </r>
  <r>
    <x v="0"/>
    <x v="54"/>
    <x v="54"/>
    <x v="15"/>
    <x v="15"/>
    <x v="15"/>
    <x v="1"/>
    <x v="143"/>
    <x v="305"/>
    <x v="114"/>
    <x v="193"/>
    <x v="90"/>
    <x v="303"/>
    <x v="0"/>
  </r>
  <r>
    <x v="0"/>
    <x v="54"/>
    <x v="54"/>
    <x v="122"/>
    <x v="122"/>
    <x v="122"/>
    <x v="1"/>
    <x v="143"/>
    <x v="305"/>
    <x v="114"/>
    <x v="193"/>
    <x v="90"/>
    <x v="303"/>
    <x v="0"/>
  </r>
  <r>
    <x v="0"/>
    <x v="54"/>
    <x v="54"/>
    <x v="35"/>
    <x v="35"/>
    <x v="35"/>
    <x v="1"/>
    <x v="143"/>
    <x v="305"/>
    <x v="90"/>
    <x v="394"/>
    <x v="94"/>
    <x v="113"/>
    <x v="0"/>
  </r>
  <r>
    <x v="0"/>
    <x v="54"/>
    <x v="54"/>
    <x v="68"/>
    <x v="68"/>
    <x v="68"/>
    <x v="1"/>
    <x v="143"/>
    <x v="305"/>
    <x v="90"/>
    <x v="394"/>
    <x v="94"/>
    <x v="113"/>
    <x v="0"/>
  </r>
  <r>
    <x v="0"/>
    <x v="54"/>
    <x v="54"/>
    <x v="169"/>
    <x v="169"/>
    <x v="169"/>
    <x v="1"/>
    <x v="143"/>
    <x v="305"/>
    <x v="90"/>
    <x v="394"/>
    <x v="94"/>
    <x v="113"/>
    <x v="0"/>
  </r>
  <r>
    <x v="0"/>
    <x v="54"/>
    <x v="54"/>
    <x v="41"/>
    <x v="41"/>
    <x v="41"/>
    <x v="1"/>
    <x v="143"/>
    <x v="305"/>
    <x v="114"/>
    <x v="193"/>
    <x v="94"/>
    <x v="113"/>
    <x v="0"/>
  </r>
  <r>
    <x v="0"/>
    <x v="55"/>
    <x v="55"/>
    <x v="15"/>
    <x v="15"/>
    <x v="15"/>
    <x v="0"/>
    <x v="143"/>
    <x v="306"/>
    <x v="114"/>
    <x v="395"/>
    <x v="90"/>
    <x v="304"/>
    <x v="0"/>
  </r>
  <r>
    <x v="0"/>
    <x v="55"/>
    <x v="55"/>
    <x v="38"/>
    <x v="38"/>
    <x v="38"/>
    <x v="0"/>
    <x v="143"/>
    <x v="306"/>
    <x v="114"/>
    <x v="395"/>
    <x v="90"/>
    <x v="304"/>
    <x v="0"/>
  </r>
  <r>
    <x v="0"/>
    <x v="55"/>
    <x v="55"/>
    <x v="45"/>
    <x v="45"/>
    <x v="45"/>
    <x v="0"/>
    <x v="143"/>
    <x v="306"/>
    <x v="114"/>
    <x v="395"/>
    <x v="90"/>
    <x v="304"/>
    <x v="0"/>
  </r>
  <r>
    <x v="0"/>
    <x v="56"/>
    <x v="56"/>
    <x v="3"/>
    <x v="3"/>
    <x v="3"/>
    <x v="0"/>
    <x v="138"/>
    <x v="305"/>
    <x v="92"/>
    <x v="396"/>
    <x v="41"/>
    <x v="209"/>
    <x v="0"/>
  </r>
  <r>
    <x v="0"/>
    <x v="56"/>
    <x v="56"/>
    <x v="28"/>
    <x v="28"/>
    <x v="28"/>
    <x v="1"/>
    <x v="140"/>
    <x v="220"/>
    <x v="90"/>
    <x v="305"/>
    <x v="41"/>
    <x v="209"/>
    <x v="0"/>
  </r>
  <r>
    <x v="0"/>
    <x v="56"/>
    <x v="56"/>
    <x v="14"/>
    <x v="14"/>
    <x v="14"/>
    <x v="1"/>
    <x v="140"/>
    <x v="220"/>
    <x v="107"/>
    <x v="304"/>
    <x v="90"/>
    <x v="205"/>
    <x v="0"/>
  </r>
  <r>
    <x v="0"/>
    <x v="56"/>
    <x v="56"/>
    <x v="15"/>
    <x v="15"/>
    <x v="15"/>
    <x v="3"/>
    <x v="142"/>
    <x v="303"/>
    <x v="90"/>
    <x v="305"/>
    <x v="90"/>
    <x v="205"/>
    <x v="0"/>
  </r>
  <r>
    <x v="0"/>
    <x v="56"/>
    <x v="56"/>
    <x v="38"/>
    <x v="38"/>
    <x v="38"/>
    <x v="3"/>
    <x v="142"/>
    <x v="303"/>
    <x v="114"/>
    <x v="193"/>
    <x v="41"/>
    <x v="209"/>
    <x v="0"/>
  </r>
  <r>
    <x v="0"/>
    <x v="56"/>
    <x v="56"/>
    <x v="16"/>
    <x v="16"/>
    <x v="16"/>
    <x v="3"/>
    <x v="142"/>
    <x v="303"/>
    <x v="114"/>
    <x v="193"/>
    <x v="41"/>
    <x v="209"/>
    <x v="0"/>
  </r>
  <r>
    <x v="0"/>
    <x v="56"/>
    <x v="56"/>
    <x v="53"/>
    <x v="53"/>
    <x v="53"/>
    <x v="3"/>
    <x v="142"/>
    <x v="303"/>
    <x v="107"/>
    <x v="304"/>
    <x v="94"/>
    <x v="113"/>
    <x v="0"/>
  </r>
  <r>
    <x v="0"/>
    <x v="56"/>
    <x v="56"/>
    <x v="6"/>
    <x v="6"/>
    <x v="6"/>
    <x v="19"/>
    <x v="143"/>
    <x v="53"/>
    <x v="114"/>
    <x v="193"/>
    <x v="90"/>
    <x v="205"/>
    <x v="0"/>
  </r>
  <r>
    <x v="0"/>
    <x v="56"/>
    <x v="56"/>
    <x v="147"/>
    <x v="147"/>
    <x v="147"/>
    <x v="19"/>
    <x v="143"/>
    <x v="53"/>
    <x v="114"/>
    <x v="193"/>
    <x v="90"/>
    <x v="205"/>
    <x v="0"/>
  </r>
  <r>
    <x v="0"/>
    <x v="56"/>
    <x v="56"/>
    <x v="5"/>
    <x v="5"/>
    <x v="5"/>
    <x v="19"/>
    <x v="143"/>
    <x v="53"/>
    <x v="114"/>
    <x v="193"/>
    <x v="90"/>
    <x v="205"/>
    <x v="0"/>
  </r>
  <r>
    <x v="0"/>
    <x v="56"/>
    <x v="56"/>
    <x v="40"/>
    <x v="40"/>
    <x v="40"/>
    <x v="19"/>
    <x v="143"/>
    <x v="53"/>
    <x v="114"/>
    <x v="193"/>
    <x v="90"/>
    <x v="205"/>
    <x v="0"/>
  </r>
  <r>
    <x v="0"/>
    <x v="56"/>
    <x v="56"/>
    <x v="129"/>
    <x v="129"/>
    <x v="129"/>
    <x v="19"/>
    <x v="143"/>
    <x v="53"/>
    <x v="114"/>
    <x v="193"/>
    <x v="90"/>
    <x v="205"/>
    <x v="0"/>
  </r>
  <r>
    <x v="0"/>
    <x v="56"/>
    <x v="56"/>
    <x v="37"/>
    <x v="37"/>
    <x v="37"/>
    <x v="19"/>
    <x v="143"/>
    <x v="53"/>
    <x v="114"/>
    <x v="193"/>
    <x v="90"/>
    <x v="205"/>
    <x v="0"/>
  </r>
  <r>
    <x v="0"/>
    <x v="56"/>
    <x v="56"/>
    <x v="13"/>
    <x v="13"/>
    <x v="13"/>
    <x v="19"/>
    <x v="143"/>
    <x v="53"/>
    <x v="114"/>
    <x v="193"/>
    <x v="90"/>
    <x v="205"/>
    <x v="0"/>
  </r>
  <r>
    <x v="0"/>
    <x v="56"/>
    <x v="56"/>
    <x v="149"/>
    <x v="149"/>
    <x v="149"/>
    <x v="19"/>
    <x v="143"/>
    <x v="53"/>
    <x v="114"/>
    <x v="193"/>
    <x v="90"/>
    <x v="205"/>
    <x v="0"/>
  </r>
  <r>
    <x v="0"/>
    <x v="56"/>
    <x v="56"/>
    <x v="88"/>
    <x v="88"/>
    <x v="88"/>
    <x v="19"/>
    <x v="143"/>
    <x v="53"/>
    <x v="114"/>
    <x v="193"/>
    <x v="90"/>
    <x v="205"/>
    <x v="0"/>
  </r>
  <r>
    <x v="0"/>
    <x v="56"/>
    <x v="56"/>
    <x v="132"/>
    <x v="132"/>
    <x v="132"/>
    <x v="19"/>
    <x v="143"/>
    <x v="53"/>
    <x v="114"/>
    <x v="193"/>
    <x v="90"/>
    <x v="205"/>
    <x v="0"/>
  </r>
  <r>
    <x v="0"/>
    <x v="56"/>
    <x v="56"/>
    <x v="155"/>
    <x v="155"/>
    <x v="155"/>
    <x v="19"/>
    <x v="143"/>
    <x v="53"/>
    <x v="114"/>
    <x v="193"/>
    <x v="90"/>
    <x v="205"/>
    <x v="0"/>
  </r>
  <r>
    <x v="0"/>
    <x v="56"/>
    <x v="56"/>
    <x v="125"/>
    <x v="125"/>
    <x v="125"/>
    <x v="19"/>
    <x v="143"/>
    <x v="53"/>
    <x v="114"/>
    <x v="193"/>
    <x v="90"/>
    <x v="205"/>
    <x v="0"/>
  </r>
  <r>
    <x v="0"/>
    <x v="56"/>
    <x v="56"/>
    <x v="170"/>
    <x v="170"/>
    <x v="170"/>
    <x v="19"/>
    <x v="143"/>
    <x v="53"/>
    <x v="114"/>
    <x v="193"/>
    <x v="90"/>
    <x v="205"/>
    <x v="0"/>
  </r>
  <r>
    <x v="0"/>
    <x v="56"/>
    <x v="56"/>
    <x v="156"/>
    <x v="156"/>
    <x v="156"/>
    <x v="19"/>
    <x v="143"/>
    <x v="53"/>
    <x v="114"/>
    <x v="193"/>
    <x v="90"/>
    <x v="205"/>
    <x v="0"/>
  </r>
  <r>
    <x v="0"/>
    <x v="56"/>
    <x v="56"/>
    <x v="157"/>
    <x v="157"/>
    <x v="157"/>
    <x v="19"/>
    <x v="143"/>
    <x v="53"/>
    <x v="114"/>
    <x v="193"/>
    <x v="90"/>
    <x v="205"/>
    <x v="0"/>
  </r>
  <r>
    <x v="0"/>
    <x v="56"/>
    <x v="56"/>
    <x v="32"/>
    <x v="32"/>
    <x v="32"/>
    <x v="19"/>
    <x v="143"/>
    <x v="53"/>
    <x v="114"/>
    <x v="193"/>
    <x v="90"/>
    <x v="205"/>
    <x v="0"/>
  </r>
  <r>
    <x v="0"/>
    <x v="56"/>
    <x v="56"/>
    <x v="11"/>
    <x v="11"/>
    <x v="11"/>
    <x v="19"/>
    <x v="143"/>
    <x v="53"/>
    <x v="90"/>
    <x v="305"/>
    <x v="94"/>
    <x v="113"/>
    <x v="0"/>
  </r>
  <r>
    <x v="0"/>
    <x v="56"/>
    <x v="56"/>
    <x v="1"/>
    <x v="1"/>
    <x v="1"/>
    <x v="19"/>
    <x v="143"/>
    <x v="53"/>
    <x v="114"/>
    <x v="193"/>
    <x v="90"/>
    <x v="205"/>
    <x v="0"/>
  </r>
  <r>
    <x v="0"/>
    <x v="56"/>
    <x v="56"/>
    <x v="17"/>
    <x v="17"/>
    <x v="17"/>
    <x v="19"/>
    <x v="143"/>
    <x v="53"/>
    <x v="114"/>
    <x v="193"/>
    <x v="90"/>
    <x v="205"/>
    <x v="0"/>
  </r>
  <r>
    <x v="0"/>
    <x v="56"/>
    <x v="56"/>
    <x v="22"/>
    <x v="22"/>
    <x v="22"/>
    <x v="19"/>
    <x v="143"/>
    <x v="53"/>
    <x v="90"/>
    <x v="305"/>
    <x v="94"/>
    <x v="113"/>
    <x v="0"/>
  </r>
  <r>
    <x v="0"/>
    <x v="56"/>
    <x v="56"/>
    <x v="9"/>
    <x v="9"/>
    <x v="9"/>
    <x v="19"/>
    <x v="143"/>
    <x v="53"/>
    <x v="90"/>
    <x v="305"/>
    <x v="94"/>
    <x v="113"/>
    <x v="0"/>
  </r>
  <r>
    <x v="0"/>
    <x v="56"/>
    <x v="56"/>
    <x v="124"/>
    <x v="124"/>
    <x v="124"/>
    <x v="19"/>
    <x v="143"/>
    <x v="53"/>
    <x v="90"/>
    <x v="305"/>
    <x v="94"/>
    <x v="113"/>
    <x v="0"/>
  </r>
  <r>
    <x v="0"/>
    <x v="56"/>
    <x v="56"/>
    <x v="110"/>
    <x v="110"/>
    <x v="110"/>
    <x v="19"/>
    <x v="143"/>
    <x v="53"/>
    <x v="114"/>
    <x v="193"/>
    <x v="90"/>
    <x v="205"/>
    <x v="0"/>
  </r>
  <r>
    <x v="0"/>
    <x v="56"/>
    <x v="56"/>
    <x v="128"/>
    <x v="128"/>
    <x v="128"/>
    <x v="19"/>
    <x v="143"/>
    <x v="53"/>
    <x v="90"/>
    <x v="305"/>
    <x v="94"/>
    <x v="113"/>
    <x v="0"/>
  </r>
  <r>
    <x v="0"/>
    <x v="56"/>
    <x v="56"/>
    <x v="168"/>
    <x v="168"/>
    <x v="168"/>
    <x v="19"/>
    <x v="143"/>
    <x v="53"/>
    <x v="114"/>
    <x v="193"/>
    <x v="90"/>
    <x v="205"/>
    <x v="0"/>
  </r>
  <r>
    <x v="0"/>
    <x v="56"/>
    <x v="56"/>
    <x v="164"/>
    <x v="164"/>
    <x v="164"/>
    <x v="19"/>
    <x v="143"/>
    <x v="53"/>
    <x v="114"/>
    <x v="193"/>
    <x v="90"/>
    <x v="205"/>
    <x v="0"/>
  </r>
  <r>
    <x v="0"/>
    <x v="57"/>
    <x v="57"/>
    <x v="28"/>
    <x v="28"/>
    <x v="28"/>
    <x v="0"/>
    <x v="142"/>
    <x v="307"/>
    <x v="107"/>
    <x v="397"/>
    <x v="94"/>
    <x v="113"/>
    <x v="0"/>
  </r>
  <r>
    <x v="0"/>
    <x v="57"/>
    <x v="57"/>
    <x v="131"/>
    <x v="131"/>
    <x v="131"/>
    <x v="1"/>
    <x v="143"/>
    <x v="308"/>
    <x v="114"/>
    <x v="193"/>
    <x v="90"/>
    <x v="234"/>
    <x v="0"/>
  </r>
  <r>
    <x v="0"/>
    <x v="57"/>
    <x v="57"/>
    <x v="6"/>
    <x v="6"/>
    <x v="6"/>
    <x v="1"/>
    <x v="143"/>
    <x v="308"/>
    <x v="114"/>
    <x v="193"/>
    <x v="90"/>
    <x v="234"/>
    <x v="0"/>
  </r>
  <r>
    <x v="0"/>
    <x v="57"/>
    <x v="57"/>
    <x v="38"/>
    <x v="38"/>
    <x v="38"/>
    <x v="1"/>
    <x v="143"/>
    <x v="308"/>
    <x v="114"/>
    <x v="193"/>
    <x v="90"/>
    <x v="234"/>
    <x v="0"/>
  </r>
  <r>
    <x v="0"/>
    <x v="57"/>
    <x v="57"/>
    <x v="29"/>
    <x v="29"/>
    <x v="29"/>
    <x v="1"/>
    <x v="143"/>
    <x v="308"/>
    <x v="114"/>
    <x v="193"/>
    <x v="90"/>
    <x v="234"/>
    <x v="0"/>
  </r>
  <r>
    <x v="0"/>
    <x v="57"/>
    <x v="57"/>
    <x v="87"/>
    <x v="87"/>
    <x v="87"/>
    <x v="1"/>
    <x v="143"/>
    <x v="308"/>
    <x v="114"/>
    <x v="193"/>
    <x v="90"/>
    <x v="234"/>
    <x v="0"/>
  </r>
  <r>
    <x v="0"/>
    <x v="57"/>
    <x v="57"/>
    <x v="171"/>
    <x v="171"/>
    <x v="171"/>
    <x v="1"/>
    <x v="143"/>
    <x v="308"/>
    <x v="114"/>
    <x v="193"/>
    <x v="90"/>
    <x v="234"/>
    <x v="0"/>
  </r>
  <r>
    <x v="0"/>
    <x v="57"/>
    <x v="57"/>
    <x v="172"/>
    <x v="172"/>
    <x v="172"/>
    <x v="1"/>
    <x v="143"/>
    <x v="308"/>
    <x v="114"/>
    <x v="193"/>
    <x v="90"/>
    <x v="234"/>
    <x v="0"/>
  </r>
  <r>
    <x v="0"/>
    <x v="57"/>
    <x v="57"/>
    <x v="173"/>
    <x v="173"/>
    <x v="173"/>
    <x v="1"/>
    <x v="143"/>
    <x v="308"/>
    <x v="114"/>
    <x v="193"/>
    <x v="90"/>
    <x v="234"/>
    <x v="0"/>
  </r>
  <r>
    <x v="0"/>
    <x v="57"/>
    <x v="57"/>
    <x v="78"/>
    <x v="78"/>
    <x v="78"/>
    <x v="1"/>
    <x v="143"/>
    <x v="308"/>
    <x v="114"/>
    <x v="193"/>
    <x v="94"/>
    <x v="113"/>
    <x v="0"/>
  </r>
  <r>
    <x v="0"/>
    <x v="57"/>
    <x v="57"/>
    <x v="128"/>
    <x v="128"/>
    <x v="128"/>
    <x v="1"/>
    <x v="143"/>
    <x v="308"/>
    <x v="90"/>
    <x v="394"/>
    <x v="94"/>
    <x v="113"/>
    <x v="0"/>
  </r>
  <r>
    <x v="0"/>
    <x v="58"/>
    <x v="58"/>
    <x v="6"/>
    <x v="6"/>
    <x v="6"/>
    <x v="0"/>
    <x v="130"/>
    <x v="309"/>
    <x v="90"/>
    <x v="152"/>
    <x v="92"/>
    <x v="305"/>
    <x v="0"/>
  </r>
  <r>
    <x v="0"/>
    <x v="58"/>
    <x v="58"/>
    <x v="0"/>
    <x v="0"/>
    <x v="0"/>
    <x v="1"/>
    <x v="123"/>
    <x v="310"/>
    <x v="81"/>
    <x v="398"/>
    <x v="94"/>
    <x v="113"/>
    <x v="0"/>
  </r>
  <r>
    <x v="0"/>
    <x v="58"/>
    <x v="58"/>
    <x v="2"/>
    <x v="2"/>
    <x v="2"/>
    <x v="2"/>
    <x v="133"/>
    <x v="311"/>
    <x v="93"/>
    <x v="399"/>
    <x v="94"/>
    <x v="113"/>
    <x v="0"/>
  </r>
  <r>
    <x v="0"/>
    <x v="58"/>
    <x v="58"/>
    <x v="149"/>
    <x v="149"/>
    <x v="149"/>
    <x v="3"/>
    <x v="137"/>
    <x v="312"/>
    <x v="114"/>
    <x v="193"/>
    <x v="82"/>
    <x v="306"/>
    <x v="0"/>
  </r>
  <r>
    <x v="0"/>
    <x v="58"/>
    <x v="58"/>
    <x v="94"/>
    <x v="94"/>
    <x v="94"/>
    <x v="4"/>
    <x v="138"/>
    <x v="254"/>
    <x v="90"/>
    <x v="152"/>
    <x v="84"/>
    <x v="307"/>
    <x v="0"/>
  </r>
  <r>
    <x v="0"/>
    <x v="58"/>
    <x v="58"/>
    <x v="14"/>
    <x v="14"/>
    <x v="14"/>
    <x v="4"/>
    <x v="138"/>
    <x v="254"/>
    <x v="100"/>
    <x v="400"/>
    <x v="94"/>
    <x v="113"/>
    <x v="0"/>
  </r>
  <r>
    <x v="0"/>
    <x v="58"/>
    <x v="58"/>
    <x v="5"/>
    <x v="5"/>
    <x v="5"/>
    <x v="6"/>
    <x v="139"/>
    <x v="313"/>
    <x v="92"/>
    <x v="401"/>
    <x v="90"/>
    <x v="308"/>
    <x v="0"/>
  </r>
  <r>
    <x v="0"/>
    <x v="58"/>
    <x v="58"/>
    <x v="13"/>
    <x v="13"/>
    <x v="13"/>
    <x v="6"/>
    <x v="139"/>
    <x v="313"/>
    <x v="107"/>
    <x v="71"/>
    <x v="41"/>
    <x v="309"/>
    <x v="0"/>
  </r>
  <r>
    <x v="0"/>
    <x v="58"/>
    <x v="58"/>
    <x v="106"/>
    <x v="106"/>
    <x v="106"/>
    <x v="6"/>
    <x v="139"/>
    <x v="313"/>
    <x v="114"/>
    <x v="193"/>
    <x v="84"/>
    <x v="307"/>
    <x v="0"/>
  </r>
  <r>
    <x v="0"/>
    <x v="58"/>
    <x v="58"/>
    <x v="11"/>
    <x v="11"/>
    <x v="11"/>
    <x v="6"/>
    <x v="139"/>
    <x v="313"/>
    <x v="90"/>
    <x v="152"/>
    <x v="83"/>
    <x v="158"/>
    <x v="0"/>
  </r>
  <r>
    <x v="0"/>
    <x v="58"/>
    <x v="58"/>
    <x v="3"/>
    <x v="3"/>
    <x v="3"/>
    <x v="6"/>
    <x v="139"/>
    <x v="313"/>
    <x v="92"/>
    <x v="401"/>
    <x v="90"/>
    <x v="308"/>
    <x v="0"/>
  </r>
  <r>
    <x v="0"/>
    <x v="58"/>
    <x v="58"/>
    <x v="15"/>
    <x v="15"/>
    <x v="15"/>
    <x v="10"/>
    <x v="140"/>
    <x v="44"/>
    <x v="114"/>
    <x v="193"/>
    <x v="83"/>
    <x v="158"/>
    <x v="0"/>
  </r>
  <r>
    <x v="0"/>
    <x v="58"/>
    <x v="58"/>
    <x v="129"/>
    <x v="129"/>
    <x v="129"/>
    <x v="10"/>
    <x v="140"/>
    <x v="44"/>
    <x v="90"/>
    <x v="152"/>
    <x v="41"/>
    <x v="309"/>
    <x v="0"/>
  </r>
  <r>
    <x v="0"/>
    <x v="58"/>
    <x v="58"/>
    <x v="33"/>
    <x v="33"/>
    <x v="33"/>
    <x v="10"/>
    <x v="140"/>
    <x v="44"/>
    <x v="92"/>
    <x v="401"/>
    <x v="94"/>
    <x v="113"/>
    <x v="0"/>
  </r>
  <r>
    <x v="0"/>
    <x v="58"/>
    <x v="58"/>
    <x v="20"/>
    <x v="20"/>
    <x v="20"/>
    <x v="10"/>
    <x v="140"/>
    <x v="44"/>
    <x v="92"/>
    <x v="401"/>
    <x v="94"/>
    <x v="113"/>
    <x v="0"/>
  </r>
  <r>
    <x v="0"/>
    <x v="58"/>
    <x v="58"/>
    <x v="12"/>
    <x v="12"/>
    <x v="12"/>
    <x v="10"/>
    <x v="140"/>
    <x v="44"/>
    <x v="107"/>
    <x v="71"/>
    <x v="90"/>
    <x v="308"/>
    <x v="0"/>
  </r>
  <r>
    <x v="0"/>
    <x v="58"/>
    <x v="58"/>
    <x v="76"/>
    <x v="76"/>
    <x v="76"/>
    <x v="10"/>
    <x v="140"/>
    <x v="44"/>
    <x v="114"/>
    <x v="193"/>
    <x v="41"/>
    <x v="309"/>
    <x v="0"/>
  </r>
  <r>
    <x v="0"/>
    <x v="58"/>
    <x v="58"/>
    <x v="4"/>
    <x v="4"/>
    <x v="4"/>
    <x v="10"/>
    <x v="140"/>
    <x v="44"/>
    <x v="92"/>
    <x v="401"/>
    <x v="94"/>
    <x v="113"/>
    <x v="0"/>
  </r>
  <r>
    <x v="0"/>
    <x v="58"/>
    <x v="58"/>
    <x v="43"/>
    <x v="43"/>
    <x v="43"/>
    <x v="17"/>
    <x v="142"/>
    <x v="314"/>
    <x v="114"/>
    <x v="193"/>
    <x v="41"/>
    <x v="309"/>
    <x v="0"/>
  </r>
  <r>
    <x v="0"/>
    <x v="58"/>
    <x v="58"/>
    <x v="37"/>
    <x v="37"/>
    <x v="37"/>
    <x v="17"/>
    <x v="142"/>
    <x v="314"/>
    <x v="90"/>
    <x v="152"/>
    <x v="90"/>
    <x v="308"/>
    <x v="0"/>
  </r>
  <r>
    <x v="0"/>
    <x v="58"/>
    <x v="58"/>
    <x v="16"/>
    <x v="16"/>
    <x v="16"/>
    <x v="17"/>
    <x v="142"/>
    <x v="314"/>
    <x v="107"/>
    <x v="71"/>
    <x v="94"/>
    <x v="113"/>
    <x v="0"/>
  </r>
  <r>
    <x v="0"/>
    <x v="58"/>
    <x v="58"/>
    <x v="87"/>
    <x v="87"/>
    <x v="87"/>
    <x v="17"/>
    <x v="142"/>
    <x v="314"/>
    <x v="107"/>
    <x v="71"/>
    <x v="94"/>
    <x v="113"/>
    <x v="0"/>
  </r>
  <r>
    <x v="0"/>
    <x v="58"/>
    <x v="58"/>
    <x v="135"/>
    <x v="135"/>
    <x v="135"/>
    <x v="17"/>
    <x v="142"/>
    <x v="314"/>
    <x v="90"/>
    <x v="152"/>
    <x v="90"/>
    <x v="308"/>
    <x v="0"/>
  </r>
  <r>
    <x v="0"/>
    <x v="58"/>
    <x v="58"/>
    <x v="95"/>
    <x v="95"/>
    <x v="95"/>
    <x v="17"/>
    <x v="142"/>
    <x v="314"/>
    <x v="90"/>
    <x v="152"/>
    <x v="90"/>
    <x v="308"/>
    <x v="0"/>
  </r>
  <r>
    <x v="0"/>
    <x v="58"/>
    <x v="58"/>
    <x v="174"/>
    <x v="174"/>
    <x v="174"/>
    <x v="17"/>
    <x v="142"/>
    <x v="314"/>
    <x v="114"/>
    <x v="193"/>
    <x v="90"/>
    <x v="308"/>
    <x v="0"/>
  </r>
  <r>
    <x v="0"/>
    <x v="58"/>
    <x v="58"/>
    <x v="30"/>
    <x v="30"/>
    <x v="30"/>
    <x v="17"/>
    <x v="142"/>
    <x v="314"/>
    <x v="114"/>
    <x v="193"/>
    <x v="41"/>
    <x v="309"/>
    <x v="0"/>
  </r>
  <r>
    <x v="0"/>
    <x v="58"/>
    <x v="58"/>
    <x v="32"/>
    <x v="32"/>
    <x v="32"/>
    <x v="17"/>
    <x v="142"/>
    <x v="314"/>
    <x v="107"/>
    <x v="71"/>
    <x v="94"/>
    <x v="113"/>
    <x v="0"/>
  </r>
  <r>
    <x v="0"/>
    <x v="58"/>
    <x v="58"/>
    <x v="53"/>
    <x v="53"/>
    <x v="53"/>
    <x v="17"/>
    <x v="142"/>
    <x v="314"/>
    <x v="90"/>
    <x v="152"/>
    <x v="90"/>
    <x v="308"/>
    <x v="0"/>
  </r>
  <r>
    <x v="0"/>
    <x v="58"/>
    <x v="58"/>
    <x v="17"/>
    <x v="17"/>
    <x v="17"/>
    <x v="17"/>
    <x v="142"/>
    <x v="314"/>
    <x v="114"/>
    <x v="193"/>
    <x v="41"/>
    <x v="309"/>
    <x v="0"/>
  </r>
  <r>
    <x v="0"/>
    <x v="58"/>
    <x v="58"/>
    <x v="72"/>
    <x v="72"/>
    <x v="72"/>
    <x v="17"/>
    <x v="142"/>
    <x v="314"/>
    <x v="114"/>
    <x v="193"/>
    <x v="41"/>
    <x v="309"/>
    <x v="0"/>
  </r>
  <r>
    <x v="0"/>
    <x v="58"/>
    <x v="58"/>
    <x v="22"/>
    <x v="22"/>
    <x v="22"/>
    <x v="17"/>
    <x v="142"/>
    <x v="314"/>
    <x v="107"/>
    <x v="71"/>
    <x v="94"/>
    <x v="113"/>
    <x v="0"/>
  </r>
  <r>
    <x v="0"/>
    <x v="58"/>
    <x v="58"/>
    <x v="9"/>
    <x v="9"/>
    <x v="9"/>
    <x v="17"/>
    <x v="142"/>
    <x v="314"/>
    <x v="107"/>
    <x v="71"/>
    <x v="94"/>
    <x v="113"/>
    <x v="0"/>
  </r>
  <r>
    <x v="0"/>
    <x v="58"/>
    <x v="58"/>
    <x v="68"/>
    <x v="68"/>
    <x v="68"/>
    <x v="17"/>
    <x v="142"/>
    <x v="314"/>
    <x v="107"/>
    <x v="71"/>
    <x v="94"/>
    <x v="113"/>
    <x v="0"/>
  </r>
  <r>
    <x v="0"/>
    <x v="58"/>
    <x v="58"/>
    <x v="78"/>
    <x v="78"/>
    <x v="78"/>
    <x v="17"/>
    <x v="142"/>
    <x v="314"/>
    <x v="114"/>
    <x v="193"/>
    <x v="94"/>
    <x v="113"/>
    <x v="0"/>
  </r>
  <r>
    <x v="0"/>
    <x v="58"/>
    <x v="58"/>
    <x v="10"/>
    <x v="10"/>
    <x v="10"/>
    <x v="17"/>
    <x v="142"/>
    <x v="314"/>
    <x v="107"/>
    <x v="71"/>
    <x v="94"/>
    <x v="113"/>
    <x v="0"/>
  </r>
  <r>
    <x v="0"/>
    <x v="58"/>
    <x v="58"/>
    <x v="41"/>
    <x v="41"/>
    <x v="41"/>
    <x v="17"/>
    <x v="142"/>
    <x v="314"/>
    <x v="114"/>
    <x v="193"/>
    <x v="41"/>
    <x v="309"/>
    <x v="0"/>
  </r>
  <r>
    <x v="0"/>
    <x v="58"/>
    <x v="58"/>
    <x v="48"/>
    <x v="48"/>
    <x v="48"/>
    <x v="17"/>
    <x v="142"/>
    <x v="314"/>
    <x v="114"/>
    <x v="193"/>
    <x v="90"/>
    <x v="308"/>
    <x v="0"/>
  </r>
  <r>
    <x v="0"/>
    <x v="58"/>
    <x v="58"/>
    <x v="52"/>
    <x v="52"/>
    <x v="52"/>
    <x v="17"/>
    <x v="142"/>
    <x v="314"/>
    <x v="114"/>
    <x v="193"/>
    <x v="41"/>
    <x v="309"/>
    <x v="0"/>
  </r>
  <r>
    <x v="0"/>
    <x v="59"/>
    <x v="59"/>
    <x v="11"/>
    <x v="11"/>
    <x v="11"/>
    <x v="0"/>
    <x v="140"/>
    <x v="315"/>
    <x v="90"/>
    <x v="255"/>
    <x v="41"/>
    <x v="234"/>
    <x v="0"/>
  </r>
  <r>
    <x v="0"/>
    <x v="59"/>
    <x v="59"/>
    <x v="6"/>
    <x v="6"/>
    <x v="6"/>
    <x v="1"/>
    <x v="142"/>
    <x v="220"/>
    <x v="114"/>
    <x v="193"/>
    <x v="41"/>
    <x v="234"/>
    <x v="0"/>
  </r>
  <r>
    <x v="0"/>
    <x v="59"/>
    <x v="59"/>
    <x v="36"/>
    <x v="36"/>
    <x v="36"/>
    <x v="1"/>
    <x v="142"/>
    <x v="220"/>
    <x v="90"/>
    <x v="255"/>
    <x v="90"/>
    <x v="233"/>
    <x v="0"/>
  </r>
  <r>
    <x v="0"/>
    <x v="59"/>
    <x v="59"/>
    <x v="165"/>
    <x v="165"/>
    <x v="165"/>
    <x v="1"/>
    <x v="142"/>
    <x v="220"/>
    <x v="107"/>
    <x v="402"/>
    <x v="94"/>
    <x v="113"/>
    <x v="0"/>
  </r>
  <r>
    <x v="0"/>
    <x v="59"/>
    <x v="59"/>
    <x v="44"/>
    <x v="44"/>
    <x v="44"/>
    <x v="1"/>
    <x v="142"/>
    <x v="220"/>
    <x v="107"/>
    <x v="402"/>
    <x v="94"/>
    <x v="113"/>
    <x v="0"/>
  </r>
  <r>
    <x v="0"/>
    <x v="59"/>
    <x v="59"/>
    <x v="43"/>
    <x v="43"/>
    <x v="43"/>
    <x v="1"/>
    <x v="142"/>
    <x v="220"/>
    <x v="90"/>
    <x v="255"/>
    <x v="90"/>
    <x v="233"/>
    <x v="0"/>
  </r>
  <r>
    <x v="0"/>
    <x v="59"/>
    <x v="59"/>
    <x v="13"/>
    <x v="13"/>
    <x v="13"/>
    <x v="1"/>
    <x v="142"/>
    <x v="220"/>
    <x v="114"/>
    <x v="193"/>
    <x v="41"/>
    <x v="234"/>
    <x v="0"/>
  </r>
  <r>
    <x v="0"/>
    <x v="59"/>
    <x v="59"/>
    <x v="122"/>
    <x v="122"/>
    <x v="122"/>
    <x v="1"/>
    <x v="142"/>
    <x v="220"/>
    <x v="114"/>
    <x v="193"/>
    <x v="41"/>
    <x v="234"/>
    <x v="0"/>
  </r>
  <r>
    <x v="0"/>
    <x v="59"/>
    <x v="59"/>
    <x v="28"/>
    <x v="28"/>
    <x v="28"/>
    <x v="1"/>
    <x v="142"/>
    <x v="220"/>
    <x v="114"/>
    <x v="193"/>
    <x v="41"/>
    <x v="234"/>
    <x v="0"/>
  </r>
  <r>
    <x v="0"/>
    <x v="59"/>
    <x v="59"/>
    <x v="29"/>
    <x v="29"/>
    <x v="29"/>
    <x v="8"/>
    <x v="143"/>
    <x v="246"/>
    <x v="90"/>
    <x v="255"/>
    <x v="94"/>
    <x v="113"/>
    <x v="0"/>
  </r>
  <r>
    <x v="0"/>
    <x v="59"/>
    <x v="59"/>
    <x v="63"/>
    <x v="63"/>
    <x v="63"/>
    <x v="8"/>
    <x v="143"/>
    <x v="246"/>
    <x v="90"/>
    <x v="255"/>
    <x v="94"/>
    <x v="113"/>
    <x v="0"/>
  </r>
  <r>
    <x v="0"/>
    <x v="59"/>
    <x v="59"/>
    <x v="94"/>
    <x v="94"/>
    <x v="94"/>
    <x v="8"/>
    <x v="143"/>
    <x v="246"/>
    <x v="114"/>
    <x v="193"/>
    <x v="90"/>
    <x v="233"/>
    <x v="0"/>
  </r>
  <r>
    <x v="0"/>
    <x v="59"/>
    <x v="59"/>
    <x v="175"/>
    <x v="175"/>
    <x v="175"/>
    <x v="8"/>
    <x v="143"/>
    <x v="246"/>
    <x v="114"/>
    <x v="193"/>
    <x v="90"/>
    <x v="233"/>
    <x v="0"/>
  </r>
  <r>
    <x v="0"/>
    <x v="59"/>
    <x v="59"/>
    <x v="30"/>
    <x v="30"/>
    <x v="30"/>
    <x v="8"/>
    <x v="143"/>
    <x v="246"/>
    <x v="114"/>
    <x v="193"/>
    <x v="90"/>
    <x v="233"/>
    <x v="0"/>
  </r>
  <r>
    <x v="0"/>
    <x v="59"/>
    <x v="59"/>
    <x v="8"/>
    <x v="8"/>
    <x v="8"/>
    <x v="8"/>
    <x v="143"/>
    <x v="246"/>
    <x v="90"/>
    <x v="255"/>
    <x v="94"/>
    <x v="113"/>
    <x v="0"/>
  </r>
  <r>
    <x v="0"/>
    <x v="59"/>
    <x v="59"/>
    <x v="2"/>
    <x v="2"/>
    <x v="2"/>
    <x v="8"/>
    <x v="143"/>
    <x v="246"/>
    <x v="90"/>
    <x v="255"/>
    <x v="94"/>
    <x v="113"/>
    <x v="0"/>
  </r>
  <r>
    <x v="0"/>
    <x v="59"/>
    <x v="59"/>
    <x v="4"/>
    <x v="4"/>
    <x v="4"/>
    <x v="8"/>
    <x v="143"/>
    <x v="246"/>
    <x v="90"/>
    <x v="255"/>
    <x v="94"/>
    <x v="113"/>
    <x v="0"/>
  </r>
  <r>
    <x v="0"/>
    <x v="59"/>
    <x v="59"/>
    <x v="39"/>
    <x v="39"/>
    <x v="39"/>
    <x v="8"/>
    <x v="143"/>
    <x v="246"/>
    <x v="114"/>
    <x v="193"/>
    <x v="94"/>
    <x v="113"/>
    <x v="0"/>
  </r>
  <r>
    <x v="0"/>
    <x v="59"/>
    <x v="59"/>
    <x v="144"/>
    <x v="144"/>
    <x v="144"/>
    <x v="8"/>
    <x v="143"/>
    <x v="246"/>
    <x v="90"/>
    <x v="255"/>
    <x v="94"/>
    <x v="113"/>
    <x v="0"/>
  </r>
  <r>
    <x v="0"/>
    <x v="59"/>
    <x v="59"/>
    <x v="164"/>
    <x v="164"/>
    <x v="164"/>
    <x v="8"/>
    <x v="143"/>
    <x v="246"/>
    <x v="114"/>
    <x v="193"/>
    <x v="90"/>
    <x v="23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5EABC5-210D-41B0-920E-A5A25E160C88}" name="pvt_L" cacheId="2146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961" firstHeaderRow="0" firstDataRow="1" firstDataCol="1"/>
  <pivotFields count="11">
    <pivotField showAll="0"/>
    <pivotField showAll="0"/>
    <pivotField axis="axisRow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9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889">
      <pivotArea field="2" type="button" dataOnly="0" labelOnly="1" outline="0" axis="axisRow" fieldPosition="0"/>
    </format>
    <format dxfId="888">
      <pivotArea outline="0" fieldPosition="0">
        <references count="1">
          <reference field="4294967294" count="1">
            <x v="0"/>
          </reference>
        </references>
      </pivotArea>
    </format>
    <format dxfId="887">
      <pivotArea outline="0" fieldPosition="0">
        <references count="1">
          <reference field="4294967294" count="1">
            <x v="1"/>
          </reference>
        </references>
      </pivotArea>
    </format>
    <format dxfId="886">
      <pivotArea outline="0" fieldPosition="0">
        <references count="1">
          <reference field="4294967294" count="1">
            <x v="2"/>
          </reference>
        </references>
      </pivotArea>
    </format>
    <format dxfId="885">
      <pivotArea outline="0" fieldPosition="0">
        <references count="1">
          <reference field="4294967294" count="1">
            <x v="3"/>
          </reference>
        </references>
      </pivotArea>
    </format>
    <format dxfId="884">
      <pivotArea outline="0" fieldPosition="0">
        <references count="1">
          <reference field="4294967294" count="1">
            <x v="4"/>
          </reference>
        </references>
      </pivotArea>
    </format>
    <format dxfId="883">
      <pivotArea outline="0" fieldPosition="0">
        <references count="1">
          <reference field="4294967294" count="1">
            <x v="5"/>
          </reference>
        </references>
      </pivotArea>
    </format>
    <format dxfId="882">
      <pivotArea outline="0" fieldPosition="0">
        <references count="1">
          <reference field="4294967294" count="1">
            <x v="6"/>
          </reference>
        </references>
      </pivotArea>
    </format>
    <format dxfId="881">
      <pivotArea field="2" type="button" dataOnly="0" labelOnly="1" outline="0" axis="axisRow" fieldPosition="0"/>
    </format>
    <format dxfId="8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9">
      <pivotArea field="2" type="button" dataOnly="0" labelOnly="1" outline="0" axis="axisRow" fieldPosition="0"/>
    </format>
    <format dxfId="8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7">
      <pivotArea field="2" type="button" dataOnly="0" labelOnly="1" outline="0" axis="axisRow" fieldPosition="0"/>
    </format>
    <format dxfId="87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23BC84-A0CD-4BEB-9A77-410DCABB9C2F}" name="pvt_M" cacheId="214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7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0">
        <item x="4"/>
        <item x="17"/>
        <item x="14"/>
        <item x="15"/>
        <item x="16"/>
        <item x="12"/>
        <item x="28"/>
        <item x="29"/>
        <item x="30"/>
        <item x="2"/>
        <item x="18"/>
        <item x="19"/>
        <item x="7"/>
        <item x="3"/>
        <item x="6"/>
        <item x="35"/>
        <item x="36"/>
        <item x="37"/>
        <item x="38"/>
        <item x="44"/>
        <item x="47"/>
        <item x="43"/>
        <item x="46"/>
        <item x="45"/>
        <item x="57"/>
        <item x="50"/>
        <item x="53"/>
        <item x="55"/>
        <item x="54"/>
        <item x="51"/>
        <item x="52"/>
        <item x="56"/>
        <item x="58"/>
        <item x="59"/>
        <item x="8"/>
        <item x="34"/>
        <item x="32"/>
        <item x="31"/>
        <item x="33"/>
        <item x="48"/>
        <item x="49"/>
        <item x="10"/>
        <item x="42"/>
        <item x="39"/>
        <item x="41"/>
        <item x="40"/>
        <item x="20"/>
        <item x="22"/>
        <item x="23"/>
        <item x="21"/>
        <item x="11"/>
        <item x="9"/>
        <item x="5"/>
        <item x="0"/>
        <item x="1"/>
        <item x="13"/>
        <item x="25"/>
        <item x="27"/>
        <item x="26"/>
        <item x="24"/>
      </items>
    </pivotField>
    <pivotField axis="axisRow" showAll="0" insertBlankRow="1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73">
        <item x="48"/>
        <item x="4"/>
        <item x="5"/>
        <item x="7"/>
        <item x="29"/>
        <item x="49"/>
        <item x="28"/>
        <item x="41"/>
        <item x="33"/>
        <item x="71"/>
        <item x="61"/>
        <item x="60"/>
        <item x="35"/>
        <item x="39"/>
        <item x="55"/>
        <item x="50"/>
        <item x="30"/>
        <item x="68"/>
        <item x="32"/>
        <item x="47"/>
        <item x="31"/>
        <item x="59"/>
        <item x="36"/>
        <item x="40"/>
        <item x="42"/>
        <item x="43"/>
        <item x="22"/>
        <item x="63"/>
        <item x="44"/>
        <item x="66"/>
        <item x="45"/>
        <item x="51"/>
        <item x="72"/>
        <item x="52"/>
        <item x="53"/>
        <item x="34"/>
        <item x="64"/>
        <item x="69"/>
        <item x="54"/>
        <item x="58"/>
        <item x="67"/>
        <item x="24"/>
        <item x="17"/>
        <item x="18"/>
        <item x="23"/>
        <item x="65"/>
        <item x="11"/>
        <item x="6"/>
        <item x="10"/>
        <item x="2"/>
        <item x="20"/>
        <item x="26"/>
        <item x="21"/>
        <item x="3"/>
        <item x="56"/>
        <item x="70"/>
        <item x="13"/>
        <item x="12"/>
        <item x="16"/>
        <item x="1"/>
        <item x="27"/>
        <item x="0"/>
        <item x="19"/>
        <item x="46"/>
        <item x="8"/>
        <item x="9"/>
        <item x="15"/>
        <item x="37"/>
        <item x="14"/>
        <item x="62"/>
        <item x="38"/>
        <item x="25"/>
        <item x="57"/>
      </items>
    </pivotField>
    <pivotField showAll="0" defaultSubtotal="0">
      <items count="73">
        <item x="51"/>
        <item x="55"/>
        <item x="57"/>
        <item x="23"/>
        <item x="8"/>
        <item x="25"/>
        <item x="2"/>
        <item x="19"/>
        <item x="22"/>
        <item x="50"/>
        <item x="71"/>
        <item x="47"/>
        <item x="39"/>
        <item x="9"/>
        <item x="61"/>
        <item x="1"/>
        <item x="24"/>
        <item x="6"/>
        <item x="49"/>
        <item x="58"/>
        <item x="72"/>
        <item x="60"/>
        <item x="33"/>
        <item x="67"/>
        <item x="65"/>
        <item x="70"/>
        <item x="18"/>
        <item x="10"/>
        <item x="62"/>
        <item x="12"/>
        <item x="59"/>
        <item x="32"/>
        <item x="17"/>
        <item x="46"/>
        <item x="69"/>
        <item x="48"/>
        <item x="27"/>
        <item x="14"/>
        <item x="15"/>
        <item x="16"/>
        <item x="45"/>
        <item x="42"/>
        <item x="11"/>
        <item x="38"/>
        <item x="5"/>
        <item x="29"/>
        <item x="64"/>
        <item x="44"/>
        <item x="31"/>
        <item x="35"/>
        <item x="7"/>
        <item x="13"/>
        <item x="0"/>
        <item x="28"/>
        <item x="54"/>
        <item x="4"/>
        <item x="52"/>
        <item x="40"/>
        <item x="63"/>
        <item x="36"/>
        <item x="34"/>
        <item x="53"/>
        <item x="37"/>
        <item x="68"/>
        <item x="21"/>
        <item x="3"/>
        <item x="56"/>
        <item x="26"/>
        <item x="66"/>
        <item x="20"/>
        <item x="41"/>
        <item x="43"/>
        <item x="30"/>
      </items>
    </pivotField>
    <pivotField axis="axisRow" showAll="0" defaultSubtotal="0">
      <items count="73">
        <item x="48"/>
        <item x="4"/>
        <item x="5"/>
        <item x="7"/>
        <item x="29"/>
        <item x="49"/>
        <item x="28"/>
        <item x="41"/>
        <item x="33"/>
        <item x="71"/>
        <item x="61"/>
        <item x="60"/>
        <item x="35"/>
        <item x="39"/>
        <item x="55"/>
        <item x="50"/>
        <item x="30"/>
        <item x="68"/>
        <item x="32"/>
        <item x="47"/>
        <item x="31"/>
        <item x="59"/>
        <item x="36"/>
        <item x="40"/>
        <item x="42"/>
        <item x="43"/>
        <item x="22"/>
        <item x="63"/>
        <item x="44"/>
        <item x="66"/>
        <item x="45"/>
        <item x="51"/>
        <item x="72"/>
        <item x="52"/>
        <item x="53"/>
        <item x="34"/>
        <item x="64"/>
        <item x="69"/>
        <item x="54"/>
        <item x="58"/>
        <item x="67"/>
        <item x="24"/>
        <item x="17"/>
        <item x="18"/>
        <item x="23"/>
        <item x="65"/>
        <item x="11"/>
        <item x="6"/>
        <item x="10"/>
        <item x="2"/>
        <item x="20"/>
        <item x="26"/>
        <item x="21"/>
        <item x="3"/>
        <item x="56"/>
        <item x="70"/>
        <item x="13"/>
        <item x="12"/>
        <item x="16"/>
        <item x="1"/>
        <item x="27"/>
        <item x="0"/>
        <item x="19"/>
        <item x="46"/>
        <item x="8"/>
        <item x="9"/>
        <item x="15"/>
        <item x="37"/>
        <item x="14"/>
        <item x="62"/>
        <item x="38"/>
        <item x="25"/>
        <item x="5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86">
        <item x="178"/>
        <item x="176"/>
        <item x="174"/>
        <item x="173"/>
        <item x="172"/>
        <item x="171"/>
        <item x="175"/>
        <item x="170"/>
        <item x="169"/>
        <item x="167"/>
        <item x="168"/>
        <item x="138"/>
        <item x="137"/>
        <item x="136"/>
        <item x="150"/>
        <item x="144"/>
        <item x="143"/>
        <item x="127"/>
        <item x="105"/>
        <item x="126"/>
        <item x="135"/>
        <item x="115"/>
        <item x="104"/>
        <item x="125"/>
        <item x="103"/>
        <item x="184"/>
        <item x="156"/>
        <item x="102"/>
        <item x="124"/>
        <item x="149"/>
        <item x="114"/>
        <item x="142"/>
        <item x="101"/>
        <item x="163"/>
        <item x="134"/>
        <item x="100"/>
        <item x="133"/>
        <item x="132"/>
        <item x="113"/>
        <item x="112"/>
        <item x="179"/>
        <item x="185"/>
        <item x="99"/>
        <item x="55"/>
        <item x="123"/>
        <item x="177"/>
        <item x="98"/>
        <item x="111"/>
        <item x="54"/>
        <item x="53"/>
        <item x="148"/>
        <item x="122"/>
        <item x="155"/>
        <item x="121"/>
        <item x="97"/>
        <item x="183"/>
        <item x="110"/>
        <item x="131"/>
        <item x="154"/>
        <item x="162"/>
        <item x="130"/>
        <item x="166"/>
        <item x="182"/>
        <item x="181"/>
        <item x="120"/>
        <item x="52"/>
        <item x="109"/>
        <item x="96"/>
        <item x="165"/>
        <item x="51"/>
        <item x="180"/>
        <item x="108"/>
        <item x="164"/>
        <item x="147"/>
        <item x="95"/>
        <item x="107"/>
        <item x="119"/>
        <item x="38"/>
        <item x="37"/>
        <item x="36"/>
        <item x="91"/>
        <item x="94"/>
        <item x="50"/>
        <item x="90"/>
        <item x="146"/>
        <item x="145"/>
        <item x="49"/>
        <item x="35"/>
        <item x="118"/>
        <item x="34"/>
        <item x="48"/>
        <item x="129"/>
        <item x="74"/>
        <item x="47"/>
        <item x="46"/>
        <item x="153"/>
        <item x="73"/>
        <item x="106"/>
        <item x="72"/>
        <item x="141"/>
        <item x="152"/>
        <item x="161"/>
        <item x="128"/>
        <item x="117"/>
        <item x="160"/>
        <item x="45"/>
        <item x="44"/>
        <item x="89"/>
        <item x="88"/>
        <item x="159"/>
        <item x="140"/>
        <item x="43"/>
        <item x="93"/>
        <item x="71"/>
        <item x="139"/>
        <item x="158"/>
        <item x="33"/>
        <item x="157"/>
        <item x="151"/>
        <item x="87"/>
        <item x="116"/>
        <item x="92"/>
        <item x="32"/>
        <item x="31"/>
        <item x="70"/>
        <item x="30"/>
        <item x="69"/>
        <item x="68"/>
        <item x="29"/>
        <item x="28"/>
        <item x="67"/>
        <item x="27"/>
        <item x="86"/>
        <item x="66"/>
        <item x="26"/>
        <item x="65"/>
        <item x="42"/>
        <item x="85"/>
        <item x="41"/>
        <item x="25"/>
        <item x="84"/>
        <item x="64"/>
        <item x="83"/>
        <item x="63"/>
        <item x="62"/>
        <item x="82"/>
        <item x="81"/>
        <item x="61"/>
        <item x="80"/>
        <item x="79"/>
        <item x="24"/>
        <item x="40"/>
        <item x="39"/>
        <item x="60"/>
        <item x="23"/>
        <item x="59"/>
        <item x="78"/>
        <item x="77"/>
        <item x="19"/>
        <item x="18"/>
        <item x="22"/>
        <item x="17"/>
        <item x="58"/>
        <item x="21"/>
        <item x="16"/>
        <item x="15"/>
        <item x="20"/>
        <item x="14"/>
        <item x="76"/>
        <item x="57"/>
        <item x="56"/>
        <item x="75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491">
        <item x="299"/>
        <item x="431"/>
        <item x="246"/>
        <item x="264"/>
        <item x="339"/>
        <item x="351"/>
        <item x="272"/>
        <item x="396"/>
        <item x="310"/>
        <item x="198"/>
        <item x="384"/>
        <item x="405"/>
        <item x="285"/>
        <item x="293"/>
        <item x="228"/>
        <item x="197"/>
        <item x="160"/>
        <item x="91"/>
        <item x="196"/>
        <item x="18"/>
        <item x="107"/>
        <item x="55"/>
        <item x="148"/>
        <item x="374"/>
        <item x="121"/>
        <item x="159"/>
        <item x="36"/>
        <item x="35"/>
        <item x="450"/>
        <item x="195"/>
        <item x="34"/>
        <item x="17"/>
        <item x="209"/>
        <item x="54"/>
        <item x="292"/>
        <item x="90"/>
        <item x="53"/>
        <item x="72"/>
        <item x="158"/>
        <item x="147"/>
        <item x="309"/>
        <item x="106"/>
        <item x="391"/>
        <item x="413"/>
        <item x="33"/>
        <item x="89"/>
        <item x="16"/>
        <item x="15"/>
        <item x="449"/>
        <item x="263"/>
        <item x="238"/>
        <item x="105"/>
        <item x="172"/>
        <item x="489"/>
        <item x="14"/>
        <item x="227"/>
        <item x="467"/>
        <item x="291"/>
        <item x="298"/>
        <item x="88"/>
        <item x="87"/>
        <item x="134"/>
        <item x="271"/>
        <item x="373"/>
        <item x="208"/>
        <item x="104"/>
        <item x="185"/>
        <item x="71"/>
        <item x="120"/>
        <item x="430"/>
        <item x="184"/>
        <item x="357"/>
        <item x="52"/>
        <item x="218"/>
        <item x="194"/>
        <item x="345"/>
        <item x="308"/>
        <item x="146"/>
        <item x="183"/>
        <item x="171"/>
        <item x="51"/>
        <item x="404"/>
        <item x="182"/>
        <item x="157"/>
        <item x="448"/>
        <item x="133"/>
        <item x="103"/>
        <item x="237"/>
        <item x="170"/>
        <item x="119"/>
        <item x="488"/>
        <item x="13"/>
        <item x="226"/>
        <item x="421"/>
        <item x="118"/>
        <item x="169"/>
        <item x="476"/>
        <item x="12"/>
        <item x="193"/>
        <item x="86"/>
        <item x="145"/>
        <item x="102"/>
        <item x="322"/>
        <item x="70"/>
        <item x="262"/>
        <item x="460"/>
        <item x="236"/>
        <item x="144"/>
        <item x="328"/>
        <item x="85"/>
        <item x="11"/>
        <item x="307"/>
        <item x="69"/>
        <item x="68"/>
        <item x="132"/>
        <item x="143"/>
        <item x="466"/>
        <item x="372"/>
        <item x="50"/>
        <item x="321"/>
        <item x="255"/>
        <item x="67"/>
        <item x="156"/>
        <item x="350"/>
        <item x="207"/>
        <item x="270"/>
        <item x="32"/>
        <item x="117"/>
        <item x="412"/>
        <item x="459"/>
        <item x="49"/>
        <item x="101"/>
        <item x="371"/>
        <item x="48"/>
        <item x="245"/>
        <item x="297"/>
        <item x="31"/>
        <item x="277"/>
        <item x="66"/>
        <item x="254"/>
        <item x="84"/>
        <item x="30"/>
        <item x="47"/>
        <item x="306"/>
        <item x="168"/>
        <item x="390"/>
        <item x="29"/>
        <item x="181"/>
        <item x="100"/>
        <item x="142"/>
        <item x="167"/>
        <item x="458"/>
        <item x="383"/>
        <item x="10"/>
        <item x="46"/>
        <item x="9"/>
        <item x="45"/>
        <item x="116"/>
        <item x="65"/>
        <item x="261"/>
        <item x="284"/>
        <item x="253"/>
        <item x="28"/>
        <item x="27"/>
        <item x="8"/>
        <item x="487"/>
        <item x="370"/>
        <item x="26"/>
        <item x="225"/>
        <item x="465"/>
        <item x="155"/>
        <item x="338"/>
        <item x="131"/>
        <item x="180"/>
        <item x="327"/>
        <item x="206"/>
        <item x="442"/>
        <item x="217"/>
        <item x="83"/>
        <item x="269"/>
        <item x="252"/>
        <item x="99"/>
        <item x="64"/>
        <item x="44"/>
        <item x="403"/>
        <item x="320"/>
        <item x="63"/>
        <item x="43"/>
        <item x="25"/>
        <item x="141"/>
        <item x="447"/>
        <item x="62"/>
        <item x="389"/>
        <item x="82"/>
        <item x="457"/>
        <item x="356"/>
        <item x="130"/>
        <item x="369"/>
        <item x="486"/>
        <item x="115"/>
        <item x="251"/>
        <item x="7"/>
        <item x="81"/>
        <item x="344"/>
        <item x="305"/>
        <item x="129"/>
        <item x="179"/>
        <item x="260"/>
        <item x="140"/>
        <item x="192"/>
        <item x="420"/>
        <item x="42"/>
        <item x="368"/>
        <item x="128"/>
        <item x="382"/>
        <item x="80"/>
        <item x="114"/>
        <item x="244"/>
        <item x="216"/>
        <item x="283"/>
        <item x="24"/>
        <item x="276"/>
        <item x="61"/>
        <item x="304"/>
        <item x="388"/>
        <item x="178"/>
        <item x="113"/>
        <item x="475"/>
        <item x="235"/>
        <item x="296"/>
        <item x="98"/>
        <item x="419"/>
        <item x="79"/>
        <item x="177"/>
        <item x="437"/>
        <item x="234"/>
        <item x="78"/>
        <item x="319"/>
        <item x="485"/>
        <item x="243"/>
        <item x="224"/>
        <item x="363"/>
        <item x="77"/>
        <item x="464"/>
        <item x="127"/>
        <item x="205"/>
        <item x="456"/>
        <item x="381"/>
        <item x="97"/>
        <item x="425"/>
        <item x="166"/>
        <item x="6"/>
        <item x="204"/>
        <item x="331"/>
        <item x="282"/>
        <item x="411"/>
        <item x="112"/>
        <item x="484"/>
        <item x="223"/>
        <item x="5"/>
        <item x="233"/>
        <item x="355"/>
        <item x="402"/>
        <item x="96"/>
        <item x="441"/>
        <item x="250"/>
        <item x="215"/>
        <item x="436"/>
        <item x="367"/>
        <item x="60"/>
        <item x="343"/>
        <item x="41"/>
        <item x="337"/>
        <item x="318"/>
        <item x="23"/>
        <item x="59"/>
        <item x="139"/>
        <item x="429"/>
        <item x="395"/>
        <item x="472"/>
        <item x="214"/>
        <item x="126"/>
        <item x="191"/>
        <item x="95"/>
        <item x="366"/>
        <item x="242"/>
        <item x="111"/>
        <item x="138"/>
        <item x="110"/>
        <item x="76"/>
        <item x="213"/>
        <item x="446"/>
        <item x="401"/>
        <item x="377"/>
        <item x="290"/>
        <item x="418"/>
        <item x="281"/>
        <item x="4"/>
        <item x="176"/>
        <item x="154"/>
        <item x="330"/>
        <item x="326"/>
        <item x="241"/>
        <item x="3"/>
        <item x="75"/>
        <item x="483"/>
        <item x="259"/>
        <item x="275"/>
        <item x="109"/>
        <item x="153"/>
        <item x="232"/>
        <item x="410"/>
        <item x="362"/>
        <item x="203"/>
        <item x="212"/>
        <item x="428"/>
        <item x="313"/>
        <item x="295"/>
        <item x="40"/>
        <item x="435"/>
        <item x="268"/>
        <item x="440"/>
        <item x="190"/>
        <item x="125"/>
        <item x="354"/>
        <item x="2"/>
        <item x="22"/>
        <item x="336"/>
        <item x="317"/>
        <item x="39"/>
        <item x="249"/>
        <item x="471"/>
        <item x="415"/>
        <item x="240"/>
        <item x="342"/>
        <item x="58"/>
        <item x="365"/>
        <item x="175"/>
        <item x="361"/>
        <item x="152"/>
        <item x="231"/>
        <item x="189"/>
        <item x="165"/>
        <item x="174"/>
        <item x="409"/>
        <item x="445"/>
        <item x="360"/>
        <item x="455"/>
        <item x="394"/>
        <item x="380"/>
        <item x="424"/>
        <item x="151"/>
        <item x="364"/>
        <item x="463"/>
        <item x="150"/>
        <item x="188"/>
        <item x="387"/>
        <item x="376"/>
        <item x="202"/>
        <item x="274"/>
        <item x="349"/>
        <item x="386"/>
        <item x="258"/>
        <item x="303"/>
        <item x="454"/>
        <item x="289"/>
        <item x="434"/>
        <item x="474"/>
        <item x="187"/>
        <item x="267"/>
        <item x="453"/>
        <item x="462"/>
        <item x="211"/>
        <item x="400"/>
        <item x="248"/>
        <item x="124"/>
        <item x="335"/>
        <item x="94"/>
        <item x="408"/>
        <item x="1"/>
        <item x="222"/>
        <item x="353"/>
        <item x="288"/>
        <item x="433"/>
        <item x="348"/>
        <item x="164"/>
        <item x="21"/>
        <item x="444"/>
        <item x="359"/>
        <item x="316"/>
        <item x="163"/>
        <item x="399"/>
        <item x="201"/>
        <item x="221"/>
        <item x="149"/>
        <item x="417"/>
        <item x="57"/>
        <item x="280"/>
        <item x="230"/>
        <item x="334"/>
        <item x="315"/>
        <item x="287"/>
        <item x="407"/>
        <item x="379"/>
        <item x="312"/>
        <item x="74"/>
        <item x="439"/>
        <item x="210"/>
        <item x="329"/>
        <item x="443"/>
        <item x="452"/>
        <item x="200"/>
        <item x="239"/>
        <item x="314"/>
        <item x="162"/>
        <item x="469"/>
        <item x="108"/>
        <item x="56"/>
        <item x="302"/>
        <item x="398"/>
        <item x="325"/>
        <item x="123"/>
        <item x="137"/>
        <item x="375"/>
        <item x="427"/>
        <item x="220"/>
        <item x="20"/>
        <item x="257"/>
        <item x="199"/>
        <item x="186"/>
        <item x="301"/>
        <item x="423"/>
        <item x="286"/>
        <item x="482"/>
        <item x="161"/>
        <item x="0"/>
        <item x="173"/>
        <item x="279"/>
        <item x="341"/>
        <item x="19"/>
        <item x="406"/>
        <item x="93"/>
        <item x="266"/>
        <item x="333"/>
        <item x="324"/>
        <item x="256"/>
        <item x="38"/>
        <item x="136"/>
        <item x="92"/>
        <item x="347"/>
        <item x="247"/>
        <item x="426"/>
        <item x="229"/>
        <item x="300"/>
        <item x="470"/>
        <item x="37"/>
        <item x="416"/>
        <item x="481"/>
        <item x="135"/>
        <item x="219"/>
        <item x="393"/>
        <item x="73"/>
        <item x="323"/>
        <item x="422"/>
        <item x="385"/>
        <item x="346"/>
        <item x="352"/>
        <item x="392"/>
        <item x="432"/>
        <item x="122"/>
        <item x="358"/>
        <item x="461"/>
        <item x="451"/>
        <item x="265"/>
        <item x="332"/>
        <item x="378"/>
        <item x="397"/>
        <item x="438"/>
        <item x="468"/>
        <item x="479"/>
        <item x="311"/>
        <item x="278"/>
        <item x="480"/>
        <item x="340"/>
        <item x="473"/>
        <item x="414"/>
        <item x="477"/>
        <item x="490"/>
        <item x="478"/>
        <item x="294"/>
        <item x="273"/>
      </items>
    </pivotField>
    <pivotField dataField="1" showAll="0" defaultSubtotal="0">
      <items count="137">
        <item x="97"/>
        <item x="90"/>
        <item x="91"/>
        <item x="37"/>
        <item x="38"/>
        <item x="66"/>
        <item x="33"/>
        <item x="80"/>
        <item x="121"/>
        <item x="52"/>
        <item x="98"/>
        <item x="131"/>
        <item x="78"/>
        <item x="109"/>
        <item x="50"/>
        <item x="96"/>
        <item x="108"/>
        <item x="89"/>
        <item x="88"/>
        <item x="15"/>
        <item x="113"/>
        <item x="51"/>
        <item x="99"/>
        <item x="118"/>
        <item x="64"/>
        <item x="84"/>
        <item x="36"/>
        <item x="107"/>
        <item x="28"/>
        <item x="45"/>
        <item x="133"/>
        <item x="35"/>
        <item x="135"/>
        <item x="129"/>
        <item x="73"/>
        <item x="126"/>
        <item x="79"/>
        <item x="130"/>
        <item x="18"/>
        <item x="132"/>
        <item x="104"/>
        <item x="93"/>
        <item x="49"/>
        <item x="105"/>
        <item x="106"/>
        <item x="112"/>
        <item x="86"/>
        <item x="119"/>
        <item x="34"/>
        <item x="87"/>
        <item x="63"/>
        <item x="32"/>
        <item x="125"/>
        <item x="85"/>
        <item x="43"/>
        <item x="136"/>
        <item x="44"/>
        <item x="56"/>
        <item x="120"/>
        <item x="47"/>
        <item x="116"/>
        <item x="95"/>
        <item x="48"/>
        <item x="70"/>
        <item x="102"/>
        <item x="94"/>
        <item x="134"/>
        <item x="46"/>
        <item x="24"/>
        <item x="128"/>
        <item x="77"/>
        <item x="26"/>
        <item x="103"/>
        <item x="83"/>
        <item x="124"/>
        <item x="65"/>
        <item x="76"/>
        <item x="27"/>
        <item x="117"/>
        <item x="75"/>
        <item x="17"/>
        <item x="123"/>
        <item x="72"/>
        <item x="110"/>
        <item x="111"/>
        <item x="31"/>
        <item x="115"/>
        <item x="30"/>
        <item x="57"/>
        <item x="42"/>
        <item x="62"/>
        <item x="114"/>
        <item x="101"/>
        <item x="41"/>
        <item x="122"/>
        <item x="127"/>
        <item x="82"/>
        <item x="61"/>
        <item x="25"/>
        <item x="81"/>
        <item x="100"/>
        <item x="92"/>
        <item x="60"/>
        <item x="29"/>
        <item x="58"/>
        <item x="69"/>
        <item x="23"/>
        <item x="19"/>
        <item x="74"/>
        <item x="59"/>
        <item x="71"/>
        <item x="54"/>
        <item x="12"/>
        <item x="39"/>
        <item x="40"/>
        <item x="7"/>
        <item x="16"/>
        <item x="22"/>
        <item x="20"/>
        <item x="55"/>
        <item x="14"/>
        <item x="21"/>
        <item x="11"/>
        <item x="13"/>
        <item x="68"/>
        <item x="53"/>
        <item x="10"/>
        <item x="67"/>
        <item x="4"/>
        <item x="8"/>
        <item x="5"/>
        <item x="9"/>
        <item x="6"/>
        <item x="2"/>
        <item x="3"/>
        <item x="1"/>
        <item x="0"/>
      </items>
    </pivotField>
    <pivotField dataField="1" showAll="0" defaultSubtotal="0">
      <items count="520">
        <item x="110"/>
        <item x="15"/>
        <item x="64"/>
        <item x="37"/>
        <item x="98"/>
        <item x="82"/>
        <item x="38"/>
        <item x="69"/>
        <item x="18"/>
        <item x="141"/>
        <item x="33"/>
        <item x="51"/>
        <item x="100"/>
        <item x="295"/>
        <item x="212"/>
        <item x="68"/>
        <item x="338"/>
        <item x="115"/>
        <item x="405"/>
        <item x="129"/>
        <item x="83"/>
        <item x="324"/>
        <item x="425"/>
        <item x="396"/>
        <item x="240"/>
        <item x="17"/>
        <item x="130"/>
        <item x="52"/>
        <item x="488"/>
        <item x="180"/>
        <item x="371"/>
        <item x="198"/>
        <item x="495"/>
        <item x="99"/>
        <item x="156"/>
        <item x="337"/>
        <item x="114"/>
        <item x="184"/>
        <item x="257"/>
        <item x="444"/>
        <item x="167"/>
        <item x="414"/>
        <item x="154"/>
        <item x="470"/>
        <item x="66"/>
        <item x="284"/>
        <item x="49"/>
        <item x="323"/>
        <item x="101"/>
        <item x="426"/>
        <item x="453"/>
        <item x="155"/>
        <item x="36"/>
        <item x="168"/>
        <item x="142"/>
        <item x="19"/>
        <item x="28"/>
        <item x="75"/>
        <item x="196"/>
        <item x="210"/>
        <item x="443"/>
        <item x="183"/>
        <item x="35"/>
        <item x="372"/>
        <item x="111"/>
        <item x="459"/>
        <item x="153"/>
        <item x="518"/>
        <item x="84"/>
        <item x="494"/>
        <item x="229"/>
        <item x="50"/>
        <item x="176"/>
        <item x="325"/>
        <item x="59"/>
        <item x="209"/>
        <item x="336"/>
        <item x="345"/>
        <item x="197"/>
        <item x="221"/>
        <item x="258"/>
        <item x="248"/>
        <item x="193"/>
        <item x="404"/>
        <item x="170"/>
        <item x="273"/>
        <item x="415"/>
        <item x="265"/>
        <item x="467"/>
        <item x="307"/>
        <item x="435"/>
        <item x="489"/>
        <item x="12"/>
        <item x="126"/>
        <item x="322"/>
        <item x="169"/>
        <item x="108"/>
        <item x="43"/>
        <item x="94"/>
        <item x="63"/>
        <item x="294"/>
        <item x="127"/>
        <item x="7"/>
        <item x="34"/>
        <item x="392"/>
        <item x="363"/>
        <item x="300"/>
        <item x="32"/>
        <item x="140"/>
        <item x="80"/>
        <item x="293"/>
        <item x="112"/>
        <item x="56"/>
        <item x="149"/>
        <item x="220"/>
        <item x="97"/>
        <item x="208"/>
        <item x="16"/>
        <item x="195"/>
        <item x="128"/>
        <item x="179"/>
        <item x="95"/>
        <item x="402"/>
        <item x="65"/>
        <item x="73"/>
        <item x="395"/>
        <item x="125"/>
        <item x="14"/>
        <item x="239"/>
        <item x="334"/>
        <item x="516"/>
        <item x="468"/>
        <item x="309"/>
        <item x="493"/>
        <item x="225"/>
        <item x="166"/>
        <item x="152"/>
        <item x="113"/>
        <item x="194"/>
        <item x="442"/>
        <item x="81"/>
        <item x="362"/>
        <item x="48"/>
        <item x="403"/>
        <item x="11"/>
        <item x="181"/>
        <item x="207"/>
        <item x="424"/>
        <item x="450"/>
        <item x="24"/>
        <item x="486"/>
        <item x="344"/>
        <item x="391"/>
        <item x="219"/>
        <item x="13"/>
        <item x="26"/>
        <item x="107"/>
        <item x="256"/>
        <item x="182"/>
        <item x="211"/>
        <item x="138"/>
        <item x="67"/>
        <item x="151"/>
        <item x="313"/>
        <item x="165"/>
        <item x="335"/>
        <item x="272"/>
        <item x="413"/>
        <item x="264"/>
        <item x="89"/>
        <item x="139"/>
        <item x="469"/>
        <item x="79"/>
        <item x="434"/>
        <item x="93"/>
        <item x="487"/>
        <item x="238"/>
        <item x="282"/>
        <item x="27"/>
        <item x="291"/>
        <item x="136"/>
        <item x="478"/>
        <item x="332"/>
        <item x="320"/>
        <item x="370"/>
        <item x="123"/>
        <item x="10"/>
        <item x="109"/>
        <item x="517"/>
        <item x="292"/>
        <item x="254"/>
        <item x="42"/>
        <item x="96"/>
        <item x="383"/>
        <item x="230"/>
        <item x="394"/>
        <item x="359"/>
        <item x="78"/>
        <item x="234"/>
        <item x="163"/>
        <item x="298"/>
        <item x="485"/>
        <item x="411"/>
        <item x="46"/>
        <item x="378"/>
        <item x="133"/>
        <item x="349"/>
        <item x="124"/>
        <item x="308"/>
        <item x="423"/>
        <item x="47"/>
        <item x="333"/>
        <item x="31"/>
        <item x="361"/>
        <item x="137"/>
        <item x="192"/>
        <item x="57"/>
        <item x="393"/>
        <item x="162"/>
        <item x="476"/>
        <item x="237"/>
        <item x="492"/>
        <item x="277"/>
        <item x="4"/>
        <item x="253"/>
        <item x="164"/>
        <item x="30"/>
        <item x="45"/>
        <item x="150"/>
        <item x="8"/>
        <item x="246"/>
        <item x="422"/>
        <item x="452"/>
        <item x="368"/>
        <item x="271"/>
        <item x="412"/>
        <item x="390"/>
        <item x="506"/>
        <item x="44"/>
        <item x="236"/>
        <item x="135"/>
        <item x="513"/>
        <item x="466"/>
        <item x="206"/>
        <item x="433"/>
        <item x="289"/>
        <item x="88"/>
        <item x="178"/>
        <item x="226"/>
        <item x="106"/>
        <item x="217"/>
        <item x="283"/>
        <item x="477"/>
        <item x="255"/>
        <item x="330"/>
        <item x="388"/>
        <item x="367"/>
        <item x="62"/>
        <item x="269"/>
        <item x="451"/>
        <item x="120"/>
        <item x="5"/>
        <item x="385"/>
        <item x="318"/>
        <item x="218"/>
        <item x="147"/>
        <item x="9"/>
        <item x="25"/>
        <item x="456"/>
        <item x="421"/>
        <item x="438"/>
        <item x="377"/>
        <item x="204"/>
        <item x="121"/>
        <item x="244"/>
        <item x="360"/>
        <item x="483"/>
        <item x="76"/>
        <item x="314"/>
        <item x="122"/>
        <item x="61"/>
        <item x="227"/>
        <item x="91"/>
        <item x="290"/>
        <item x="263"/>
        <item x="365"/>
        <item x="449"/>
        <item x="216"/>
        <item x="177"/>
        <item x="92"/>
        <item x="188"/>
        <item x="58"/>
        <item x="299"/>
        <item x="205"/>
        <item x="175"/>
        <item x="29"/>
        <item x="105"/>
        <item x="343"/>
        <item x="72"/>
        <item x="458"/>
        <item x="104"/>
        <item x="465"/>
        <item x="448"/>
        <item x="321"/>
        <item x="90"/>
        <item x="384"/>
        <item x="228"/>
        <item x="369"/>
        <item x="247"/>
        <item x="355"/>
        <item x="399"/>
        <item x="475"/>
        <item x="77"/>
        <item x="23"/>
        <item x="410"/>
        <item x="201"/>
        <item x="6"/>
        <item x="374"/>
        <item x="2"/>
        <item x="400"/>
        <item x="252"/>
        <item x="174"/>
        <item x="304"/>
        <item x="60"/>
        <item x="319"/>
        <item x="74"/>
        <item x="432"/>
        <item x="331"/>
        <item x="161"/>
        <item x="481"/>
        <item x="357"/>
        <item x="3"/>
        <item x="41"/>
        <item x="191"/>
        <item x="474"/>
        <item x="441"/>
        <item x="134"/>
        <item x="419"/>
        <item x="276"/>
        <item x="145"/>
        <item x="484"/>
        <item x="464"/>
        <item x="187"/>
        <item x="233"/>
        <item x="118"/>
        <item x="158"/>
        <item x="437"/>
        <item x="270"/>
        <item x="259"/>
        <item x="251"/>
        <item x="235"/>
        <item x="132"/>
        <item x="157"/>
        <item x="189"/>
        <item x="461"/>
        <item x="305"/>
        <item x="351"/>
        <item x="148"/>
        <item x="376"/>
        <item x="482"/>
        <item x="420"/>
        <item x="215"/>
        <item x="447"/>
        <item x="281"/>
        <item x="159"/>
        <item x="354"/>
        <item x="87"/>
        <item x="202"/>
        <item x="366"/>
        <item x="119"/>
        <item x="462"/>
        <item x="242"/>
        <item x="358"/>
        <item x="297"/>
        <item x="401"/>
        <item x="387"/>
        <item x="515"/>
        <item x="407"/>
        <item x="329"/>
        <item x="261"/>
        <item x="379"/>
        <item x="341"/>
        <item x="463"/>
        <item x="418"/>
        <item x="203"/>
        <item x="431"/>
        <item x="440"/>
        <item x="356"/>
        <item x="173"/>
        <item x="439"/>
        <item x="471"/>
        <item x="328"/>
        <item x="54"/>
        <item x="245"/>
        <item x="190"/>
        <item x="287"/>
        <item x="312"/>
        <item x="160"/>
        <item x="491"/>
        <item x="146"/>
        <item x="222"/>
        <item x="262"/>
        <item x="472"/>
        <item x="498"/>
        <item x="213"/>
        <item x="457"/>
        <item x="380"/>
        <item x="303"/>
        <item x="275"/>
        <item x="430"/>
        <item x="409"/>
        <item x="280"/>
        <item x="243"/>
        <item x="416"/>
        <item x="446"/>
        <item x="306"/>
        <item x="342"/>
        <item x="504"/>
        <item x="514"/>
        <item x="473"/>
        <item x="445"/>
        <item x="267"/>
        <item x="429"/>
        <item x="232"/>
        <item x="408"/>
        <item x="382"/>
        <item x="172"/>
        <item x="224"/>
        <item x="417"/>
        <item x="389"/>
        <item x="311"/>
        <item x="288"/>
        <item x="499"/>
        <item x="199"/>
        <item x="315"/>
        <item x="364"/>
        <item x="186"/>
        <item x="144"/>
        <item x="347"/>
        <item x="316"/>
        <item x="428"/>
        <item x="480"/>
        <item x="339"/>
        <item x="1"/>
        <item x="301"/>
        <item x="286"/>
        <item x="55"/>
        <item x="260"/>
        <item x="327"/>
        <item x="117"/>
        <item x="143"/>
        <item x="266"/>
        <item x="375"/>
        <item x="22"/>
        <item x="501"/>
        <item x="317"/>
        <item x="185"/>
        <item x="350"/>
        <item x="200"/>
        <item x="250"/>
        <item x="279"/>
        <item x="20"/>
        <item x="381"/>
        <item x="103"/>
        <item x="214"/>
        <item x="302"/>
        <item x="505"/>
        <item x="285"/>
        <item x="231"/>
        <item x="268"/>
        <item x="460"/>
        <item x="340"/>
        <item x="398"/>
        <item x="86"/>
        <item x="348"/>
        <item x="406"/>
        <item x="102"/>
        <item x="21"/>
        <item x="496"/>
        <item x="397"/>
        <item x="326"/>
        <item x="479"/>
        <item x="85"/>
        <item x="427"/>
        <item x="71"/>
        <item x="171"/>
        <item x="436"/>
        <item x="0"/>
        <item x="249"/>
        <item x="131"/>
        <item x="352"/>
        <item x="39"/>
        <item x="386"/>
        <item x="116"/>
        <item x="455"/>
        <item x="353"/>
        <item x="40"/>
        <item x="497"/>
        <item x="454"/>
        <item x="223"/>
        <item x="490"/>
        <item x="241"/>
        <item x="511"/>
        <item x="278"/>
        <item x="53"/>
        <item x="310"/>
        <item x="500"/>
        <item x="373"/>
        <item x="512"/>
        <item x="70"/>
        <item x="502"/>
        <item x="503"/>
        <item x="346"/>
        <item x="508"/>
        <item x="510"/>
        <item x="519"/>
        <item x="296"/>
        <item x="274"/>
        <item x="507"/>
        <item x="509"/>
      </items>
    </pivotField>
    <pivotField dataField="1" showAll="0" defaultSubtotal="0">
      <items count="130">
        <item x="128"/>
        <item x="116"/>
        <item x="101"/>
        <item x="92"/>
        <item x="117"/>
        <item x="118"/>
        <item x="120"/>
        <item x="96"/>
        <item x="107"/>
        <item x="106"/>
        <item x="99"/>
        <item x="51"/>
        <item x="100"/>
        <item x="114"/>
        <item x="110"/>
        <item x="115"/>
        <item x="91"/>
        <item x="111"/>
        <item x="98"/>
        <item x="90"/>
        <item x="109"/>
        <item x="113"/>
        <item x="29"/>
        <item x="86"/>
        <item x="93"/>
        <item x="95"/>
        <item x="87"/>
        <item x="97"/>
        <item x="129"/>
        <item x="47"/>
        <item x="122"/>
        <item x="49"/>
        <item x="94"/>
        <item x="102"/>
        <item x="53"/>
        <item x="126"/>
        <item x="48"/>
        <item x="112"/>
        <item x="54"/>
        <item x="108"/>
        <item x="127"/>
        <item x="41"/>
        <item x="52"/>
        <item x="45"/>
        <item x="35"/>
        <item x="123"/>
        <item x="124"/>
        <item x="121"/>
        <item x="46"/>
        <item x="50"/>
        <item x="36"/>
        <item x="79"/>
        <item x="119"/>
        <item x="104"/>
        <item x="37"/>
        <item x="61"/>
        <item x="88"/>
        <item x="89"/>
        <item x="103"/>
        <item x="125"/>
        <item x="30"/>
        <item x="84"/>
        <item x="105"/>
        <item x="40"/>
        <item x="31"/>
        <item x="62"/>
        <item x="39"/>
        <item x="85"/>
        <item x="38"/>
        <item x="82"/>
        <item x="34"/>
        <item x="33"/>
        <item x="44"/>
        <item x="68"/>
        <item x="71"/>
        <item x="70"/>
        <item x="25"/>
        <item x="27"/>
        <item x="81"/>
        <item x="64"/>
        <item x="83"/>
        <item x="63"/>
        <item x="32"/>
        <item x="42"/>
        <item x="22"/>
        <item x="72"/>
        <item x="69"/>
        <item x="43"/>
        <item x="73"/>
        <item x="80"/>
        <item x="26"/>
        <item x="21"/>
        <item x="55"/>
        <item x="67"/>
        <item x="65"/>
        <item x="28"/>
        <item x="9"/>
        <item x="66"/>
        <item x="16"/>
        <item x="20"/>
        <item x="14"/>
        <item x="76"/>
        <item x="59"/>
        <item x="23"/>
        <item x="78"/>
        <item x="24"/>
        <item x="60"/>
        <item x="77"/>
        <item x="74"/>
        <item x="19"/>
        <item x="58"/>
        <item x="8"/>
        <item x="13"/>
        <item x="75"/>
        <item x="57"/>
        <item x="56"/>
        <item x="18"/>
        <item x="17"/>
        <item x="11"/>
        <item x="15"/>
        <item x="10"/>
        <item x="12"/>
        <item x="0"/>
        <item x="6"/>
        <item x="1"/>
        <item x="7"/>
        <item x="5"/>
        <item x="3"/>
        <item x="2"/>
        <item x="4"/>
      </items>
    </pivotField>
    <pivotField dataField="1" showAll="0" defaultSubtotal="0">
      <items count="400">
        <item x="206"/>
        <item x="187"/>
        <item x="129"/>
        <item x="103"/>
        <item x="151"/>
        <item x="95"/>
        <item x="252"/>
        <item x="310"/>
        <item x="140"/>
        <item x="189"/>
        <item x="361"/>
        <item x="279"/>
        <item x="28"/>
        <item x="50"/>
        <item x="332"/>
        <item x="294"/>
        <item x="217"/>
        <item x="154"/>
        <item x="165"/>
        <item x="143"/>
        <item x="130"/>
        <item x="8"/>
        <item x="372"/>
        <item x="246"/>
        <item x="111"/>
        <item x="272"/>
        <item x="201"/>
        <item x="301"/>
        <item x="175"/>
        <item x="139"/>
        <item x="98"/>
        <item x="110"/>
        <item x="15"/>
        <item x="188"/>
        <item x="13"/>
        <item x="179"/>
        <item x="395"/>
        <item x="277"/>
        <item x="320"/>
        <item x="84"/>
        <item x="164"/>
        <item x="63"/>
        <item x="132"/>
        <item x="114"/>
        <item x="236"/>
        <item x="374"/>
        <item x="34"/>
        <item x="328"/>
        <item x="250"/>
        <item x="271"/>
        <item x="18"/>
        <item x="152"/>
        <item x="101"/>
        <item x="124"/>
        <item x="352"/>
        <item x="141"/>
        <item x="35"/>
        <item x="199"/>
        <item x="344"/>
        <item x="178"/>
        <item x="64"/>
        <item x="87"/>
        <item x="100"/>
        <item x="7"/>
        <item x="312"/>
        <item x="36"/>
        <item x="364"/>
        <item x="388"/>
        <item x="47"/>
        <item x="156"/>
        <item x="254"/>
        <item x="12"/>
        <item x="144"/>
        <item x="102"/>
        <item x="323"/>
        <item x="80"/>
        <item x="153"/>
        <item x="88"/>
        <item x="49"/>
        <item x="196"/>
        <item x="116"/>
        <item x="230"/>
        <item x="118"/>
        <item x="83"/>
        <item x="205"/>
        <item x="307"/>
        <item x="29"/>
        <item x="155"/>
        <item x="54"/>
        <item x="333"/>
        <item x="299"/>
        <item x="71"/>
        <item x="339"/>
        <item x="73"/>
        <item x="119"/>
        <item x="335"/>
        <item x="30"/>
        <item x="194"/>
        <item x="117"/>
        <item x="167"/>
        <item x="48"/>
        <item x="365"/>
        <item x="17"/>
        <item x="169"/>
        <item x="16"/>
        <item x="399"/>
        <item x="37"/>
        <item x="115"/>
        <item x="86"/>
        <item x="55"/>
        <item x="94"/>
        <item x="321"/>
        <item x="176"/>
        <item x="10"/>
        <item x="302"/>
        <item x="198"/>
        <item x="162"/>
        <item x="66"/>
        <item x="39"/>
        <item x="65"/>
        <item x="33"/>
        <item x="233"/>
        <item x="53"/>
        <item x="378"/>
        <item x="45"/>
        <item x="14"/>
        <item x="58"/>
        <item x="69"/>
        <item x="366"/>
        <item x="52"/>
        <item x="32"/>
        <item x="318"/>
        <item x="251"/>
        <item x="296"/>
        <item x="125"/>
        <item x="72"/>
        <item x="82"/>
        <item x="219"/>
        <item x="85"/>
        <item x="291"/>
        <item x="145"/>
        <item x="9"/>
        <item x="203"/>
        <item x="278"/>
        <item x="309"/>
        <item x="131"/>
        <item x="11"/>
        <item x="46"/>
        <item x="109"/>
        <item x="142"/>
        <item x="0"/>
        <item x="191"/>
        <item x="343"/>
        <item x="6"/>
        <item x="1"/>
        <item x="261"/>
        <item x="128"/>
        <item x="244"/>
        <item x="166"/>
        <item x="56"/>
        <item x="262"/>
        <item x="168"/>
        <item x="180"/>
        <item x="137"/>
        <item x="24"/>
        <item x="314"/>
        <item x="282"/>
        <item x="127"/>
        <item x="51"/>
        <item x="89"/>
        <item x="74"/>
        <item x="300"/>
        <item x="387"/>
        <item x="26"/>
        <item x="397"/>
        <item x="81"/>
        <item x="256"/>
        <item x="218"/>
        <item x="280"/>
        <item x="70"/>
        <item x="96"/>
        <item x="326"/>
        <item x="370"/>
        <item x="67"/>
        <item x="345"/>
        <item x="146"/>
        <item x="31"/>
        <item x="160"/>
        <item x="228"/>
        <item x="21"/>
        <item x="135"/>
        <item x="184"/>
        <item x="104"/>
        <item x="177"/>
        <item x="90"/>
        <item x="237"/>
        <item x="207"/>
        <item x="308"/>
        <item x="105"/>
        <item x="161"/>
        <item x="99"/>
        <item x="147"/>
        <item x="195"/>
        <item x="121"/>
        <item x="330"/>
        <item x="249"/>
        <item x="274"/>
        <item x="68"/>
        <item x="322"/>
        <item x="163"/>
        <item x="213"/>
        <item x="267"/>
        <item x="287"/>
        <item x="38"/>
        <item x="197"/>
        <item x="185"/>
        <item x="212"/>
        <item x="25"/>
        <item x="123"/>
        <item x="371"/>
        <item x="363"/>
        <item x="20"/>
        <item x="398"/>
        <item x="347"/>
        <item x="265"/>
        <item x="43"/>
        <item x="260"/>
        <item x="324"/>
        <item x="136"/>
        <item x="112"/>
        <item x="97"/>
        <item x="389"/>
        <item x="214"/>
        <item x="193"/>
        <item x="313"/>
        <item x="170"/>
        <item x="138"/>
        <item x="223"/>
        <item x="27"/>
        <item x="232"/>
        <item x="270"/>
        <item x="377"/>
        <item x="255"/>
        <item x="325"/>
        <item x="369"/>
        <item x="331"/>
        <item x="317"/>
        <item x="113"/>
        <item x="61"/>
        <item x="362"/>
        <item x="150"/>
        <item x="227"/>
        <item x="342"/>
        <item x="126"/>
        <item x="44"/>
        <item x="276"/>
        <item x="304"/>
        <item x="220"/>
        <item x="337"/>
        <item x="77"/>
        <item x="353"/>
        <item x="5"/>
        <item x="269"/>
        <item x="181"/>
        <item x="349"/>
        <item x="257"/>
        <item x="79"/>
        <item x="186"/>
        <item x="62"/>
        <item x="235"/>
        <item x="3"/>
        <item x="263"/>
        <item x="173"/>
        <item x="264"/>
        <item x="210"/>
        <item x="107"/>
        <item x="381"/>
        <item x="357"/>
        <item x="183"/>
        <item x="284"/>
        <item x="297"/>
        <item x="386"/>
        <item x="224"/>
        <item x="60"/>
        <item x="174"/>
        <item x="19"/>
        <item x="78"/>
        <item x="306"/>
        <item x="190"/>
        <item x="222"/>
        <item x="75"/>
        <item x="229"/>
        <item x="41"/>
        <item x="40"/>
        <item x="243"/>
        <item x="286"/>
        <item x="215"/>
        <item x="2"/>
        <item x="171"/>
        <item x="204"/>
        <item x="22"/>
        <item x="305"/>
        <item x="106"/>
        <item x="355"/>
        <item x="396"/>
        <item x="298"/>
        <item x="225"/>
        <item x="380"/>
        <item x="108"/>
        <item x="122"/>
        <item x="288"/>
        <item x="385"/>
        <item x="59"/>
        <item x="42"/>
        <item x="245"/>
        <item x="92"/>
        <item x="209"/>
        <item x="200"/>
        <item x="23"/>
        <item x="221"/>
        <item x="375"/>
        <item x="57"/>
        <item x="348"/>
        <item x="91"/>
        <item x="268"/>
        <item x="148"/>
        <item x="93"/>
        <item x="336"/>
        <item x="359"/>
        <item x="242"/>
        <item x="76"/>
        <item x="202"/>
        <item x="303"/>
        <item x="4"/>
        <item x="283"/>
        <item x="159"/>
        <item x="149"/>
        <item x="231"/>
        <item x="134"/>
        <item x="376"/>
        <item x="360"/>
        <item x="327"/>
        <item x="266"/>
        <item x="316"/>
        <item x="295"/>
        <item x="259"/>
        <item x="273"/>
        <item x="120"/>
        <item x="172"/>
        <item x="248"/>
        <item x="241"/>
        <item x="311"/>
        <item x="275"/>
        <item x="158"/>
        <item x="354"/>
        <item x="383"/>
        <item x="351"/>
        <item x="329"/>
        <item x="293"/>
        <item x="341"/>
        <item x="182"/>
        <item x="367"/>
        <item x="394"/>
        <item x="289"/>
        <item x="285"/>
        <item x="340"/>
        <item x="247"/>
        <item x="192"/>
        <item x="216"/>
        <item x="368"/>
        <item x="157"/>
        <item x="384"/>
        <item x="346"/>
        <item x="133"/>
        <item x="258"/>
        <item x="208"/>
        <item x="319"/>
        <item x="290"/>
        <item x="390"/>
        <item x="334"/>
        <item x="240"/>
        <item x="382"/>
        <item x="393"/>
        <item x="358"/>
        <item x="211"/>
        <item x="226"/>
        <item x="239"/>
        <item x="234"/>
        <item x="379"/>
        <item x="350"/>
        <item x="281"/>
        <item x="315"/>
        <item x="373"/>
        <item x="292"/>
        <item x="338"/>
        <item x="356"/>
        <item x="253"/>
        <item x="392"/>
        <item x="391"/>
        <item x="238"/>
      </items>
    </pivotField>
    <pivotField dataField="1" showAll="0" defaultSubtotal="0">
      <items count="9">
        <item x="0"/>
        <item x="4"/>
        <item x="1"/>
        <item x="7"/>
        <item x="8"/>
        <item x="3"/>
        <item x="6"/>
        <item x="2"/>
        <item x="5"/>
      </items>
    </pivotField>
  </pivotFields>
  <rowFields count="3">
    <field x="2"/>
    <field x="6"/>
    <field x="5"/>
  </rowFields>
  <rowItems count="1474">
    <i>
      <x/>
    </i>
    <i r="1">
      <x/>
      <x v="61"/>
    </i>
    <i r="1">
      <x v="1"/>
      <x v="59"/>
    </i>
    <i r="1">
      <x v="2"/>
      <x v="49"/>
    </i>
    <i r="1">
      <x v="3"/>
      <x v="53"/>
    </i>
    <i r="1">
      <x v="4"/>
      <x v="1"/>
    </i>
    <i r="1">
      <x v="5"/>
      <x v="2"/>
    </i>
    <i r="1">
      <x v="6"/>
      <x v="47"/>
    </i>
    <i r="1">
      <x v="7"/>
      <x v="3"/>
    </i>
    <i r="1">
      <x v="8"/>
      <x v="64"/>
    </i>
    <i r="1">
      <x v="9"/>
      <x v="65"/>
    </i>
    <i r="1">
      <x v="10"/>
      <x v="48"/>
    </i>
    <i r="1">
      <x v="11"/>
      <x v="46"/>
    </i>
    <i r="1">
      <x v="12"/>
      <x v="57"/>
    </i>
    <i r="1">
      <x v="13"/>
      <x v="56"/>
    </i>
    <i r="1">
      <x v="14"/>
      <x v="68"/>
    </i>
    <i r="1">
      <x v="15"/>
      <x v="66"/>
    </i>
    <i r="1">
      <x v="16"/>
      <x v="58"/>
    </i>
    <i r="1">
      <x v="17"/>
      <x v="42"/>
    </i>
    <i r="1">
      <x v="18"/>
      <x v="43"/>
    </i>
    <i r="1">
      <x v="19"/>
      <x v="62"/>
    </i>
    <i t="blank">
      <x/>
    </i>
    <i>
      <x v="1"/>
    </i>
    <i r="1">
      <x/>
      <x v="53"/>
    </i>
    <i r="1">
      <x v="1"/>
      <x v="61"/>
    </i>
    <i r="1">
      <x v="2"/>
      <x v="59"/>
    </i>
    <i r="1">
      <x v="3"/>
      <x v="49"/>
    </i>
    <i r="1">
      <x v="4"/>
      <x v="1"/>
    </i>
    <i r="1">
      <x v="5"/>
      <x v="47"/>
    </i>
    <i r="1">
      <x v="6"/>
      <x v="2"/>
    </i>
    <i r="1">
      <x v="7"/>
      <x v="48"/>
    </i>
    <i r="1">
      <x v="8"/>
      <x v="3"/>
    </i>
    <i r="1">
      <x v="9"/>
      <x v="65"/>
    </i>
    <i r="1">
      <x v="10"/>
      <x v="64"/>
    </i>
    <i r="1">
      <x v="11"/>
      <x v="56"/>
    </i>
    <i r="1">
      <x v="12"/>
      <x v="57"/>
    </i>
    <i r="1">
      <x v="13"/>
      <x v="46"/>
    </i>
    <i r="1">
      <x v="14"/>
      <x v="66"/>
    </i>
    <i r="1">
      <x v="15"/>
      <x v="68"/>
    </i>
    <i r="1">
      <x v="16"/>
      <x v="62"/>
    </i>
    <i r="1">
      <x v="17"/>
      <x v="50"/>
    </i>
    <i r="2">
      <x v="52"/>
    </i>
    <i r="1">
      <x v="19"/>
      <x v="43"/>
    </i>
    <i t="blank">
      <x v="1"/>
    </i>
    <i>
      <x v="2"/>
    </i>
    <i r="1">
      <x/>
      <x v="59"/>
    </i>
    <i r="1">
      <x v="1"/>
      <x v="61"/>
    </i>
    <i r="1">
      <x v="2"/>
      <x v="49"/>
    </i>
    <i r="1">
      <x v="3"/>
      <x v="53"/>
    </i>
    <i r="1">
      <x v="4"/>
      <x v="1"/>
    </i>
    <i r="1">
      <x v="5"/>
      <x v="2"/>
    </i>
    <i r="1">
      <x v="6"/>
      <x v="3"/>
    </i>
    <i r="1">
      <x v="7"/>
      <x v="47"/>
    </i>
    <i r="1">
      <x v="8"/>
      <x v="48"/>
    </i>
    <i r="1">
      <x v="9"/>
      <x v="64"/>
    </i>
    <i r="1">
      <x v="10"/>
      <x v="56"/>
    </i>
    <i r="1">
      <x v="11"/>
      <x v="26"/>
    </i>
    <i r="1">
      <x v="12"/>
      <x v="46"/>
    </i>
    <i r="1">
      <x v="13"/>
      <x v="65"/>
    </i>
    <i r="1">
      <x v="14"/>
      <x v="44"/>
    </i>
    <i r="1">
      <x v="15"/>
      <x v="57"/>
    </i>
    <i r="1">
      <x v="16"/>
      <x v="66"/>
    </i>
    <i r="1">
      <x v="17"/>
      <x v="52"/>
    </i>
    <i r="1">
      <x v="18"/>
      <x v="41"/>
    </i>
    <i r="2">
      <x v="43"/>
    </i>
    <i t="blank">
      <x v="2"/>
    </i>
    <i>
      <x v="3"/>
    </i>
    <i r="1">
      <x/>
      <x v="61"/>
    </i>
    <i r="1">
      <x v="1"/>
      <x v="53"/>
    </i>
    <i r="1">
      <x v="2"/>
      <x v="59"/>
    </i>
    <i r="1">
      <x v="3"/>
      <x v="1"/>
    </i>
    <i r="1">
      <x v="4"/>
      <x v="2"/>
    </i>
    <i r="2">
      <x v="49"/>
    </i>
    <i r="1">
      <x v="6"/>
      <x v="3"/>
    </i>
    <i r="1">
      <x v="7"/>
      <x v="65"/>
    </i>
    <i r="1">
      <x v="8"/>
      <x v="64"/>
    </i>
    <i r="1">
      <x v="9"/>
      <x v="47"/>
    </i>
    <i r="1">
      <x v="10"/>
      <x v="56"/>
    </i>
    <i r="1">
      <x v="11"/>
      <x v="57"/>
    </i>
    <i r="1">
      <x v="12"/>
      <x v="43"/>
    </i>
    <i r="1">
      <x v="13"/>
      <x v="46"/>
    </i>
    <i r="1">
      <x v="14"/>
      <x v="52"/>
    </i>
    <i r="1">
      <x v="15"/>
      <x v="48"/>
    </i>
    <i r="1">
      <x v="16"/>
      <x v="42"/>
    </i>
    <i r="1">
      <x v="17"/>
      <x v="44"/>
    </i>
    <i r="1">
      <x v="18"/>
      <x v="71"/>
    </i>
    <i r="1">
      <x v="19"/>
      <x v="66"/>
    </i>
    <i t="blank">
      <x v="3"/>
    </i>
    <i>
      <x v="4"/>
    </i>
    <i r="1">
      <x/>
      <x v="61"/>
    </i>
    <i r="1">
      <x v="1"/>
      <x v="59"/>
    </i>
    <i r="1">
      <x v="2"/>
      <x v="49"/>
    </i>
    <i r="1">
      <x v="3"/>
      <x v="1"/>
    </i>
    <i r="1">
      <x v="4"/>
      <x v="47"/>
    </i>
    <i r="1">
      <x v="5"/>
      <x v="2"/>
    </i>
    <i r="1">
      <x v="6"/>
      <x v="3"/>
    </i>
    <i r="1">
      <x v="7"/>
      <x v="53"/>
    </i>
    <i r="1">
      <x v="8"/>
      <x v="64"/>
    </i>
    <i r="1">
      <x v="9"/>
      <x v="65"/>
    </i>
    <i r="1">
      <x v="10"/>
      <x v="48"/>
    </i>
    <i r="1">
      <x v="11"/>
      <x v="46"/>
    </i>
    <i r="1">
      <x v="12"/>
      <x v="57"/>
    </i>
    <i r="1">
      <x v="13"/>
      <x v="56"/>
    </i>
    <i r="1">
      <x v="14"/>
      <x v="68"/>
    </i>
    <i r="1">
      <x v="15"/>
      <x v="66"/>
    </i>
    <i r="1">
      <x v="16"/>
      <x v="42"/>
    </i>
    <i r="1">
      <x v="17"/>
      <x v="62"/>
    </i>
    <i r="1">
      <x v="18"/>
      <x v="51"/>
    </i>
    <i r="1">
      <x v="19"/>
      <x v="52"/>
    </i>
    <i t="blank">
      <x v="4"/>
    </i>
    <i>
      <x v="5"/>
    </i>
    <i r="1">
      <x/>
      <x v="61"/>
    </i>
    <i r="1">
      <x v="1"/>
      <x v="59"/>
    </i>
    <i r="1">
      <x v="2"/>
      <x v="49"/>
    </i>
    <i r="1">
      <x v="3"/>
      <x v="53"/>
    </i>
    <i r="1">
      <x v="4"/>
      <x v="1"/>
    </i>
    <i r="1">
      <x v="5"/>
      <x v="47"/>
    </i>
    <i r="1">
      <x v="6"/>
      <x v="64"/>
    </i>
    <i r="1">
      <x v="7"/>
      <x v="65"/>
    </i>
    <i r="1">
      <x v="8"/>
      <x v="2"/>
    </i>
    <i r="1">
      <x v="9"/>
      <x v="3"/>
    </i>
    <i r="1">
      <x v="10"/>
      <x v="48"/>
    </i>
    <i r="1">
      <x v="11"/>
      <x v="56"/>
    </i>
    <i r="2">
      <x v="57"/>
    </i>
    <i r="1">
      <x v="13"/>
      <x v="46"/>
    </i>
    <i r="1">
      <x v="14"/>
      <x v="60"/>
    </i>
    <i r="1">
      <x v="15"/>
      <x v="6"/>
    </i>
    <i r="1">
      <x v="16"/>
      <x v="44"/>
    </i>
    <i r="2">
      <x v="66"/>
    </i>
    <i r="1">
      <x v="18"/>
      <x v="4"/>
    </i>
    <i r="2">
      <x v="16"/>
    </i>
    <i r="2">
      <x v="68"/>
    </i>
    <i t="blank">
      <x v="5"/>
    </i>
    <i>
      <x v="6"/>
    </i>
    <i r="1">
      <x/>
      <x v="61"/>
    </i>
    <i r="1">
      <x v="1"/>
      <x v="59"/>
    </i>
    <i r="1">
      <x v="2"/>
      <x v="49"/>
    </i>
    <i r="1">
      <x v="3"/>
      <x v="2"/>
    </i>
    <i r="1">
      <x v="4"/>
      <x v="1"/>
    </i>
    <i r="1">
      <x v="5"/>
      <x v="47"/>
    </i>
    <i r="1">
      <x v="6"/>
      <x v="64"/>
    </i>
    <i r="1">
      <x v="7"/>
      <x v="65"/>
    </i>
    <i r="1">
      <x v="8"/>
      <x v="53"/>
    </i>
    <i r="1">
      <x v="9"/>
      <x v="3"/>
    </i>
    <i r="2">
      <x v="48"/>
    </i>
    <i r="1">
      <x v="11"/>
      <x v="66"/>
    </i>
    <i r="1">
      <x v="12"/>
      <x v="42"/>
    </i>
    <i r="1">
      <x v="13"/>
      <x v="68"/>
    </i>
    <i r="1">
      <x v="14"/>
      <x v="46"/>
    </i>
    <i r="1">
      <x v="15"/>
      <x v="56"/>
    </i>
    <i r="1">
      <x v="16"/>
      <x v="57"/>
    </i>
    <i r="1">
      <x v="17"/>
      <x v="51"/>
    </i>
    <i r="1">
      <x v="18"/>
      <x v="41"/>
    </i>
    <i r="2">
      <x v="62"/>
    </i>
    <i t="blank">
      <x v="6"/>
    </i>
    <i>
      <x v="7"/>
    </i>
    <i r="1">
      <x/>
      <x v="61"/>
    </i>
    <i r="1">
      <x v="1"/>
      <x v="59"/>
    </i>
    <i r="1">
      <x v="2"/>
      <x v="49"/>
    </i>
    <i r="1">
      <x v="3"/>
      <x v="47"/>
    </i>
    <i r="1">
      <x v="4"/>
      <x v="1"/>
    </i>
    <i r="1">
      <x v="5"/>
      <x v="2"/>
    </i>
    <i r="1">
      <x v="6"/>
      <x v="48"/>
    </i>
    <i r="1">
      <x v="7"/>
      <x v="64"/>
    </i>
    <i r="1">
      <x v="8"/>
      <x v="53"/>
    </i>
    <i r="1">
      <x v="9"/>
      <x v="3"/>
    </i>
    <i r="1">
      <x v="10"/>
      <x v="46"/>
    </i>
    <i r="1">
      <x v="11"/>
      <x v="4"/>
    </i>
    <i r="2">
      <x v="57"/>
    </i>
    <i r="1">
      <x v="13"/>
      <x v="65"/>
    </i>
    <i r="1">
      <x v="14"/>
      <x v="66"/>
    </i>
    <i r="1">
      <x v="15"/>
      <x v="26"/>
    </i>
    <i r="1">
      <x v="16"/>
      <x v="58"/>
    </i>
    <i r="2">
      <x v="60"/>
    </i>
    <i r="2">
      <x v="68"/>
    </i>
    <i r="1">
      <x v="19"/>
      <x v="41"/>
    </i>
    <i t="blank">
      <x v="7"/>
    </i>
    <i>
      <x v="8"/>
    </i>
    <i r="1">
      <x/>
      <x v="59"/>
    </i>
    <i r="1">
      <x v="1"/>
      <x v="61"/>
    </i>
    <i r="1">
      <x v="2"/>
      <x v="49"/>
    </i>
    <i r="1">
      <x v="3"/>
      <x v="1"/>
    </i>
    <i r="1">
      <x v="4"/>
      <x v="53"/>
    </i>
    <i r="1">
      <x v="5"/>
      <x v="47"/>
    </i>
    <i r="1">
      <x v="6"/>
      <x v="2"/>
    </i>
    <i r="1">
      <x v="7"/>
      <x v="3"/>
    </i>
    <i r="1">
      <x v="8"/>
      <x v="64"/>
    </i>
    <i r="1">
      <x v="9"/>
      <x v="46"/>
    </i>
    <i r="1">
      <x v="10"/>
      <x v="57"/>
    </i>
    <i r="1">
      <x v="11"/>
      <x v="65"/>
    </i>
    <i r="1">
      <x v="12"/>
      <x v="48"/>
    </i>
    <i r="1">
      <x v="13"/>
      <x v="56"/>
    </i>
    <i r="1">
      <x v="14"/>
      <x v="68"/>
    </i>
    <i r="1">
      <x v="15"/>
      <x v="4"/>
    </i>
    <i r="1">
      <x v="16"/>
      <x v="58"/>
    </i>
    <i r="1">
      <x v="17"/>
      <x v="20"/>
    </i>
    <i r="2">
      <x v="43"/>
    </i>
    <i r="2">
      <x v="50"/>
    </i>
    <i t="blank">
      <x v="8"/>
    </i>
    <i>
      <x v="9"/>
    </i>
    <i r="1">
      <x/>
      <x v="61"/>
    </i>
    <i r="1">
      <x v="1"/>
      <x v="53"/>
    </i>
    <i r="1">
      <x v="2"/>
      <x v="2"/>
    </i>
    <i r="1">
      <x v="3"/>
      <x v="59"/>
    </i>
    <i r="1">
      <x v="4"/>
      <x v="49"/>
    </i>
    <i r="1">
      <x v="5"/>
      <x v="1"/>
    </i>
    <i r="1">
      <x v="6"/>
      <x v="47"/>
    </i>
    <i r="1">
      <x v="7"/>
      <x v="3"/>
    </i>
    <i r="1">
      <x v="8"/>
      <x v="48"/>
    </i>
    <i r="1">
      <x v="9"/>
      <x v="65"/>
    </i>
    <i r="1">
      <x v="10"/>
      <x v="68"/>
    </i>
    <i r="1">
      <x v="11"/>
      <x v="46"/>
    </i>
    <i r="1">
      <x v="12"/>
      <x v="64"/>
    </i>
    <i r="1">
      <x v="13"/>
      <x v="66"/>
    </i>
    <i r="1">
      <x v="14"/>
      <x v="18"/>
    </i>
    <i r="2">
      <x v="56"/>
    </i>
    <i r="1">
      <x v="16"/>
      <x v="62"/>
    </i>
    <i r="1">
      <x v="17"/>
      <x v="41"/>
    </i>
    <i r="2">
      <x v="57"/>
    </i>
    <i r="1">
      <x v="19"/>
      <x v="4"/>
    </i>
    <i r="2">
      <x v="42"/>
    </i>
    <i t="blank">
      <x v="9"/>
    </i>
    <i>
      <x v="10"/>
    </i>
    <i r="1">
      <x/>
      <x v="61"/>
    </i>
    <i r="1">
      <x v="1"/>
      <x v="1"/>
    </i>
    <i r="1">
      <x v="2"/>
      <x v="49"/>
    </i>
    <i r="1">
      <x v="3"/>
      <x v="2"/>
    </i>
    <i r="1">
      <x v="4"/>
      <x v="47"/>
    </i>
    <i r="1">
      <x v="5"/>
      <x v="59"/>
    </i>
    <i r="1">
      <x v="6"/>
      <x v="48"/>
    </i>
    <i r="1">
      <x v="7"/>
      <x v="53"/>
    </i>
    <i r="2">
      <x v="68"/>
    </i>
    <i r="1">
      <x v="9"/>
      <x v="3"/>
    </i>
    <i r="2">
      <x v="46"/>
    </i>
    <i r="1">
      <x v="11"/>
      <x v="65"/>
    </i>
    <i r="1">
      <x v="12"/>
      <x v="66"/>
    </i>
    <i r="1">
      <x v="13"/>
      <x v="64"/>
    </i>
    <i r="1">
      <x v="14"/>
      <x v="42"/>
    </i>
    <i r="1">
      <x v="15"/>
      <x v="57"/>
    </i>
    <i r="1">
      <x v="16"/>
      <x v="8"/>
    </i>
    <i r="1">
      <x v="17"/>
      <x v="6"/>
    </i>
    <i r="2">
      <x v="56"/>
    </i>
    <i r="2">
      <x v="62"/>
    </i>
    <i t="blank">
      <x v="10"/>
    </i>
    <i>
      <x v="11"/>
    </i>
    <i r="1">
      <x/>
      <x v="61"/>
    </i>
    <i r="1">
      <x v="1"/>
      <x v="59"/>
    </i>
    <i r="1">
      <x v="2"/>
      <x v="53"/>
    </i>
    <i r="1">
      <x v="3"/>
      <x v="49"/>
    </i>
    <i r="1">
      <x v="4"/>
      <x v="1"/>
    </i>
    <i r="1">
      <x v="5"/>
      <x v="2"/>
    </i>
    <i r="1">
      <x v="6"/>
      <x v="47"/>
    </i>
    <i r="1">
      <x v="7"/>
      <x v="3"/>
    </i>
    <i r="1">
      <x v="8"/>
      <x v="65"/>
    </i>
    <i r="1">
      <x v="9"/>
      <x v="64"/>
    </i>
    <i r="1">
      <x v="10"/>
      <x v="48"/>
    </i>
    <i r="1">
      <x v="11"/>
      <x v="46"/>
    </i>
    <i r="1">
      <x v="12"/>
      <x v="57"/>
    </i>
    <i r="1">
      <x v="13"/>
      <x v="66"/>
    </i>
    <i r="1">
      <x v="14"/>
      <x v="42"/>
    </i>
    <i r="1">
      <x v="15"/>
      <x v="56"/>
    </i>
    <i r="1">
      <x v="16"/>
      <x v="68"/>
    </i>
    <i r="1">
      <x v="17"/>
      <x v="20"/>
    </i>
    <i r="1">
      <x v="18"/>
      <x v="43"/>
    </i>
    <i r="1">
      <x v="19"/>
      <x v="62"/>
    </i>
    <i t="blank">
      <x v="11"/>
    </i>
    <i>
      <x v="12"/>
    </i>
    <i r="1">
      <x/>
      <x v="61"/>
    </i>
    <i r="1">
      <x v="1"/>
      <x v="53"/>
    </i>
    <i r="1">
      <x v="2"/>
      <x v="49"/>
    </i>
    <i r="1">
      <x v="3"/>
      <x v="1"/>
    </i>
    <i r="1">
      <x v="4"/>
      <x v="2"/>
    </i>
    <i r="1">
      <x v="5"/>
      <x v="59"/>
    </i>
    <i r="1">
      <x v="6"/>
      <x v="47"/>
    </i>
    <i r="1">
      <x v="7"/>
      <x v="48"/>
    </i>
    <i r="1">
      <x v="8"/>
      <x v="3"/>
    </i>
    <i r="1">
      <x v="9"/>
      <x v="65"/>
    </i>
    <i r="1">
      <x v="10"/>
      <x v="64"/>
    </i>
    <i r="1">
      <x v="11"/>
      <x v="68"/>
    </i>
    <i r="1">
      <x v="12"/>
      <x v="6"/>
    </i>
    <i r="1">
      <x v="13"/>
      <x v="57"/>
    </i>
    <i r="1">
      <x v="14"/>
      <x v="46"/>
    </i>
    <i r="1">
      <x v="15"/>
      <x v="56"/>
    </i>
    <i r="2">
      <x v="62"/>
    </i>
    <i r="1">
      <x v="17"/>
      <x v="50"/>
    </i>
    <i r="1">
      <x v="18"/>
      <x v="4"/>
    </i>
    <i r="2">
      <x v="20"/>
    </i>
    <i t="blank">
      <x v="12"/>
    </i>
    <i>
      <x v="13"/>
    </i>
    <i r="1">
      <x/>
      <x v="53"/>
    </i>
    <i r="1">
      <x v="1"/>
      <x v="61"/>
    </i>
    <i r="1">
      <x v="2"/>
      <x v="1"/>
    </i>
    <i r="1">
      <x v="3"/>
      <x v="2"/>
    </i>
    <i r="1">
      <x v="4"/>
      <x v="59"/>
    </i>
    <i r="1">
      <x v="5"/>
      <x v="49"/>
    </i>
    <i r="1">
      <x v="6"/>
      <x v="47"/>
    </i>
    <i r="1">
      <x v="7"/>
      <x v="65"/>
    </i>
    <i r="1">
      <x v="8"/>
      <x v="3"/>
    </i>
    <i r="1">
      <x v="9"/>
      <x v="48"/>
    </i>
    <i r="1">
      <x v="10"/>
      <x v="64"/>
    </i>
    <i r="1">
      <x v="11"/>
      <x v="66"/>
    </i>
    <i r="1">
      <x v="12"/>
      <x v="56"/>
    </i>
    <i r="2">
      <x v="57"/>
    </i>
    <i r="1">
      <x v="14"/>
      <x v="18"/>
    </i>
    <i r="2">
      <x v="68"/>
    </i>
    <i r="1">
      <x v="16"/>
      <x v="35"/>
    </i>
    <i r="2">
      <x v="42"/>
    </i>
    <i r="2">
      <x v="44"/>
    </i>
    <i r="2">
      <x v="46"/>
    </i>
    <i t="blank">
      <x v="13"/>
    </i>
    <i>
      <x v="14"/>
    </i>
    <i r="1">
      <x/>
      <x v="53"/>
    </i>
    <i r="2">
      <x v="61"/>
    </i>
    <i r="1">
      <x v="2"/>
      <x v="2"/>
    </i>
    <i r="1">
      <x v="3"/>
      <x v="49"/>
    </i>
    <i r="1">
      <x v="4"/>
      <x v="1"/>
    </i>
    <i r="1">
      <x v="5"/>
      <x v="64"/>
    </i>
    <i r="1">
      <x v="6"/>
      <x v="48"/>
    </i>
    <i r="1">
      <x v="7"/>
      <x v="47"/>
    </i>
    <i r="1">
      <x v="8"/>
      <x v="59"/>
    </i>
    <i r="2">
      <x v="65"/>
    </i>
    <i r="1">
      <x v="10"/>
      <x v="3"/>
    </i>
    <i r="1">
      <x v="11"/>
      <x v="57"/>
    </i>
    <i r="2">
      <x v="68"/>
    </i>
    <i r="1">
      <x v="13"/>
      <x v="42"/>
    </i>
    <i r="2">
      <x v="56"/>
    </i>
    <i r="1">
      <x v="15"/>
      <x v="18"/>
    </i>
    <i r="2">
      <x v="41"/>
    </i>
    <i r="2">
      <x v="43"/>
    </i>
    <i r="1">
      <x v="18"/>
      <x v="12"/>
    </i>
    <i r="2">
      <x v="22"/>
    </i>
    <i r="2">
      <x v="50"/>
    </i>
    <i r="2">
      <x v="67"/>
    </i>
    <i t="blank">
      <x v="14"/>
    </i>
    <i>
      <x v="15"/>
    </i>
    <i r="1">
      <x/>
      <x v="49"/>
    </i>
    <i r="1">
      <x v="1"/>
      <x v="61"/>
    </i>
    <i r="1">
      <x v="2"/>
      <x v="2"/>
    </i>
    <i r="2">
      <x v="47"/>
    </i>
    <i r="1">
      <x v="4"/>
      <x v="1"/>
    </i>
    <i r="1">
      <x v="5"/>
      <x v="53"/>
    </i>
    <i r="1">
      <x v="6"/>
      <x v="3"/>
    </i>
    <i r="1">
      <x v="7"/>
      <x v="59"/>
    </i>
    <i r="1">
      <x v="8"/>
      <x v="48"/>
    </i>
    <i r="1">
      <x v="9"/>
      <x v="46"/>
    </i>
    <i r="2">
      <x v="64"/>
    </i>
    <i r="1">
      <x v="11"/>
      <x v="57"/>
    </i>
    <i r="2">
      <x v="60"/>
    </i>
    <i r="2">
      <x v="68"/>
    </i>
    <i r="1">
      <x v="14"/>
      <x v="62"/>
    </i>
    <i r="2">
      <x v="70"/>
    </i>
    <i r="1">
      <x v="16"/>
      <x v="4"/>
    </i>
    <i r="2">
      <x v="13"/>
    </i>
    <i r="2">
      <x v="23"/>
    </i>
    <i r="2">
      <x v="41"/>
    </i>
    <i r="2">
      <x v="43"/>
    </i>
    <i r="2">
      <x v="65"/>
    </i>
    <i r="2">
      <x v="66"/>
    </i>
    <i r="2">
      <x v="71"/>
    </i>
    <i t="blank">
      <x v="15"/>
    </i>
    <i>
      <x v="16"/>
    </i>
    <i r="1">
      <x/>
      <x v="61"/>
    </i>
    <i r="1">
      <x v="1"/>
      <x v="53"/>
    </i>
    <i r="1">
      <x v="2"/>
      <x v="49"/>
    </i>
    <i r="1">
      <x v="3"/>
      <x v="1"/>
    </i>
    <i r="1">
      <x v="4"/>
      <x v="59"/>
    </i>
    <i r="1">
      <x v="5"/>
      <x v="47"/>
    </i>
    <i r="1">
      <x v="6"/>
      <x v="2"/>
    </i>
    <i r="2">
      <x v="46"/>
    </i>
    <i r="1">
      <x v="8"/>
      <x v="3"/>
    </i>
    <i r="2">
      <x v="48"/>
    </i>
    <i r="1">
      <x v="10"/>
      <x v="23"/>
    </i>
    <i r="1">
      <x v="11"/>
      <x v="64"/>
    </i>
    <i r="1">
      <x v="12"/>
      <x v="65"/>
    </i>
    <i r="2">
      <x v="68"/>
    </i>
    <i r="1">
      <x v="14"/>
      <x v="6"/>
    </i>
    <i r="2">
      <x v="50"/>
    </i>
    <i r="2">
      <x v="71"/>
    </i>
    <i r="1">
      <x v="17"/>
      <x v="20"/>
    </i>
    <i r="2">
      <x v="57"/>
    </i>
    <i r="1">
      <x v="19"/>
      <x v="42"/>
    </i>
    <i t="blank">
      <x v="16"/>
    </i>
    <i>
      <x v="17"/>
    </i>
    <i r="1">
      <x/>
      <x v="61"/>
    </i>
    <i r="1">
      <x v="1"/>
      <x v="1"/>
    </i>
    <i r="1">
      <x v="2"/>
      <x v="2"/>
    </i>
    <i r="2">
      <x v="47"/>
    </i>
    <i r="1">
      <x v="4"/>
      <x v="3"/>
    </i>
    <i r="2">
      <x v="49"/>
    </i>
    <i r="1">
      <x v="6"/>
      <x v="59"/>
    </i>
    <i r="1">
      <x v="7"/>
      <x v="48"/>
    </i>
    <i r="1">
      <x v="8"/>
      <x v="56"/>
    </i>
    <i r="2">
      <x v="58"/>
    </i>
    <i r="1">
      <x v="10"/>
      <x v="64"/>
    </i>
    <i r="2">
      <x v="65"/>
    </i>
    <i r="1">
      <x v="12"/>
      <x v="66"/>
    </i>
    <i r="2">
      <x v="67"/>
    </i>
    <i r="1">
      <x v="14"/>
      <x v="4"/>
    </i>
    <i r="2">
      <x v="43"/>
    </i>
    <i r="2">
      <x v="46"/>
    </i>
    <i r="2">
      <x v="50"/>
    </i>
    <i r="2">
      <x v="68"/>
    </i>
    <i r="1">
      <x v="19"/>
      <x v="7"/>
    </i>
    <i r="2">
      <x v="13"/>
    </i>
    <i r="2">
      <x v="16"/>
    </i>
    <i r="2">
      <x v="18"/>
    </i>
    <i r="2">
      <x v="20"/>
    </i>
    <i r="2">
      <x v="24"/>
    </i>
    <i r="2">
      <x v="25"/>
    </i>
    <i r="2">
      <x v="28"/>
    </i>
    <i r="2">
      <x v="30"/>
    </i>
    <i r="2">
      <x v="42"/>
    </i>
    <i r="2">
      <x v="44"/>
    </i>
    <i r="2">
      <x v="52"/>
    </i>
    <i r="2">
      <x v="53"/>
    </i>
    <i r="2">
      <x v="60"/>
    </i>
    <i r="2">
      <x v="62"/>
    </i>
    <i r="2">
      <x v="63"/>
    </i>
    <i r="2">
      <x v="70"/>
    </i>
    <i r="2">
      <x v="71"/>
    </i>
    <i t="blank">
      <x v="17"/>
    </i>
    <i>
      <x v="18"/>
    </i>
    <i r="1">
      <x/>
      <x v="61"/>
    </i>
    <i r="1">
      <x v="1"/>
      <x v="59"/>
    </i>
    <i r="1">
      <x v="2"/>
      <x v="2"/>
    </i>
    <i r="2">
      <x v="49"/>
    </i>
    <i r="1">
      <x v="4"/>
      <x v="47"/>
    </i>
    <i r="1">
      <x v="5"/>
      <x v="48"/>
    </i>
    <i r="1">
      <x v="6"/>
      <x v="1"/>
    </i>
    <i r="2">
      <x v="18"/>
    </i>
    <i r="1">
      <x v="8"/>
      <x v="3"/>
    </i>
    <i r="2">
      <x v="53"/>
    </i>
    <i r="1">
      <x v="10"/>
      <x v="46"/>
    </i>
    <i r="1">
      <x v="11"/>
      <x v="65"/>
    </i>
    <i r="1">
      <x v="12"/>
      <x v="64"/>
    </i>
    <i r="1">
      <x v="13"/>
      <x v="66"/>
    </i>
    <i r="1">
      <x v="14"/>
      <x v="19"/>
    </i>
    <i r="2">
      <x v="44"/>
    </i>
    <i r="2">
      <x v="57"/>
    </i>
    <i r="1">
      <x v="17"/>
      <x v="41"/>
    </i>
    <i r="2">
      <x v="56"/>
    </i>
    <i r="2">
      <x v="62"/>
    </i>
    <i t="blank">
      <x v="18"/>
    </i>
    <i>
      <x v="19"/>
    </i>
    <i r="1">
      <x/>
      <x v="1"/>
    </i>
    <i r="1">
      <x v="1"/>
      <x v="47"/>
    </i>
    <i r="1">
      <x v="2"/>
      <x v="58"/>
    </i>
    <i r="1">
      <x v="3"/>
      <x v="2"/>
    </i>
    <i r="1">
      <x v="4"/>
      <x v="61"/>
    </i>
    <i r="1">
      <x v="5"/>
      <x v="59"/>
    </i>
    <i r="1">
      <x v="6"/>
      <x v="49"/>
    </i>
    <i r="1">
      <x v="7"/>
      <x v="4"/>
    </i>
    <i r="1">
      <x v="8"/>
      <x v="3"/>
    </i>
    <i r="2">
      <x v="60"/>
    </i>
    <i r="1">
      <x v="10"/>
      <x v="52"/>
    </i>
    <i r="1">
      <x v="11"/>
      <x v="16"/>
    </i>
    <i r="2">
      <x v="30"/>
    </i>
    <i r="2">
      <x v="41"/>
    </i>
    <i r="2">
      <x v="64"/>
    </i>
    <i r="2">
      <x v="65"/>
    </i>
    <i r="2">
      <x v="66"/>
    </i>
    <i r="2">
      <x v="67"/>
    </i>
    <i r="2">
      <x v="68"/>
    </i>
    <i r="1">
      <x v="19"/>
      <x/>
    </i>
    <i r="2">
      <x v="5"/>
    </i>
    <i r="2">
      <x v="6"/>
    </i>
    <i r="2">
      <x v="7"/>
    </i>
    <i r="2">
      <x v="8"/>
    </i>
    <i r="2">
      <x v="15"/>
    </i>
    <i r="2">
      <x v="18"/>
    </i>
    <i r="2">
      <x v="28"/>
    </i>
    <i r="2">
      <x v="31"/>
    </i>
    <i r="2">
      <x v="33"/>
    </i>
    <i r="2">
      <x v="34"/>
    </i>
    <i r="2">
      <x v="38"/>
    </i>
    <i r="2">
      <x v="42"/>
    </i>
    <i r="2">
      <x v="43"/>
    </i>
    <i r="2">
      <x v="44"/>
    </i>
    <i r="2">
      <x v="46"/>
    </i>
    <i r="2">
      <x v="48"/>
    </i>
    <i r="2">
      <x v="63"/>
    </i>
    <i r="2">
      <x v="70"/>
    </i>
    <i t="blank">
      <x v="19"/>
    </i>
    <i>
      <x v="20"/>
    </i>
    <i r="1">
      <x/>
      <x v="49"/>
    </i>
    <i r="1">
      <x v="1"/>
      <x v="47"/>
    </i>
    <i r="2">
      <x v="59"/>
    </i>
    <i r="2">
      <x v="61"/>
    </i>
    <i r="1">
      <x v="4"/>
      <x v="1"/>
    </i>
    <i r="1">
      <x v="5"/>
      <x v="58"/>
    </i>
    <i r="1">
      <x v="6"/>
      <x v="2"/>
    </i>
    <i r="1">
      <x v="7"/>
      <x v="3"/>
    </i>
    <i r="1">
      <x v="8"/>
      <x v="63"/>
    </i>
    <i r="1">
      <x v="9"/>
      <x v="4"/>
    </i>
    <i r="2">
      <x v="44"/>
    </i>
    <i r="2">
      <x v="57"/>
    </i>
    <i r="2">
      <x v="60"/>
    </i>
    <i r="2">
      <x v="66"/>
    </i>
    <i r="1">
      <x v="14"/>
      <x v="46"/>
    </i>
    <i r="2">
      <x v="48"/>
    </i>
    <i r="2">
      <x v="64"/>
    </i>
    <i r="2">
      <x v="68"/>
    </i>
    <i r="1">
      <x v="18"/>
      <x v="14"/>
    </i>
    <i r="2">
      <x v="34"/>
    </i>
    <i r="2">
      <x v="35"/>
    </i>
    <i r="2">
      <x v="51"/>
    </i>
    <i r="2">
      <x v="53"/>
    </i>
    <i r="2">
      <x v="54"/>
    </i>
    <i r="2">
      <x v="65"/>
    </i>
    <i r="2">
      <x v="67"/>
    </i>
    <i r="2">
      <x v="72"/>
    </i>
    <i t="blank">
      <x v="20"/>
    </i>
    <i>
      <x v="21"/>
    </i>
    <i r="1">
      <x/>
      <x v="58"/>
    </i>
    <i r="1">
      <x v="1"/>
      <x v="59"/>
    </i>
    <i r="1">
      <x v="2"/>
      <x v="47"/>
    </i>
    <i r="1">
      <x v="3"/>
      <x v="63"/>
    </i>
    <i r="1">
      <x v="4"/>
      <x v="1"/>
    </i>
    <i r="1">
      <x v="5"/>
      <x v="49"/>
    </i>
    <i r="2">
      <x v="61"/>
    </i>
    <i r="2">
      <x v="64"/>
    </i>
    <i r="1">
      <x v="8"/>
      <x v="3"/>
    </i>
    <i r="2">
      <x v="4"/>
    </i>
    <i r="2">
      <x v="35"/>
    </i>
    <i r="2">
      <x v="39"/>
    </i>
    <i r="2">
      <x v="65"/>
    </i>
    <i r="2">
      <x v="66"/>
    </i>
    <i t="blank">
      <x v="21"/>
    </i>
    <i>
      <x v="22"/>
    </i>
    <i r="1">
      <x/>
      <x v="58"/>
    </i>
    <i r="1">
      <x v="1"/>
      <x v="61"/>
    </i>
    <i r="1">
      <x v="2"/>
      <x v="47"/>
    </i>
    <i r="1">
      <x v="3"/>
      <x v="2"/>
    </i>
    <i r="1">
      <x v="4"/>
      <x v="59"/>
    </i>
    <i r="1">
      <x v="5"/>
      <x v="1"/>
    </i>
    <i r="1">
      <x v="6"/>
      <x v="49"/>
    </i>
    <i r="1">
      <x v="7"/>
      <x v="4"/>
    </i>
    <i r="1">
      <x v="8"/>
      <x v="3"/>
    </i>
    <i r="2">
      <x v="65"/>
    </i>
    <i r="1">
      <x v="10"/>
      <x v="48"/>
    </i>
    <i r="2">
      <x v="60"/>
    </i>
    <i r="1">
      <x v="12"/>
      <x v="7"/>
    </i>
    <i r="2">
      <x v="21"/>
    </i>
    <i r="2">
      <x v="54"/>
    </i>
    <i r="2">
      <x v="57"/>
    </i>
    <i r="2">
      <x v="66"/>
    </i>
    <i r="2">
      <x v="72"/>
    </i>
    <i r="1">
      <x v="18"/>
      <x v="46"/>
    </i>
    <i r="2">
      <x v="51"/>
    </i>
    <i r="2">
      <x v="56"/>
    </i>
    <i r="2">
      <x v="62"/>
    </i>
    <i r="2">
      <x v="64"/>
    </i>
    <i t="blank">
      <x v="22"/>
    </i>
    <i>
      <x v="23"/>
    </i>
    <i r="1">
      <x/>
      <x v="61"/>
    </i>
    <i r="1">
      <x v="1"/>
      <x v="58"/>
    </i>
    <i r="1">
      <x v="2"/>
      <x v="47"/>
    </i>
    <i r="1">
      <x v="3"/>
      <x v="59"/>
    </i>
    <i r="1">
      <x v="4"/>
      <x v="49"/>
    </i>
    <i r="1">
      <x v="5"/>
      <x v="1"/>
    </i>
    <i r="1">
      <x v="6"/>
      <x v="2"/>
    </i>
    <i r="1">
      <x v="7"/>
      <x v="48"/>
    </i>
    <i r="1">
      <x v="8"/>
      <x v="3"/>
    </i>
    <i r="1">
      <x v="9"/>
      <x v="53"/>
    </i>
    <i r="1">
      <x v="10"/>
      <x v="56"/>
    </i>
    <i r="2">
      <x v="71"/>
    </i>
    <i r="1">
      <x v="12"/>
      <x v="57"/>
    </i>
    <i r="2">
      <x v="64"/>
    </i>
    <i r="2">
      <x v="66"/>
    </i>
    <i r="1">
      <x v="15"/>
      <x v="68"/>
    </i>
    <i r="1">
      <x v="16"/>
      <x v="46"/>
    </i>
    <i r="2">
      <x v="63"/>
    </i>
    <i r="2">
      <x v="65"/>
    </i>
    <i r="1">
      <x v="19"/>
      <x v="42"/>
    </i>
    <i t="blank">
      <x v="23"/>
    </i>
    <i>
      <x v="24"/>
    </i>
    <i r="1">
      <x/>
      <x v="58"/>
    </i>
    <i r="1">
      <x v="1"/>
      <x v="59"/>
    </i>
    <i r="1">
      <x v="2"/>
      <x v="1"/>
    </i>
    <i r="2">
      <x v="47"/>
    </i>
    <i r="2">
      <x v="49"/>
    </i>
    <i r="1">
      <x v="5"/>
      <x v="61"/>
    </i>
    <i r="1">
      <x v="6"/>
      <x v="63"/>
    </i>
    <i r="1">
      <x v="7"/>
      <x v="2"/>
    </i>
    <i r="2">
      <x v="41"/>
    </i>
    <i r="2">
      <x v="60"/>
    </i>
    <i r="1">
      <x v="10"/>
      <x v="53"/>
    </i>
    <i r="1">
      <x v="11"/>
      <x v="3"/>
    </i>
    <i r="2">
      <x v="57"/>
    </i>
    <i r="2">
      <x v="64"/>
    </i>
    <i r="2">
      <x v="71"/>
    </i>
    <i r="1">
      <x v="15"/>
      <x v="5"/>
    </i>
    <i r="2">
      <x v="7"/>
    </i>
    <i r="2">
      <x v="8"/>
    </i>
    <i r="2">
      <x v="11"/>
    </i>
    <i r="2">
      <x v="16"/>
    </i>
    <i r="2">
      <x v="25"/>
    </i>
    <i r="2">
      <x v="31"/>
    </i>
    <i r="2">
      <x v="34"/>
    </i>
    <i r="2">
      <x v="39"/>
    </i>
    <i r="2">
      <x v="48"/>
    </i>
    <i r="2">
      <x v="54"/>
    </i>
    <i r="2">
      <x v="56"/>
    </i>
    <i r="2">
      <x v="62"/>
    </i>
    <i r="2">
      <x v="65"/>
    </i>
    <i r="2">
      <x v="66"/>
    </i>
    <i r="2">
      <x v="67"/>
    </i>
    <i r="2">
      <x v="68"/>
    </i>
    <i r="2">
      <x v="72"/>
    </i>
    <i t="blank">
      <x v="24"/>
    </i>
    <i>
      <x v="25"/>
    </i>
    <i r="1">
      <x/>
      <x v="59"/>
    </i>
    <i r="1">
      <x v="1"/>
      <x v="61"/>
    </i>
    <i r="1">
      <x v="2"/>
      <x v="2"/>
    </i>
    <i r="1">
      <x v="3"/>
      <x v="1"/>
    </i>
    <i r="2">
      <x v="49"/>
    </i>
    <i r="1">
      <x v="5"/>
      <x v="47"/>
    </i>
    <i r="1">
      <x v="6"/>
      <x v="48"/>
    </i>
    <i r="1">
      <x v="7"/>
      <x v="3"/>
    </i>
    <i r="1">
      <x v="8"/>
      <x v="58"/>
    </i>
    <i r="1">
      <x v="9"/>
      <x v="64"/>
    </i>
    <i r="1">
      <x v="10"/>
      <x v="65"/>
    </i>
    <i r="2">
      <x v="66"/>
    </i>
    <i r="1">
      <x v="12"/>
      <x v="7"/>
    </i>
    <i r="2">
      <x v="46"/>
    </i>
    <i r="2">
      <x v="56"/>
    </i>
    <i r="1">
      <x v="15"/>
      <x v="68"/>
    </i>
    <i r="1">
      <x v="16"/>
      <x v="8"/>
    </i>
    <i r="2">
      <x v="10"/>
    </i>
    <i r="2">
      <x v="26"/>
    </i>
    <i r="2">
      <x v="41"/>
    </i>
    <i r="2">
      <x v="44"/>
    </i>
    <i t="blank">
      <x v="25"/>
    </i>
    <i>
      <x v="26"/>
    </i>
    <i r="1">
      <x/>
      <x v="58"/>
    </i>
    <i r="1">
      <x v="1"/>
      <x v="61"/>
    </i>
    <i r="1">
      <x v="2"/>
      <x v="59"/>
    </i>
    <i r="1">
      <x v="3"/>
      <x v="3"/>
    </i>
    <i r="1">
      <x v="4"/>
      <x v="49"/>
    </i>
    <i r="2">
      <x v="67"/>
    </i>
    <i r="2">
      <x v="69"/>
    </i>
    <i r="1">
      <x v="7"/>
      <x v="1"/>
    </i>
    <i r="2">
      <x v="2"/>
    </i>
    <i r="2">
      <x v="4"/>
    </i>
    <i r="2">
      <x v="5"/>
    </i>
    <i r="2">
      <x v="8"/>
    </i>
    <i r="2">
      <x v="25"/>
    </i>
    <i r="2">
      <x v="47"/>
    </i>
    <i r="2">
      <x v="48"/>
    </i>
    <i r="1">
      <x v="15"/>
      <x v="7"/>
    </i>
    <i r="2">
      <x v="11"/>
    </i>
    <i r="2">
      <x v="20"/>
    </i>
    <i r="2">
      <x v="21"/>
    </i>
    <i r="2">
      <x v="27"/>
    </i>
    <i r="2">
      <x v="28"/>
    </i>
    <i r="2">
      <x v="34"/>
    </i>
    <i r="2">
      <x v="46"/>
    </i>
    <i r="2">
      <x v="50"/>
    </i>
    <i r="2">
      <x v="56"/>
    </i>
    <i r="2">
      <x v="57"/>
    </i>
    <i r="2">
      <x v="63"/>
    </i>
    <i r="2">
      <x v="64"/>
    </i>
    <i r="2">
      <x v="65"/>
    </i>
    <i r="2">
      <x v="70"/>
    </i>
    <i t="blank">
      <x v="26"/>
    </i>
    <i>
      <x v="27"/>
    </i>
    <i r="1">
      <x/>
      <x v="58"/>
    </i>
    <i r="1">
      <x v="1"/>
      <x v="59"/>
    </i>
    <i r="1">
      <x v="2"/>
      <x v="61"/>
    </i>
    <i r="1">
      <x v="3"/>
      <x v="1"/>
    </i>
    <i r="1">
      <x v="4"/>
      <x v="47"/>
    </i>
    <i r="2">
      <x v="49"/>
    </i>
    <i r="1">
      <x v="6"/>
      <x v="2"/>
    </i>
    <i r="2">
      <x v="64"/>
    </i>
    <i r="1">
      <x v="8"/>
      <x v="53"/>
    </i>
    <i r="1">
      <x v="9"/>
      <x v="3"/>
    </i>
    <i r="1">
      <x v="10"/>
      <x v="65"/>
    </i>
    <i r="1">
      <x v="11"/>
      <x v="46"/>
    </i>
    <i r="1">
      <x v="12"/>
      <x v="4"/>
    </i>
    <i r="1">
      <x v="13"/>
      <x v="66"/>
    </i>
    <i r="1">
      <x v="14"/>
      <x v="48"/>
    </i>
    <i r="2">
      <x v="60"/>
    </i>
    <i r="2">
      <x v="63"/>
    </i>
    <i r="2">
      <x v="68"/>
    </i>
    <i r="1">
      <x v="18"/>
      <x v="62"/>
    </i>
    <i r="1">
      <x v="19"/>
      <x v="13"/>
    </i>
    <i r="2">
      <x v="57"/>
    </i>
    <i r="2">
      <x v="71"/>
    </i>
    <i t="blank">
      <x v="27"/>
    </i>
    <i>
      <x v="28"/>
    </i>
    <i r="1">
      <x/>
      <x v="59"/>
    </i>
    <i r="1">
      <x v="1"/>
      <x v="61"/>
    </i>
    <i r="1">
      <x v="2"/>
      <x v="49"/>
    </i>
    <i r="1">
      <x v="3"/>
      <x v="47"/>
    </i>
    <i r="1">
      <x v="4"/>
      <x v="1"/>
    </i>
    <i r="2">
      <x v="53"/>
    </i>
    <i r="1">
      <x v="6"/>
      <x v="2"/>
    </i>
    <i r="1">
      <x v="7"/>
      <x v="48"/>
    </i>
    <i r="1">
      <x v="8"/>
      <x v="46"/>
    </i>
    <i r="1">
      <x v="9"/>
      <x v="3"/>
    </i>
    <i r="1">
      <x v="10"/>
      <x v="64"/>
    </i>
    <i r="1">
      <x v="11"/>
      <x v="56"/>
    </i>
    <i r="2">
      <x v="65"/>
    </i>
    <i r="1">
      <x v="13"/>
      <x v="4"/>
    </i>
    <i r="2">
      <x v="57"/>
    </i>
    <i r="2">
      <x v="72"/>
    </i>
    <i r="1">
      <x v="16"/>
      <x v="60"/>
    </i>
    <i r="1">
      <x v="17"/>
      <x v="41"/>
    </i>
    <i r="2">
      <x v="66"/>
    </i>
    <i r="1">
      <x v="19"/>
      <x v="42"/>
    </i>
    <i r="2">
      <x v="43"/>
    </i>
    <i t="blank">
      <x v="28"/>
    </i>
    <i>
      <x v="29"/>
    </i>
    <i r="1">
      <x/>
      <x v="1"/>
    </i>
    <i r="1">
      <x v="1"/>
      <x v="47"/>
    </i>
    <i r="1">
      <x v="2"/>
      <x v="3"/>
    </i>
    <i r="2">
      <x v="41"/>
    </i>
    <i r="2">
      <x v="49"/>
    </i>
    <i r="2">
      <x v="61"/>
    </i>
    <i r="1">
      <x v="6"/>
      <x v="48"/>
    </i>
    <i r="2">
      <x v="59"/>
    </i>
    <i r="2">
      <x v="64"/>
    </i>
    <i r="1">
      <x v="9"/>
      <x v="2"/>
    </i>
    <i r="2">
      <x v="19"/>
    </i>
    <i r="2">
      <x v="68"/>
    </i>
    <i r="1">
      <x v="12"/>
      <x v="4"/>
    </i>
    <i r="2">
      <x v="7"/>
    </i>
    <i r="2">
      <x v="20"/>
    </i>
    <i r="2">
      <x v="26"/>
    </i>
    <i r="2">
      <x v="30"/>
    </i>
    <i r="2">
      <x v="44"/>
    </i>
    <i r="2">
      <x v="51"/>
    </i>
    <i r="2">
      <x v="57"/>
    </i>
    <i r="2">
      <x v="60"/>
    </i>
    <i r="2">
      <x v="62"/>
    </i>
    <i r="2">
      <x v="65"/>
    </i>
    <i r="2">
      <x v="66"/>
    </i>
    <i r="2">
      <x v="67"/>
    </i>
    <i r="2">
      <x v="72"/>
    </i>
    <i t="blank">
      <x v="29"/>
    </i>
    <i>
      <x v="30"/>
    </i>
    <i r="1">
      <x/>
      <x v="47"/>
    </i>
    <i r="1">
      <x v="1"/>
      <x v="1"/>
    </i>
    <i r="1">
      <x v="2"/>
      <x v="61"/>
    </i>
    <i r="1">
      <x v="3"/>
      <x v="58"/>
    </i>
    <i r="2">
      <x v="59"/>
    </i>
    <i r="1">
      <x v="5"/>
      <x v="49"/>
    </i>
    <i r="1">
      <x v="6"/>
      <x v="2"/>
    </i>
    <i r="1">
      <x v="7"/>
      <x v="3"/>
    </i>
    <i r="2">
      <x v="48"/>
    </i>
    <i r="2">
      <x v="57"/>
    </i>
    <i r="1">
      <x v="10"/>
      <x v="46"/>
    </i>
    <i r="2">
      <x v="66"/>
    </i>
    <i r="1">
      <x v="12"/>
      <x v="60"/>
    </i>
    <i r="2">
      <x v="62"/>
    </i>
    <i r="2">
      <x v="63"/>
    </i>
    <i r="2">
      <x v="71"/>
    </i>
    <i r="1">
      <x v="16"/>
      <x v="7"/>
    </i>
    <i r="2">
      <x v="20"/>
    </i>
    <i r="2">
      <x v="21"/>
    </i>
    <i r="2">
      <x v="26"/>
    </i>
    <i r="2">
      <x v="28"/>
    </i>
    <i r="2">
      <x v="36"/>
    </i>
    <i r="2">
      <x v="41"/>
    </i>
    <i r="2">
      <x v="45"/>
    </i>
    <i r="2">
      <x v="53"/>
    </i>
    <i r="2">
      <x v="54"/>
    </i>
    <i r="2">
      <x v="56"/>
    </i>
    <i r="2">
      <x v="70"/>
    </i>
    <i t="blank">
      <x v="30"/>
    </i>
    <i>
      <x v="31"/>
    </i>
    <i r="1">
      <x/>
      <x v="61"/>
    </i>
    <i r="1">
      <x v="1"/>
      <x v="47"/>
    </i>
    <i r="2">
      <x v="59"/>
    </i>
    <i r="1">
      <x v="3"/>
      <x v="1"/>
    </i>
    <i r="2">
      <x v="58"/>
    </i>
    <i r="1">
      <x v="5"/>
      <x v="2"/>
    </i>
    <i r="2">
      <x v="49"/>
    </i>
    <i r="1">
      <x v="7"/>
      <x v="4"/>
    </i>
    <i r="2">
      <x v="7"/>
    </i>
    <i r="2">
      <x v="53"/>
    </i>
    <i r="2">
      <x v="66"/>
    </i>
    <i r="1">
      <x v="11"/>
      <x v="8"/>
    </i>
    <i r="2">
      <x v="29"/>
    </i>
    <i r="2">
      <x v="42"/>
    </i>
    <i r="2">
      <x v="48"/>
    </i>
    <i r="2">
      <x v="51"/>
    </i>
    <i r="2">
      <x v="56"/>
    </i>
    <i r="2">
      <x v="60"/>
    </i>
    <i r="2">
      <x v="68"/>
    </i>
    <i r="2">
      <x v="71"/>
    </i>
    <i t="blank">
      <x v="31"/>
    </i>
    <i>
      <x v="32"/>
    </i>
    <i r="1">
      <x/>
      <x v="49"/>
    </i>
    <i r="1">
      <x v="1"/>
      <x v="61"/>
    </i>
    <i r="1">
      <x v="2"/>
      <x v="2"/>
    </i>
    <i r="2">
      <x v="47"/>
    </i>
    <i r="1">
      <x v="4"/>
      <x v="58"/>
    </i>
    <i r="1">
      <x v="5"/>
      <x v="59"/>
    </i>
    <i r="1">
      <x v="6"/>
      <x v="4"/>
    </i>
    <i r="2">
      <x v="48"/>
    </i>
    <i r="1">
      <x v="8"/>
      <x v="1"/>
    </i>
    <i r="2">
      <x v="41"/>
    </i>
    <i r="2">
      <x v="46"/>
    </i>
    <i r="2">
      <x v="66"/>
    </i>
    <i r="2">
      <x v="68"/>
    </i>
    <i r="1">
      <x v="13"/>
      <x v="3"/>
    </i>
    <i r="2">
      <x v="7"/>
    </i>
    <i r="2">
      <x v="33"/>
    </i>
    <i r="2">
      <x v="42"/>
    </i>
    <i r="2">
      <x v="53"/>
    </i>
    <i r="1">
      <x v="18"/>
      <x/>
    </i>
    <i r="2">
      <x v="5"/>
    </i>
    <i r="2">
      <x v="8"/>
    </i>
    <i r="2">
      <x v="12"/>
    </i>
    <i r="2">
      <x v="15"/>
    </i>
    <i r="2">
      <x v="34"/>
    </i>
    <i r="2">
      <x v="39"/>
    </i>
    <i r="2">
      <x v="40"/>
    </i>
    <i r="2">
      <x v="57"/>
    </i>
    <i r="2">
      <x v="60"/>
    </i>
    <i r="2">
      <x v="62"/>
    </i>
    <i r="2">
      <x v="63"/>
    </i>
    <i r="2">
      <x v="65"/>
    </i>
    <i r="2">
      <x v="71"/>
    </i>
    <i t="blank">
      <x v="32"/>
    </i>
    <i>
      <x v="33"/>
    </i>
    <i r="1">
      <x/>
      <x v="61"/>
    </i>
    <i r="1">
      <x v="1"/>
      <x v="49"/>
    </i>
    <i r="1">
      <x v="2"/>
      <x v="59"/>
    </i>
    <i r="1">
      <x v="3"/>
      <x v="47"/>
    </i>
    <i r="1">
      <x v="4"/>
      <x v="1"/>
    </i>
    <i r="2">
      <x v="4"/>
    </i>
    <i r="2">
      <x v="58"/>
    </i>
    <i r="1">
      <x v="7"/>
      <x v="2"/>
    </i>
    <i r="2">
      <x v="3"/>
    </i>
    <i r="2">
      <x v="62"/>
    </i>
    <i r="2">
      <x v="64"/>
    </i>
    <i r="1">
      <x v="11"/>
      <x v="6"/>
    </i>
    <i r="2">
      <x v="8"/>
    </i>
    <i r="2">
      <x v="16"/>
    </i>
    <i r="2">
      <x v="18"/>
    </i>
    <i r="2">
      <x v="26"/>
    </i>
    <i r="2">
      <x v="34"/>
    </i>
    <i r="2">
      <x v="41"/>
    </i>
    <i r="2">
      <x v="45"/>
    </i>
    <i r="2">
      <x v="46"/>
    </i>
    <i r="2">
      <x v="50"/>
    </i>
    <i r="2">
      <x v="60"/>
    </i>
    <i r="2">
      <x v="67"/>
    </i>
    <i r="2">
      <x v="68"/>
    </i>
    <i r="2">
      <x v="71"/>
    </i>
    <i r="2">
      <x v="72"/>
    </i>
    <i t="blank">
      <x v="33"/>
    </i>
    <i>
      <x v="34"/>
    </i>
    <i r="1">
      <x/>
      <x v="61"/>
    </i>
    <i r="1">
      <x v="1"/>
      <x v="49"/>
    </i>
    <i r="1">
      <x v="2"/>
      <x v="1"/>
    </i>
    <i r="1">
      <x v="3"/>
      <x v="59"/>
    </i>
    <i r="1">
      <x v="4"/>
      <x v="2"/>
    </i>
    <i r="2">
      <x v="47"/>
    </i>
    <i r="1">
      <x v="6"/>
      <x v="3"/>
    </i>
    <i r="1">
      <x v="7"/>
      <x v="48"/>
    </i>
    <i r="1">
      <x v="8"/>
      <x v="46"/>
    </i>
    <i r="1">
      <x v="9"/>
      <x v="64"/>
    </i>
    <i r="1">
      <x v="10"/>
      <x v="4"/>
    </i>
    <i r="1">
      <x v="11"/>
      <x v="41"/>
    </i>
    <i r="2">
      <x v="57"/>
    </i>
    <i r="1">
      <x v="13"/>
      <x v="53"/>
    </i>
    <i r="2">
      <x v="65"/>
    </i>
    <i r="1">
      <x v="15"/>
      <x v="16"/>
    </i>
    <i r="2">
      <x v="56"/>
    </i>
    <i r="1">
      <x v="17"/>
      <x v="7"/>
    </i>
    <i r="1">
      <x v="18"/>
      <x v="62"/>
    </i>
    <i r="2">
      <x v="66"/>
    </i>
    <i t="blank">
      <x v="34"/>
    </i>
    <i>
      <x v="35"/>
    </i>
    <i r="1">
      <x/>
      <x v="61"/>
    </i>
    <i r="1">
      <x v="1"/>
      <x v="59"/>
    </i>
    <i r="1">
      <x v="2"/>
      <x v="1"/>
    </i>
    <i r="1">
      <x v="3"/>
      <x v="53"/>
    </i>
    <i r="1">
      <x v="4"/>
      <x v="3"/>
    </i>
    <i r="1">
      <x v="5"/>
      <x v="2"/>
    </i>
    <i r="1">
      <x v="6"/>
      <x v="64"/>
    </i>
    <i r="1">
      <x v="7"/>
      <x v="49"/>
    </i>
    <i r="1">
      <x v="8"/>
      <x v="66"/>
    </i>
    <i r="1">
      <x v="9"/>
      <x v="65"/>
    </i>
    <i r="1">
      <x v="10"/>
      <x v="47"/>
    </i>
    <i r="2">
      <x v="57"/>
    </i>
    <i r="2">
      <x v="68"/>
    </i>
    <i r="1">
      <x v="13"/>
      <x v="46"/>
    </i>
    <i r="2">
      <x v="60"/>
    </i>
    <i r="1">
      <x v="15"/>
      <x v="48"/>
    </i>
    <i r="1">
      <x v="16"/>
      <x v="56"/>
    </i>
    <i r="1">
      <x v="17"/>
      <x v="62"/>
    </i>
    <i r="2">
      <x v="63"/>
    </i>
    <i r="1">
      <x v="19"/>
      <x v="18"/>
    </i>
    <i r="2">
      <x v="51"/>
    </i>
    <i r="2">
      <x v="58"/>
    </i>
    <i t="blank">
      <x v="35"/>
    </i>
    <i>
      <x v="36"/>
    </i>
    <i r="1">
      <x/>
      <x v="61"/>
    </i>
    <i r="1">
      <x v="1"/>
      <x v="1"/>
    </i>
    <i r="1">
      <x v="2"/>
      <x v="59"/>
    </i>
    <i r="1">
      <x v="3"/>
      <x v="68"/>
    </i>
    <i r="1">
      <x v="4"/>
      <x v="3"/>
    </i>
    <i r="2">
      <x v="49"/>
    </i>
    <i r="1">
      <x v="6"/>
      <x v="48"/>
    </i>
    <i r="2">
      <x v="65"/>
    </i>
    <i r="1">
      <x v="8"/>
      <x v="2"/>
    </i>
    <i r="2">
      <x v="47"/>
    </i>
    <i r="2">
      <x v="64"/>
    </i>
    <i r="1">
      <x v="11"/>
      <x v="18"/>
    </i>
    <i r="2">
      <x v="35"/>
    </i>
    <i r="2">
      <x v="41"/>
    </i>
    <i r="2">
      <x v="66"/>
    </i>
    <i r="1">
      <x v="15"/>
      <x v="12"/>
    </i>
    <i r="2">
      <x v="13"/>
    </i>
    <i r="2">
      <x v="20"/>
    </i>
    <i r="2">
      <x v="26"/>
    </i>
    <i r="2">
      <x v="38"/>
    </i>
    <i r="2">
      <x v="51"/>
    </i>
    <i r="2">
      <x v="60"/>
    </i>
    <i t="blank">
      <x v="36"/>
    </i>
    <i>
      <x v="37"/>
    </i>
    <i r="1">
      <x/>
      <x v="1"/>
    </i>
    <i r="2">
      <x v="2"/>
    </i>
    <i r="1">
      <x v="2"/>
      <x v="61"/>
    </i>
    <i r="1">
      <x v="3"/>
      <x v="47"/>
    </i>
    <i r="2">
      <x v="59"/>
    </i>
    <i r="1">
      <x v="5"/>
      <x v="20"/>
    </i>
    <i r="1">
      <x v="6"/>
      <x v="49"/>
    </i>
    <i r="2">
      <x v="65"/>
    </i>
    <i r="1">
      <x v="8"/>
      <x v="6"/>
    </i>
    <i r="2">
      <x v="48"/>
    </i>
    <i r="1">
      <x v="10"/>
      <x v="3"/>
    </i>
    <i r="2">
      <x v="25"/>
    </i>
    <i r="2">
      <x v="35"/>
    </i>
    <i r="2">
      <x v="42"/>
    </i>
    <i r="2">
      <x v="64"/>
    </i>
    <i r="2">
      <x v="68"/>
    </i>
    <i r="1">
      <x v="16"/>
      <x v="15"/>
    </i>
    <i r="2">
      <x v="17"/>
    </i>
    <i r="2">
      <x v="18"/>
    </i>
    <i r="2">
      <x v="23"/>
    </i>
    <i r="2">
      <x v="26"/>
    </i>
    <i r="2">
      <x v="28"/>
    </i>
    <i r="2">
      <x v="46"/>
    </i>
    <i r="2">
      <x v="50"/>
    </i>
    <i r="2">
      <x v="53"/>
    </i>
    <i r="2">
      <x v="57"/>
    </i>
    <i r="2">
      <x v="60"/>
    </i>
    <i r="2">
      <x v="69"/>
    </i>
    <i t="blank">
      <x v="37"/>
    </i>
    <i>
      <x v="38"/>
    </i>
    <i r="1">
      <x/>
      <x v="61"/>
    </i>
    <i r="1">
      <x v="1"/>
      <x v="49"/>
    </i>
    <i r="1">
      <x v="2"/>
      <x v="1"/>
    </i>
    <i r="1">
      <x v="3"/>
      <x v="59"/>
    </i>
    <i r="1">
      <x v="4"/>
      <x v="47"/>
    </i>
    <i r="1">
      <x v="5"/>
      <x v="2"/>
    </i>
    <i r="1">
      <x v="6"/>
      <x v="64"/>
    </i>
    <i r="1">
      <x v="7"/>
      <x v="3"/>
    </i>
    <i r="1">
      <x v="8"/>
      <x v="48"/>
    </i>
    <i r="2">
      <x v="57"/>
    </i>
    <i r="1">
      <x v="10"/>
      <x v="60"/>
    </i>
    <i r="2">
      <x v="65"/>
    </i>
    <i r="1">
      <x v="12"/>
      <x v="53"/>
    </i>
    <i r="1">
      <x v="13"/>
      <x v="68"/>
    </i>
    <i r="1">
      <x v="14"/>
      <x v="56"/>
    </i>
    <i r="1">
      <x v="15"/>
      <x v="6"/>
    </i>
    <i r="2">
      <x v="51"/>
    </i>
    <i r="1">
      <x v="17"/>
      <x v="18"/>
    </i>
    <i r="2">
      <x v="46"/>
    </i>
    <i r="1">
      <x v="19"/>
      <x v="20"/>
    </i>
    <i r="2">
      <x v="62"/>
    </i>
    <i r="2">
      <x v="66"/>
    </i>
    <i t="blank">
      <x v="38"/>
    </i>
    <i>
      <x v="39"/>
    </i>
    <i r="1">
      <x/>
      <x v="59"/>
    </i>
    <i r="1">
      <x v="1"/>
      <x v="61"/>
    </i>
    <i r="1">
      <x v="2"/>
      <x v="49"/>
    </i>
    <i r="1">
      <x v="3"/>
      <x v="2"/>
    </i>
    <i r="2">
      <x v="47"/>
    </i>
    <i r="1">
      <x v="5"/>
      <x v="1"/>
    </i>
    <i r="1">
      <x v="6"/>
      <x v="53"/>
    </i>
    <i r="1">
      <x v="7"/>
      <x v="3"/>
    </i>
    <i r="1">
      <x v="8"/>
      <x v="65"/>
    </i>
    <i r="1">
      <x v="9"/>
      <x v="6"/>
    </i>
    <i r="2">
      <x v="48"/>
    </i>
    <i r="1">
      <x v="11"/>
      <x v="46"/>
    </i>
    <i r="2">
      <x v="64"/>
    </i>
    <i r="1">
      <x v="13"/>
      <x v="4"/>
    </i>
    <i r="2">
      <x v="68"/>
    </i>
    <i r="1">
      <x v="15"/>
      <x v="62"/>
    </i>
    <i r="1">
      <x v="16"/>
      <x v="60"/>
    </i>
    <i r="1">
      <x v="17"/>
      <x v="16"/>
    </i>
    <i r="2">
      <x v="42"/>
    </i>
    <i r="2">
      <x v="43"/>
    </i>
    <i r="2">
      <x v="52"/>
    </i>
    <i r="2">
      <x v="56"/>
    </i>
    <i r="2">
      <x v="57"/>
    </i>
    <i r="2">
      <x v="58"/>
    </i>
    <i t="blank">
      <x v="39"/>
    </i>
    <i>
      <x v="40"/>
    </i>
    <i r="1">
      <x/>
      <x v="1"/>
    </i>
    <i r="1">
      <x v="1"/>
      <x v="2"/>
    </i>
    <i r="1">
      <x v="2"/>
      <x v="61"/>
    </i>
    <i r="1">
      <x v="3"/>
      <x v="59"/>
    </i>
    <i r="1">
      <x v="4"/>
      <x v="47"/>
    </i>
    <i r="1">
      <x v="5"/>
      <x v="49"/>
    </i>
    <i r="1">
      <x v="6"/>
      <x v="48"/>
    </i>
    <i r="1">
      <x v="7"/>
      <x v="3"/>
    </i>
    <i r="2">
      <x v="50"/>
    </i>
    <i r="1">
      <x v="9"/>
      <x v="65"/>
    </i>
    <i r="1">
      <x v="10"/>
      <x v="4"/>
    </i>
    <i r="2">
      <x v="7"/>
    </i>
    <i r="2">
      <x v="53"/>
    </i>
    <i r="2">
      <x v="66"/>
    </i>
    <i r="1">
      <x v="14"/>
      <x v="16"/>
    </i>
    <i r="2">
      <x v="46"/>
    </i>
    <i r="2">
      <x v="62"/>
    </i>
    <i r="2">
      <x v="64"/>
    </i>
    <i r="2">
      <x v="68"/>
    </i>
    <i r="1">
      <x v="19"/>
      <x v="5"/>
    </i>
    <i r="2">
      <x v="6"/>
    </i>
    <i r="2">
      <x v="8"/>
    </i>
    <i r="2">
      <x v="26"/>
    </i>
    <i r="2">
      <x v="57"/>
    </i>
    <i r="2">
      <x v="58"/>
    </i>
    <i r="2">
      <x v="60"/>
    </i>
    <i t="blank">
      <x v="40"/>
    </i>
    <i>
      <x v="41"/>
    </i>
    <i r="1">
      <x/>
      <x v="49"/>
    </i>
    <i r="1">
      <x v="1"/>
      <x v="61"/>
    </i>
    <i r="1">
      <x v="2"/>
      <x v="59"/>
    </i>
    <i r="1">
      <x v="3"/>
      <x v="53"/>
    </i>
    <i r="1">
      <x v="4"/>
      <x v="1"/>
    </i>
    <i r="1">
      <x v="5"/>
      <x v="47"/>
    </i>
    <i r="1">
      <x v="6"/>
      <x v="2"/>
    </i>
    <i r="1">
      <x v="7"/>
      <x v="46"/>
    </i>
    <i r="2">
      <x v="64"/>
    </i>
    <i r="1">
      <x v="9"/>
      <x v="3"/>
    </i>
    <i r="1">
      <x v="10"/>
      <x v="62"/>
    </i>
    <i r="1">
      <x v="11"/>
      <x v="65"/>
    </i>
    <i r="1">
      <x v="12"/>
      <x v="48"/>
    </i>
    <i r="1">
      <x v="13"/>
      <x v="35"/>
    </i>
    <i r="2">
      <x v="57"/>
    </i>
    <i r="1">
      <x v="15"/>
      <x v="4"/>
    </i>
    <i r="2">
      <x v="6"/>
    </i>
    <i r="2">
      <x v="7"/>
    </i>
    <i r="2">
      <x v="42"/>
    </i>
    <i r="2">
      <x v="50"/>
    </i>
    <i r="2">
      <x v="56"/>
    </i>
    <i r="2">
      <x v="58"/>
    </i>
    <i r="2">
      <x v="60"/>
    </i>
    <i r="2">
      <x v="68"/>
    </i>
    <i t="blank">
      <x v="41"/>
    </i>
    <i>
      <x v="42"/>
    </i>
    <i r="1">
      <x/>
      <x v="1"/>
    </i>
    <i r="1">
      <x v="1"/>
      <x v="2"/>
    </i>
    <i r="1">
      <x v="2"/>
      <x v="49"/>
    </i>
    <i r="1">
      <x v="3"/>
      <x v="47"/>
    </i>
    <i r="1">
      <x v="4"/>
      <x v="61"/>
    </i>
    <i r="1">
      <x v="5"/>
      <x v="59"/>
    </i>
    <i r="1">
      <x v="6"/>
      <x v="3"/>
    </i>
    <i r="2">
      <x v="6"/>
    </i>
    <i r="2">
      <x v="46"/>
    </i>
    <i r="2">
      <x v="57"/>
    </i>
    <i r="2">
      <x v="64"/>
    </i>
    <i r="1">
      <x v="11"/>
      <x v="53"/>
    </i>
    <i r="2">
      <x v="60"/>
    </i>
    <i r="1">
      <x v="13"/>
      <x v="4"/>
    </i>
    <i r="2">
      <x v="7"/>
    </i>
    <i r="2">
      <x v="18"/>
    </i>
    <i r="2">
      <x v="23"/>
    </i>
    <i r="2">
      <x v="42"/>
    </i>
    <i r="2">
      <x v="50"/>
    </i>
    <i r="2">
      <x v="51"/>
    </i>
    <i r="2">
      <x v="56"/>
    </i>
    <i r="2">
      <x v="62"/>
    </i>
    <i r="2">
      <x v="63"/>
    </i>
    <i r="2">
      <x v="65"/>
    </i>
    <i r="2">
      <x v="68"/>
    </i>
    <i t="blank">
      <x v="42"/>
    </i>
    <i>
      <x v="43"/>
    </i>
    <i r="1">
      <x/>
      <x v="61"/>
    </i>
    <i r="1">
      <x v="1"/>
      <x v="49"/>
    </i>
    <i r="1">
      <x v="2"/>
      <x v="1"/>
    </i>
    <i r="2">
      <x v="59"/>
    </i>
    <i r="1">
      <x v="4"/>
      <x v="47"/>
    </i>
    <i r="1">
      <x v="5"/>
      <x v="2"/>
    </i>
    <i r="1">
      <x v="6"/>
      <x v="53"/>
    </i>
    <i r="1">
      <x v="7"/>
      <x v="48"/>
    </i>
    <i r="1">
      <x v="8"/>
      <x v="65"/>
    </i>
    <i r="1">
      <x v="9"/>
      <x v="6"/>
    </i>
    <i r="1">
      <x v="10"/>
      <x v="3"/>
    </i>
    <i r="1">
      <x v="11"/>
      <x v="57"/>
    </i>
    <i r="1">
      <x v="12"/>
      <x v="64"/>
    </i>
    <i r="1">
      <x v="13"/>
      <x v="68"/>
    </i>
    <i r="1">
      <x v="14"/>
      <x v="58"/>
    </i>
    <i r="1">
      <x v="15"/>
      <x v="42"/>
    </i>
    <i r="1">
      <x v="16"/>
      <x v="15"/>
    </i>
    <i r="2">
      <x v="60"/>
    </i>
    <i r="2">
      <x v="62"/>
    </i>
    <i r="1">
      <x v="19"/>
      <x v="26"/>
    </i>
    <i r="2">
      <x v="46"/>
    </i>
    <i t="blank">
      <x v="43"/>
    </i>
    <i>
      <x v="44"/>
    </i>
    <i r="1">
      <x/>
      <x v="1"/>
    </i>
    <i r="1">
      <x v="1"/>
      <x v="2"/>
    </i>
    <i r="1">
      <x v="2"/>
      <x v="61"/>
    </i>
    <i r="1">
      <x v="3"/>
      <x v="47"/>
    </i>
    <i r="1">
      <x v="4"/>
      <x v="59"/>
    </i>
    <i r="1">
      <x v="5"/>
      <x v="3"/>
    </i>
    <i r="1">
      <x v="6"/>
      <x v="64"/>
    </i>
    <i r="1">
      <x v="7"/>
      <x v="57"/>
    </i>
    <i r="2">
      <x v="65"/>
    </i>
    <i r="1">
      <x v="9"/>
      <x v="48"/>
    </i>
    <i r="2">
      <x v="49"/>
    </i>
    <i r="2">
      <x v="62"/>
    </i>
    <i r="2">
      <x v="68"/>
    </i>
    <i r="1">
      <x v="13"/>
      <x v="13"/>
    </i>
    <i r="2">
      <x v="54"/>
    </i>
    <i r="1">
      <x v="15"/>
      <x v="16"/>
    </i>
    <i r="2">
      <x v="71"/>
    </i>
    <i r="1">
      <x v="17"/>
      <x v="6"/>
    </i>
    <i r="2">
      <x v="7"/>
    </i>
    <i r="2">
      <x v="18"/>
    </i>
    <i r="2">
      <x v="20"/>
    </i>
    <i r="2">
      <x v="25"/>
    </i>
    <i r="2">
      <x v="28"/>
    </i>
    <i r="2">
      <x v="37"/>
    </i>
    <i r="2">
      <x v="42"/>
    </i>
    <i r="2">
      <x v="43"/>
    </i>
    <i r="2">
      <x v="44"/>
    </i>
    <i r="2">
      <x v="46"/>
    </i>
    <i r="2">
      <x v="50"/>
    </i>
    <i r="2">
      <x v="58"/>
    </i>
    <i r="2">
      <x v="66"/>
    </i>
    <i t="blank">
      <x v="44"/>
    </i>
    <i>
      <x v="45"/>
    </i>
    <i r="1">
      <x/>
      <x v="47"/>
    </i>
    <i r="1">
      <x v="1"/>
      <x v="61"/>
    </i>
    <i r="1">
      <x v="2"/>
      <x v="1"/>
    </i>
    <i r="1">
      <x v="3"/>
      <x v="2"/>
    </i>
    <i r="1">
      <x v="4"/>
      <x v="59"/>
    </i>
    <i r="1">
      <x v="5"/>
      <x v="6"/>
    </i>
    <i r="2">
      <x v="49"/>
    </i>
    <i r="1">
      <x v="7"/>
      <x v="3"/>
    </i>
    <i r="2">
      <x v="68"/>
    </i>
    <i r="1">
      <x v="9"/>
      <x v="60"/>
    </i>
    <i r="1">
      <x v="10"/>
      <x v="7"/>
    </i>
    <i r="2">
      <x v="28"/>
    </i>
    <i r="1">
      <x v="12"/>
      <x v="23"/>
    </i>
    <i r="2">
      <x v="48"/>
    </i>
    <i r="2">
      <x v="56"/>
    </i>
    <i r="2">
      <x v="57"/>
    </i>
    <i r="2">
      <x v="65"/>
    </i>
    <i r="1">
      <x v="17"/>
      <x v="4"/>
    </i>
    <i r="2">
      <x v="5"/>
    </i>
    <i r="2">
      <x v="8"/>
    </i>
    <i r="2">
      <x v="10"/>
    </i>
    <i r="2">
      <x v="13"/>
    </i>
    <i r="2">
      <x v="16"/>
    </i>
    <i r="2">
      <x v="20"/>
    </i>
    <i r="2">
      <x v="31"/>
    </i>
    <i r="2">
      <x v="34"/>
    </i>
    <i r="2">
      <x v="41"/>
    </i>
    <i r="2">
      <x v="42"/>
    </i>
    <i r="2">
      <x v="43"/>
    </i>
    <i r="2">
      <x v="45"/>
    </i>
    <i r="2">
      <x v="46"/>
    </i>
    <i r="2">
      <x v="51"/>
    </i>
    <i r="2">
      <x v="53"/>
    </i>
    <i r="2">
      <x v="54"/>
    </i>
    <i r="2">
      <x v="55"/>
    </i>
    <i r="2">
      <x v="58"/>
    </i>
    <i r="2">
      <x v="62"/>
    </i>
    <i r="2">
      <x v="63"/>
    </i>
    <i r="2">
      <x v="64"/>
    </i>
    <i r="2">
      <x v="66"/>
    </i>
    <i r="2">
      <x v="67"/>
    </i>
    <i r="2">
      <x v="71"/>
    </i>
    <i r="2">
      <x v="72"/>
    </i>
    <i t="blank">
      <x v="45"/>
    </i>
    <i>
      <x v="46"/>
    </i>
    <i r="1">
      <x/>
      <x v="61"/>
    </i>
    <i r="1">
      <x v="1"/>
      <x v="1"/>
    </i>
    <i r="1">
      <x v="2"/>
      <x v="2"/>
    </i>
    <i r="1">
      <x v="3"/>
      <x v="59"/>
    </i>
    <i r="1">
      <x v="4"/>
      <x v="47"/>
    </i>
    <i r="1">
      <x v="5"/>
      <x v="49"/>
    </i>
    <i r="1">
      <x v="6"/>
      <x v="6"/>
    </i>
    <i r="1">
      <x v="7"/>
      <x v="48"/>
    </i>
    <i r="2">
      <x v="53"/>
    </i>
    <i r="1">
      <x v="9"/>
      <x v="3"/>
    </i>
    <i r="2">
      <x v="18"/>
    </i>
    <i r="2">
      <x v="64"/>
    </i>
    <i r="2">
      <x v="65"/>
    </i>
    <i r="1">
      <x v="13"/>
      <x v="15"/>
    </i>
    <i r="2">
      <x v="46"/>
    </i>
    <i r="2">
      <x v="57"/>
    </i>
    <i r="1">
      <x v="16"/>
      <x v="4"/>
    </i>
    <i r="2">
      <x v="21"/>
    </i>
    <i r="2">
      <x v="35"/>
    </i>
    <i r="2">
      <x v="66"/>
    </i>
    <i r="2">
      <x v="68"/>
    </i>
    <i t="blank">
      <x v="46"/>
    </i>
    <i>
      <x v="47"/>
    </i>
    <i r="1">
      <x/>
      <x v="1"/>
    </i>
    <i r="1">
      <x v="1"/>
      <x v="61"/>
    </i>
    <i r="1">
      <x v="2"/>
      <x v="2"/>
    </i>
    <i r="2">
      <x v="47"/>
    </i>
    <i r="1">
      <x v="4"/>
      <x v="49"/>
    </i>
    <i r="1">
      <x v="5"/>
      <x v="59"/>
    </i>
    <i r="1">
      <x v="6"/>
      <x v="3"/>
    </i>
    <i r="2">
      <x v="68"/>
    </i>
    <i r="1">
      <x v="8"/>
      <x v="6"/>
    </i>
    <i r="2">
      <x v="8"/>
    </i>
    <i r="1">
      <x v="10"/>
      <x v="7"/>
    </i>
    <i r="2">
      <x v="48"/>
    </i>
    <i r="1">
      <x v="12"/>
      <x v="15"/>
    </i>
    <i r="2">
      <x v="46"/>
    </i>
    <i r="2">
      <x v="65"/>
    </i>
    <i r="1">
      <x v="15"/>
      <x v="16"/>
    </i>
    <i r="2">
      <x v="18"/>
    </i>
    <i r="2">
      <x v="35"/>
    </i>
    <i r="2">
      <x v="41"/>
    </i>
    <i r="2">
      <x v="54"/>
    </i>
    <i r="2">
      <x v="57"/>
    </i>
    <i r="2">
      <x v="58"/>
    </i>
    <i r="2">
      <x v="60"/>
    </i>
    <i r="2">
      <x v="67"/>
    </i>
    <i t="blank">
      <x v="47"/>
    </i>
    <i>
      <x v="48"/>
    </i>
    <i r="1">
      <x/>
      <x v="61"/>
    </i>
    <i r="1">
      <x v="1"/>
      <x v="1"/>
    </i>
    <i r="2">
      <x v="59"/>
    </i>
    <i r="1">
      <x v="3"/>
      <x v="49"/>
    </i>
    <i r="1">
      <x v="4"/>
      <x v="2"/>
    </i>
    <i r="1">
      <x v="5"/>
      <x v="47"/>
    </i>
    <i r="1">
      <x v="6"/>
      <x v="53"/>
    </i>
    <i r="2">
      <x v="65"/>
    </i>
    <i r="1">
      <x v="8"/>
      <x v="3"/>
    </i>
    <i r="1">
      <x v="9"/>
      <x v="48"/>
    </i>
    <i r="2">
      <x v="57"/>
    </i>
    <i r="1">
      <x v="11"/>
      <x v="46"/>
    </i>
    <i r="1">
      <x v="12"/>
      <x v="66"/>
    </i>
    <i r="2">
      <x v="68"/>
    </i>
    <i r="1">
      <x v="14"/>
      <x v="20"/>
    </i>
    <i r="2">
      <x v="58"/>
    </i>
    <i r="2">
      <x v="62"/>
    </i>
    <i r="1">
      <x v="17"/>
      <x v="43"/>
    </i>
    <i r="2">
      <x v="56"/>
    </i>
    <i r="2">
      <x v="64"/>
    </i>
    <i t="blank">
      <x v="48"/>
    </i>
    <i>
      <x v="49"/>
    </i>
    <i r="1">
      <x/>
      <x v="61"/>
    </i>
    <i r="1">
      <x v="1"/>
      <x v="49"/>
    </i>
    <i r="1">
      <x v="2"/>
      <x v="1"/>
    </i>
    <i r="1">
      <x v="3"/>
      <x v="59"/>
    </i>
    <i r="1">
      <x v="4"/>
      <x v="47"/>
    </i>
    <i r="1">
      <x v="5"/>
      <x v="2"/>
    </i>
    <i r="1">
      <x v="6"/>
      <x v="3"/>
    </i>
    <i r="1">
      <x v="7"/>
      <x v="53"/>
    </i>
    <i r="2">
      <x v="64"/>
    </i>
    <i r="1">
      <x v="9"/>
      <x v="46"/>
    </i>
    <i r="2">
      <x v="48"/>
    </i>
    <i r="2">
      <x v="65"/>
    </i>
    <i r="1">
      <x v="12"/>
      <x v="16"/>
    </i>
    <i r="2">
      <x v="58"/>
    </i>
    <i r="1">
      <x v="14"/>
      <x v="6"/>
    </i>
    <i r="2">
      <x v="68"/>
    </i>
    <i r="1">
      <x v="16"/>
      <x v="44"/>
    </i>
    <i r="1">
      <x v="17"/>
      <x v="41"/>
    </i>
    <i r="2">
      <x v="42"/>
    </i>
    <i r="2">
      <x v="62"/>
    </i>
    <i r="2">
      <x v="67"/>
    </i>
    <i t="blank">
      <x v="49"/>
    </i>
    <i>
      <x v="50"/>
    </i>
    <i r="1">
      <x/>
      <x v="3"/>
    </i>
    <i r="1">
      <x v="1"/>
      <x v="49"/>
    </i>
    <i r="2">
      <x v="59"/>
    </i>
    <i r="1">
      <x v="3"/>
      <x v="61"/>
    </i>
    <i r="1">
      <x v="4"/>
      <x v="1"/>
    </i>
    <i r="2">
      <x v="2"/>
    </i>
    <i r="2">
      <x v="58"/>
    </i>
    <i r="1">
      <x v="7"/>
      <x v="42"/>
    </i>
    <i r="1">
      <x v="8"/>
      <x v="47"/>
    </i>
    <i r="1">
      <x v="9"/>
      <x v="64"/>
    </i>
    <i r="2">
      <x v="71"/>
    </i>
    <i r="1">
      <x v="11"/>
      <x v="18"/>
    </i>
    <i r="2">
      <x v="25"/>
    </i>
    <i r="2">
      <x v="48"/>
    </i>
    <i r="2">
      <x v="53"/>
    </i>
    <i r="2">
      <x v="57"/>
    </i>
    <i r="2">
      <x v="63"/>
    </i>
    <i r="2">
      <x v="69"/>
    </i>
    <i r="1">
      <x v="18"/>
      <x/>
    </i>
    <i r="2">
      <x v="7"/>
    </i>
    <i r="2">
      <x v="9"/>
    </i>
    <i r="2">
      <x v="12"/>
    </i>
    <i r="2">
      <x v="20"/>
    </i>
    <i r="2">
      <x v="26"/>
    </i>
    <i r="2">
      <x v="27"/>
    </i>
    <i r="2">
      <x v="35"/>
    </i>
    <i r="2">
      <x v="39"/>
    </i>
    <i r="2">
      <x v="43"/>
    </i>
    <i r="2">
      <x v="60"/>
    </i>
    <i r="2">
      <x v="62"/>
    </i>
    <i r="2">
      <x v="67"/>
    </i>
    <i r="2">
      <x v="68"/>
    </i>
    <i r="2">
      <x v="72"/>
    </i>
    <i t="blank">
      <x v="50"/>
    </i>
    <i>
      <x v="51"/>
    </i>
    <i r="1">
      <x/>
      <x v="1"/>
    </i>
    <i r="1">
      <x v="1"/>
      <x v="49"/>
    </i>
    <i r="1">
      <x v="2"/>
      <x v="61"/>
    </i>
    <i r="1">
      <x v="3"/>
      <x v="59"/>
    </i>
    <i r="1">
      <x v="4"/>
      <x v="3"/>
    </i>
    <i r="1">
      <x v="5"/>
      <x v="42"/>
    </i>
    <i r="2">
      <x v="47"/>
    </i>
    <i r="2">
      <x v="53"/>
    </i>
    <i r="1">
      <x v="8"/>
      <x v="2"/>
    </i>
    <i r="2">
      <x v="20"/>
    </i>
    <i r="2">
      <x v="43"/>
    </i>
    <i r="2">
      <x v="48"/>
    </i>
    <i r="2">
      <x v="54"/>
    </i>
    <i r="1">
      <x v="13"/>
      <x v="8"/>
    </i>
    <i r="2">
      <x v="16"/>
    </i>
    <i r="2">
      <x v="18"/>
    </i>
    <i r="2">
      <x v="56"/>
    </i>
    <i r="2">
      <x v="57"/>
    </i>
    <i r="2">
      <x v="62"/>
    </i>
    <i r="2">
      <x v="67"/>
    </i>
    <i t="blank">
      <x v="51"/>
    </i>
    <i>
      <x v="52"/>
    </i>
    <i r="1">
      <x/>
      <x v="1"/>
    </i>
    <i r="1">
      <x v="1"/>
      <x v="2"/>
    </i>
    <i r="2">
      <x v="3"/>
    </i>
    <i r="1">
      <x v="3"/>
      <x v="57"/>
    </i>
    <i r="1">
      <x v="4"/>
      <x v="49"/>
    </i>
    <i r="1">
      <x v="5"/>
      <x v="42"/>
    </i>
    <i r="1">
      <x v="6"/>
      <x v="32"/>
    </i>
    <i r="2">
      <x v="54"/>
    </i>
    <i r="2">
      <x v="61"/>
    </i>
    <i r="2">
      <x v="64"/>
    </i>
    <i r="2">
      <x v="65"/>
    </i>
    <i r="2">
      <x v="71"/>
    </i>
    <i r="1">
      <x v="12"/>
      <x v="16"/>
    </i>
    <i r="2">
      <x v="18"/>
    </i>
    <i r="2">
      <x v="20"/>
    </i>
    <i r="2">
      <x v="27"/>
    </i>
    <i r="2">
      <x v="34"/>
    </i>
    <i r="2">
      <x v="37"/>
    </i>
    <i r="2">
      <x v="50"/>
    </i>
    <i r="2">
      <x v="52"/>
    </i>
    <i r="2">
      <x v="56"/>
    </i>
    <i r="2">
      <x v="58"/>
    </i>
    <i r="2">
      <x v="59"/>
    </i>
    <i r="2">
      <x v="60"/>
    </i>
    <i r="2">
      <x v="62"/>
    </i>
    <i r="2">
      <x v="67"/>
    </i>
    <i r="2">
      <x v="68"/>
    </i>
    <i r="2">
      <x v="70"/>
    </i>
    <i t="blank">
      <x v="52"/>
    </i>
    <i>
      <x v="53"/>
    </i>
    <i r="1">
      <x/>
      <x v="47"/>
    </i>
    <i r="1">
      <x v="1"/>
      <x v="3"/>
    </i>
    <i r="1">
      <x v="2"/>
      <x v="1"/>
    </i>
    <i r="2">
      <x v="6"/>
    </i>
    <i r="2">
      <x v="59"/>
    </i>
    <i r="1">
      <x v="5"/>
      <x v="2"/>
    </i>
    <i r="2">
      <x v="49"/>
    </i>
    <i r="1">
      <x v="7"/>
      <x v="50"/>
    </i>
    <i r="2">
      <x v="61"/>
    </i>
    <i r="1">
      <x v="9"/>
      <x v="4"/>
    </i>
    <i r="2">
      <x v="11"/>
    </i>
    <i r="2">
      <x v="16"/>
    </i>
    <i r="2">
      <x v="21"/>
    </i>
    <i r="2">
      <x v="46"/>
    </i>
    <i r="2">
      <x v="58"/>
    </i>
    <i r="2">
      <x v="60"/>
    </i>
    <i r="2">
      <x v="66"/>
    </i>
    <i r="2">
      <x v="67"/>
    </i>
    <i r="2">
      <x v="68"/>
    </i>
    <i t="blank">
      <x v="53"/>
    </i>
    <i>
      <x v="54"/>
    </i>
    <i r="1">
      <x/>
      <x v="1"/>
    </i>
    <i r="2">
      <x v="49"/>
    </i>
    <i r="2">
      <x v="59"/>
    </i>
    <i r="1">
      <x v="3"/>
      <x v="16"/>
    </i>
    <i r="2">
      <x v="48"/>
    </i>
    <i r="2">
      <x v="66"/>
    </i>
    <i t="blank">
      <x v="54"/>
    </i>
    <i>
      <x v="55"/>
    </i>
    <i r="1">
      <x/>
      <x v="1"/>
    </i>
    <i r="2">
      <x v="2"/>
    </i>
    <i r="2">
      <x v="12"/>
    </i>
    <i t="blank">
      <x v="55"/>
    </i>
    <i>
      <x v="56"/>
    </i>
    <i r="1">
      <x/>
      <x v="59"/>
    </i>
    <i r="1">
      <x v="1"/>
      <x v="1"/>
    </i>
    <i r="1">
      <x v="2"/>
      <x v="49"/>
    </i>
    <i r="1">
      <x v="3"/>
      <x v="2"/>
    </i>
    <i r="2">
      <x v="3"/>
    </i>
    <i r="1">
      <x v="5"/>
      <x v="68"/>
    </i>
    <i r="1">
      <x v="6"/>
      <x v="16"/>
    </i>
    <i r="2">
      <x v="32"/>
    </i>
    <i r="1">
      <x v="8"/>
      <x v="5"/>
    </i>
    <i r="2">
      <x v="6"/>
    </i>
    <i r="2">
      <x v="23"/>
    </i>
    <i r="2">
      <x v="47"/>
    </i>
    <i r="2">
      <x v="48"/>
    </i>
    <i r="2">
      <x v="53"/>
    </i>
    <i r="2">
      <x v="57"/>
    </i>
    <i r="2">
      <x v="60"/>
    </i>
    <i r="2">
      <x v="61"/>
    </i>
    <i r="2">
      <x v="65"/>
    </i>
    <i r="2">
      <x v="67"/>
    </i>
    <i r="2">
      <x v="71"/>
    </i>
    <i t="blank">
      <x v="56"/>
    </i>
    <i>
      <x v="57"/>
    </i>
    <i r="1">
      <x/>
      <x v="1"/>
    </i>
    <i r="2">
      <x v="2"/>
    </i>
    <i r="2">
      <x v="49"/>
    </i>
    <i r="1">
      <x v="3"/>
      <x v="4"/>
    </i>
    <i r="2">
      <x v="22"/>
    </i>
    <i r="2">
      <x v="50"/>
    </i>
    <i r="2">
      <x v="56"/>
    </i>
    <i r="2">
      <x v="64"/>
    </i>
    <i r="2">
      <x v="65"/>
    </i>
    <i t="blank">
      <x v="57"/>
    </i>
    <i>
      <x v="58"/>
    </i>
    <i r="1">
      <x/>
      <x v="61"/>
    </i>
    <i r="1">
      <x v="1"/>
      <x v="1"/>
    </i>
    <i r="1">
      <x v="2"/>
      <x v="3"/>
    </i>
    <i r="2">
      <x v="59"/>
    </i>
    <i r="1">
      <x v="4"/>
      <x v="47"/>
    </i>
    <i r="1">
      <x v="5"/>
      <x v="2"/>
    </i>
    <i r="1">
      <x v="6"/>
      <x v="49"/>
    </i>
    <i r="1">
      <x v="7"/>
      <x v="20"/>
    </i>
    <i r="1">
      <x v="8"/>
      <x v="18"/>
    </i>
    <i r="2">
      <x v="44"/>
    </i>
    <i r="2">
      <x v="48"/>
    </i>
    <i r="2">
      <x v="64"/>
    </i>
    <i r="2">
      <x v="65"/>
    </i>
    <i r="2">
      <x v="68"/>
    </i>
    <i r="1">
      <x v="14"/>
      <x v="57"/>
    </i>
    <i r="2">
      <x v="66"/>
    </i>
    <i r="1">
      <x v="16"/>
      <x v="4"/>
    </i>
    <i r="2">
      <x v="42"/>
    </i>
    <i r="2">
      <x v="46"/>
    </i>
    <i r="2">
      <x v="63"/>
    </i>
    <i r="2">
      <x v="71"/>
    </i>
    <i t="blank">
      <x v="58"/>
    </i>
    <i>
      <x v="59"/>
    </i>
    <i r="1">
      <x/>
      <x v="2"/>
    </i>
    <i r="1">
      <x v="1"/>
      <x v="48"/>
    </i>
    <i r="2">
      <x v="49"/>
    </i>
    <i r="1">
      <x v="3"/>
      <x v="1"/>
    </i>
    <i r="2">
      <x v="3"/>
    </i>
    <i r="2">
      <x v="16"/>
    </i>
    <i r="1">
      <x v="6"/>
      <x v="19"/>
    </i>
    <i r="2">
      <x v="20"/>
    </i>
    <i r="2">
      <x v="22"/>
    </i>
    <i r="2">
      <x v="42"/>
    </i>
    <i r="2">
      <x v="61"/>
    </i>
    <i r="2">
      <x v="65"/>
    </i>
    <i r="2">
      <x v="66"/>
    </i>
    <i r="2">
      <x v="69"/>
    </i>
    <i r="2">
      <x v="71"/>
    </i>
    <i t="blank">
      <x v="5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873">
      <pivotArea field="2" type="button" dataOnly="0" labelOnly="1" outline="0" axis="axisRow" fieldPosition="0"/>
    </format>
    <format dxfId="872">
      <pivotArea outline="0" fieldPosition="0">
        <references count="1">
          <reference field="4294967294" count="1">
            <x v="0"/>
          </reference>
        </references>
      </pivotArea>
    </format>
    <format dxfId="871">
      <pivotArea outline="0" fieldPosition="0">
        <references count="1">
          <reference field="4294967294" count="1">
            <x v="1"/>
          </reference>
        </references>
      </pivotArea>
    </format>
    <format dxfId="870">
      <pivotArea outline="0" fieldPosition="0">
        <references count="1">
          <reference field="4294967294" count="1">
            <x v="2"/>
          </reference>
        </references>
      </pivotArea>
    </format>
    <format dxfId="869">
      <pivotArea outline="0" fieldPosition="0">
        <references count="1">
          <reference field="4294967294" count="1">
            <x v="3"/>
          </reference>
        </references>
      </pivotArea>
    </format>
    <format dxfId="868">
      <pivotArea outline="0" fieldPosition="0">
        <references count="1">
          <reference field="4294967294" count="1">
            <x v="4"/>
          </reference>
        </references>
      </pivotArea>
    </format>
    <format dxfId="867">
      <pivotArea outline="0" fieldPosition="0">
        <references count="1">
          <reference field="4294967294" count="1">
            <x v="5"/>
          </reference>
        </references>
      </pivotArea>
    </format>
    <format dxfId="866">
      <pivotArea outline="0" fieldPosition="0">
        <references count="1">
          <reference field="4294967294" count="1">
            <x v="6"/>
          </reference>
        </references>
      </pivotArea>
    </format>
    <format dxfId="865">
      <pivotArea field="2" type="button" dataOnly="0" labelOnly="1" outline="0" axis="axisRow" fieldPosition="0"/>
    </format>
    <format dxfId="8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3">
      <pivotArea field="2" type="button" dataOnly="0" labelOnly="1" outline="0" axis="axisRow" fieldPosition="0"/>
    </format>
    <format dxfId="8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1">
      <pivotArea field="2" type="button" dataOnly="0" labelOnly="1" outline="0" axis="axisRow" fieldPosition="0"/>
    </format>
    <format dxfId="86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5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18C42E-DC9D-4D3B-8906-48EEF23AE504}" name="pvt_S" cacheId="214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1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60">
        <item x="4"/>
        <item x="17"/>
        <item x="14"/>
        <item x="15"/>
        <item x="16"/>
        <item x="12"/>
        <item x="28"/>
        <item x="29"/>
        <item x="30"/>
        <item x="2"/>
        <item x="18"/>
        <item x="19"/>
        <item x="7"/>
        <item x="3"/>
        <item x="6"/>
        <item x="35"/>
        <item x="36"/>
        <item x="37"/>
        <item x="38"/>
        <item x="44"/>
        <item x="47"/>
        <item x="43"/>
        <item x="46"/>
        <item x="45"/>
        <item x="57"/>
        <item x="50"/>
        <item x="53"/>
        <item x="55"/>
        <item x="54"/>
        <item x="51"/>
        <item x="52"/>
        <item x="56"/>
        <item x="58"/>
        <item x="59"/>
        <item x="8"/>
        <item x="34"/>
        <item x="32"/>
        <item x="31"/>
        <item x="33"/>
        <item x="48"/>
        <item x="49"/>
        <item x="10"/>
        <item x="42"/>
        <item x="39"/>
        <item x="41"/>
        <item x="40"/>
        <item x="20"/>
        <item x="22"/>
        <item x="23"/>
        <item x="21"/>
        <item x="11"/>
        <item x="9"/>
        <item x="5"/>
        <item x="0"/>
        <item x="1"/>
        <item x="13"/>
        <item x="25"/>
        <item x="27"/>
        <item x="26"/>
        <item x="24"/>
      </items>
    </pivotField>
    <pivotField axis="axisRow" showAll="0" insertBlankRow="1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showAll="0" defaultSubtotal="0">
      <items count="176">
        <item x="131"/>
        <item x="6"/>
        <item x="147"/>
        <item x="15"/>
        <item x="5"/>
        <item x="40"/>
        <item x="36"/>
        <item x="38"/>
        <item x="129"/>
        <item x="165"/>
        <item x="42"/>
        <item x="44"/>
        <item x="43"/>
        <item x="37"/>
        <item x="29"/>
        <item x="13"/>
        <item x="148"/>
        <item x="16"/>
        <item x="149"/>
        <item x="153"/>
        <item x="114"/>
        <item x="73"/>
        <item x="65"/>
        <item x="79"/>
        <item x="87"/>
        <item x="88"/>
        <item x="89"/>
        <item x="121"/>
        <item x="132"/>
        <item x="130"/>
        <item x="84"/>
        <item x="90"/>
        <item x="104"/>
        <item x="91"/>
        <item x="92"/>
        <item x="115"/>
        <item x="166"/>
        <item x="93"/>
        <item x="45"/>
        <item x="145"/>
        <item x="133"/>
        <item x="155"/>
        <item x="125"/>
        <item x="122"/>
        <item x="134"/>
        <item x="61"/>
        <item x="135"/>
        <item x="62"/>
        <item x="63"/>
        <item x="136"/>
        <item x="137"/>
        <item x="94"/>
        <item x="80"/>
        <item x="171"/>
        <item x="175"/>
        <item x="51"/>
        <item x="170"/>
        <item x="95"/>
        <item x="138"/>
        <item x="96"/>
        <item x="23"/>
        <item x="105"/>
        <item x="97"/>
        <item x="98"/>
        <item x="139"/>
        <item x="174"/>
        <item x="116"/>
        <item x="66"/>
        <item x="156"/>
        <item x="157"/>
        <item x="119"/>
        <item x="158"/>
        <item x="99"/>
        <item x="126"/>
        <item x="74"/>
        <item x="159"/>
        <item x="127"/>
        <item x="75"/>
        <item x="67"/>
        <item x="83"/>
        <item x="30"/>
        <item x="140"/>
        <item x="117"/>
        <item x="141"/>
        <item x="34"/>
        <item x="151"/>
        <item x="106"/>
        <item x="123"/>
        <item x="100"/>
        <item x="33"/>
        <item x="120"/>
        <item x="64"/>
        <item x="56"/>
        <item x="50"/>
        <item x="107"/>
        <item x="108"/>
        <item x="32"/>
        <item x="20"/>
        <item x="12"/>
        <item x="11"/>
        <item x="142"/>
        <item x="35"/>
        <item x="53"/>
        <item x="69"/>
        <item x="18"/>
        <item x="49"/>
        <item x="28"/>
        <item x="85"/>
        <item x="160"/>
        <item x="8"/>
        <item x="46"/>
        <item x="172"/>
        <item x="101"/>
        <item x="31"/>
        <item x="25"/>
        <item x="19"/>
        <item x="1"/>
        <item x="21"/>
        <item x="47"/>
        <item x="152"/>
        <item x="146"/>
        <item x="55"/>
        <item x="57"/>
        <item x="102"/>
        <item x="173"/>
        <item x="118"/>
        <item x="109"/>
        <item x="17"/>
        <item x="161"/>
        <item x="113"/>
        <item x="154"/>
        <item x="54"/>
        <item x="71"/>
        <item x="72"/>
        <item x="22"/>
        <item x="3"/>
        <item x="58"/>
        <item x="143"/>
        <item x="9"/>
        <item x="7"/>
        <item x="68"/>
        <item x="169"/>
        <item x="124"/>
        <item x="27"/>
        <item x="24"/>
        <item x="2"/>
        <item x="0"/>
        <item x="110"/>
        <item x="111"/>
        <item x="76"/>
        <item x="77"/>
        <item x="70"/>
        <item x="78"/>
        <item x="26"/>
        <item x="10"/>
        <item x="128"/>
        <item x="4"/>
        <item x="81"/>
        <item x="167"/>
        <item x="39"/>
        <item x="41"/>
        <item x="59"/>
        <item x="112"/>
        <item x="48"/>
        <item x="60"/>
        <item x="168"/>
        <item x="14"/>
        <item x="86"/>
        <item x="150"/>
        <item x="144"/>
        <item x="162"/>
        <item x="103"/>
        <item x="163"/>
        <item x="164"/>
        <item x="52"/>
        <item x="82"/>
      </items>
    </pivotField>
    <pivotField showAll="0" defaultSubtotal="0">
      <items count="176">
        <item x="133"/>
        <item x="69"/>
        <item x="143"/>
        <item x="76"/>
        <item x="155"/>
        <item x="63"/>
        <item x="169"/>
        <item x="12"/>
        <item x="75"/>
        <item x="93"/>
        <item x="123"/>
        <item x="154"/>
        <item x="62"/>
        <item x="70"/>
        <item x="112"/>
        <item x="144"/>
        <item x="72"/>
        <item x="64"/>
        <item x="29"/>
        <item x="87"/>
        <item x="94"/>
        <item x="153"/>
        <item x="118"/>
        <item x="110"/>
        <item x="130"/>
        <item x="175"/>
        <item x="168"/>
        <item x="101"/>
        <item x="104"/>
        <item x="96"/>
        <item x="58"/>
        <item x="66"/>
        <item x="38"/>
        <item x="7"/>
        <item x="79"/>
        <item x="18"/>
        <item x="81"/>
        <item x="126"/>
        <item x="158"/>
        <item x="99"/>
        <item x="131"/>
        <item x="48"/>
        <item x="157"/>
        <item x="174"/>
        <item x="140"/>
        <item x="53"/>
        <item x="91"/>
        <item x="20"/>
        <item x="74"/>
        <item x="132"/>
        <item x="56"/>
        <item x="26"/>
        <item x="16"/>
        <item x="98"/>
        <item x="71"/>
        <item x="35"/>
        <item x="149"/>
        <item x="86"/>
        <item x="68"/>
        <item x="10"/>
        <item x="137"/>
        <item x="135"/>
        <item x="120"/>
        <item x="173"/>
        <item x="161"/>
        <item x="164"/>
        <item x="115"/>
        <item x="136"/>
        <item x="61"/>
        <item x="40"/>
        <item x="15"/>
        <item x="30"/>
        <item x="163"/>
        <item x="80"/>
        <item x="77"/>
        <item x="55"/>
        <item x="145"/>
        <item x="159"/>
        <item x="57"/>
        <item x="122"/>
        <item x="42"/>
        <item x="141"/>
        <item x="34"/>
        <item x="60"/>
        <item x="138"/>
        <item x="152"/>
        <item x="128"/>
        <item x="39"/>
        <item x="124"/>
        <item x="142"/>
        <item x="95"/>
        <item x="11"/>
        <item x="14"/>
        <item x="146"/>
        <item x="172"/>
        <item x="23"/>
        <item x="160"/>
        <item x="113"/>
        <item x="78"/>
        <item x="167"/>
        <item x="32"/>
        <item x="9"/>
        <item x="88"/>
        <item x="92"/>
        <item x="82"/>
        <item x="109"/>
        <item x="85"/>
        <item x="37"/>
        <item x="59"/>
        <item x="139"/>
        <item x="105"/>
        <item x="121"/>
        <item x="162"/>
        <item x="22"/>
        <item x="107"/>
        <item x="83"/>
        <item x="156"/>
        <item x="84"/>
        <item x="89"/>
        <item x="165"/>
        <item x="3"/>
        <item x="24"/>
        <item x="108"/>
        <item x="127"/>
        <item x="90"/>
        <item x="106"/>
        <item x="52"/>
        <item x="8"/>
        <item x="111"/>
        <item x="1"/>
        <item x="36"/>
        <item x="100"/>
        <item x="114"/>
        <item x="21"/>
        <item x="102"/>
        <item x="65"/>
        <item x="46"/>
        <item x="117"/>
        <item x="129"/>
        <item x="119"/>
        <item x="151"/>
        <item x="150"/>
        <item x="97"/>
        <item x="13"/>
        <item x="148"/>
        <item x="171"/>
        <item x="134"/>
        <item x="170"/>
        <item x="43"/>
        <item x="17"/>
        <item x="6"/>
        <item x="125"/>
        <item x="28"/>
        <item x="49"/>
        <item x="67"/>
        <item x="27"/>
        <item x="51"/>
        <item x="44"/>
        <item x="0"/>
        <item x="47"/>
        <item x="25"/>
        <item x="19"/>
        <item x="33"/>
        <item x="31"/>
        <item x="147"/>
        <item x="45"/>
        <item x="166"/>
        <item x="5"/>
        <item x="50"/>
        <item x="73"/>
        <item x="116"/>
        <item x="2"/>
        <item x="54"/>
        <item x="4"/>
        <item x="103"/>
        <item x="41"/>
      </items>
    </pivotField>
    <pivotField axis="axisRow" showAll="0" defaultSubtotal="0">
      <items count="176">
        <item x="131"/>
        <item x="6"/>
        <item x="147"/>
        <item x="15"/>
        <item x="5"/>
        <item x="40"/>
        <item x="36"/>
        <item x="38"/>
        <item x="129"/>
        <item x="165"/>
        <item x="42"/>
        <item x="44"/>
        <item x="43"/>
        <item x="37"/>
        <item x="29"/>
        <item x="13"/>
        <item x="148"/>
        <item x="16"/>
        <item x="149"/>
        <item x="153"/>
        <item x="114"/>
        <item x="73"/>
        <item x="65"/>
        <item x="79"/>
        <item x="87"/>
        <item x="88"/>
        <item x="89"/>
        <item x="121"/>
        <item x="132"/>
        <item x="130"/>
        <item x="84"/>
        <item x="90"/>
        <item x="104"/>
        <item x="91"/>
        <item x="92"/>
        <item x="115"/>
        <item x="166"/>
        <item x="93"/>
        <item x="45"/>
        <item x="145"/>
        <item x="133"/>
        <item x="155"/>
        <item x="125"/>
        <item x="122"/>
        <item x="134"/>
        <item x="61"/>
        <item x="135"/>
        <item x="62"/>
        <item x="63"/>
        <item x="136"/>
        <item x="137"/>
        <item x="94"/>
        <item x="80"/>
        <item x="171"/>
        <item x="175"/>
        <item x="51"/>
        <item x="170"/>
        <item x="95"/>
        <item x="138"/>
        <item x="96"/>
        <item x="23"/>
        <item x="105"/>
        <item x="97"/>
        <item x="98"/>
        <item x="139"/>
        <item x="174"/>
        <item x="116"/>
        <item x="66"/>
        <item x="156"/>
        <item x="157"/>
        <item x="119"/>
        <item x="158"/>
        <item x="99"/>
        <item x="126"/>
        <item x="74"/>
        <item x="159"/>
        <item x="127"/>
        <item x="75"/>
        <item x="67"/>
        <item x="83"/>
        <item x="30"/>
        <item x="140"/>
        <item x="117"/>
        <item x="141"/>
        <item x="34"/>
        <item x="151"/>
        <item x="106"/>
        <item x="123"/>
        <item x="100"/>
        <item x="33"/>
        <item x="120"/>
        <item x="64"/>
        <item x="56"/>
        <item x="50"/>
        <item x="107"/>
        <item x="108"/>
        <item x="32"/>
        <item x="20"/>
        <item x="12"/>
        <item x="11"/>
        <item x="142"/>
        <item x="35"/>
        <item x="53"/>
        <item x="69"/>
        <item x="18"/>
        <item x="49"/>
        <item x="28"/>
        <item x="85"/>
        <item x="160"/>
        <item x="8"/>
        <item x="46"/>
        <item x="172"/>
        <item x="101"/>
        <item x="31"/>
        <item x="25"/>
        <item x="19"/>
        <item x="1"/>
        <item x="21"/>
        <item x="47"/>
        <item x="152"/>
        <item x="146"/>
        <item x="55"/>
        <item x="57"/>
        <item x="102"/>
        <item x="173"/>
        <item x="118"/>
        <item x="109"/>
        <item x="17"/>
        <item x="161"/>
        <item x="113"/>
        <item x="154"/>
        <item x="54"/>
        <item x="71"/>
        <item x="72"/>
        <item x="22"/>
        <item x="3"/>
        <item x="58"/>
        <item x="143"/>
        <item x="9"/>
        <item x="7"/>
        <item x="68"/>
        <item x="169"/>
        <item x="124"/>
        <item x="27"/>
        <item x="24"/>
        <item x="2"/>
        <item x="0"/>
        <item x="110"/>
        <item x="111"/>
        <item x="76"/>
        <item x="77"/>
        <item x="70"/>
        <item x="78"/>
        <item x="26"/>
        <item x="10"/>
        <item x="128"/>
        <item x="4"/>
        <item x="81"/>
        <item x="167"/>
        <item x="39"/>
        <item x="41"/>
        <item x="59"/>
        <item x="112"/>
        <item x="48"/>
        <item x="60"/>
        <item x="168"/>
        <item x="14"/>
        <item x="86"/>
        <item x="150"/>
        <item x="144"/>
        <item x="162"/>
        <item x="103"/>
        <item x="163"/>
        <item x="164"/>
        <item x="52"/>
        <item x="8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19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46">
        <item x="143"/>
        <item x="142"/>
        <item x="140"/>
        <item x="139"/>
        <item x="138"/>
        <item x="137"/>
        <item x="136"/>
        <item x="141"/>
        <item x="135"/>
        <item x="134"/>
        <item x="133"/>
        <item x="123"/>
        <item x="130"/>
        <item x="122"/>
        <item x="121"/>
        <item x="129"/>
        <item x="128"/>
        <item x="120"/>
        <item x="119"/>
        <item x="116"/>
        <item x="100"/>
        <item x="99"/>
        <item x="110"/>
        <item x="98"/>
        <item x="97"/>
        <item x="109"/>
        <item x="96"/>
        <item x="95"/>
        <item x="94"/>
        <item x="126"/>
        <item x="93"/>
        <item x="108"/>
        <item x="125"/>
        <item x="145"/>
        <item x="92"/>
        <item x="107"/>
        <item x="106"/>
        <item x="105"/>
        <item x="115"/>
        <item x="91"/>
        <item x="114"/>
        <item x="113"/>
        <item x="90"/>
        <item x="127"/>
        <item x="118"/>
        <item x="89"/>
        <item x="53"/>
        <item x="52"/>
        <item x="104"/>
        <item x="51"/>
        <item x="103"/>
        <item x="50"/>
        <item x="49"/>
        <item x="48"/>
        <item x="88"/>
        <item x="47"/>
        <item x="46"/>
        <item x="45"/>
        <item x="44"/>
        <item x="102"/>
        <item x="117"/>
        <item x="144"/>
        <item x="101"/>
        <item x="87"/>
        <item x="43"/>
        <item x="112"/>
        <item x="36"/>
        <item x="111"/>
        <item x="132"/>
        <item x="35"/>
        <item x="34"/>
        <item x="42"/>
        <item x="131"/>
        <item x="33"/>
        <item x="41"/>
        <item x="86"/>
        <item x="85"/>
        <item x="32"/>
        <item x="71"/>
        <item x="70"/>
        <item x="69"/>
        <item x="31"/>
        <item x="124"/>
        <item x="30"/>
        <item x="68"/>
        <item x="40"/>
        <item x="29"/>
        <item x="84"/>
        <item x="67"/>
        <item x="83"/>
        <item x="28"/>
        <item x="27"/>
        <item x="66"/>
        <item x="26"/>
        <item x="39"/>
        <item x="65"/>
        <item x="25"/>
        <item x="24"/>
        <item x="64"/>
        <item x="63"/>
        <item x="62"/>
        <item x="82"/>
        <item x="23"/>
        <item x="81"/>
        <item x="61"/>
        <item x="60"/>
        <item x="22"/>
        <item x="80"/>
        <item x="38"/>
        <item x="79"/>
        <item x="78"/>
        <item x="77"/>
        <item x="59"/>
        <item x="58"/>
        <item x="76"/>
        <item x="57"/>
        <item x="75"/>
        <item x="74"/>
        <item x="21"/>
        <item x="37"/>
        <item x="56"/>
        <item x="73"/>
        <item x="20"/>
        <item x="55"/>
        <item x="72"/>
        <item x="19"/>
        <item x="54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16">
        <item x="251"/>
        <item x="314"/>
        <item x="199"/>
        <item x="286"/>
        <item x="155"/>
        <item x="277"/>
        <item x="148"/>
        <item x="35"/>
        <item x="115"/>
        <item x="244"/>
        <item x="98"/>
        <item x="34"/>
        <item x="61"/>
        <item x="60"/>
        <item x="33"/>
        <item x="76"/>
        <item x="17"/>
        <item x="235"/>
        <item x="147"/>
        <item x="48"/>
        <item x="97"/>
        <item x="137"/>
        <item x="59"/>
        <item x="130"/>
        <item x="47"/>
        <item x="16"/>
        <item x="15"/>
        <item x="114"/>
        <item x="136"/>
        <item x="208"/>
        <item x="14"/>
        <item x="75"/>
        <item x="32"/>
        <item x="243"/>
        <item x="74"/>
        <item x="86"/>
        <item x="46"/>
        <item x="45"/>
        <item x="106"/>
        <item x="31"/>
        <item x="85"/>
        <item x="129"/>
        <item x="44"/>
        <item x="13"/>
        <item x="121"/>
        <item x="43"/>
        <item x="12"/>
        <item x="11"/>
        <item x="30"/>
        <item x="10"/>
        <item x="9"/>
        <item x="73"/>
        <item x="84"/>
        <item x="29"/>
        <item x="42"/>
        <item x="58"/>
        <item x="83"/>
        <item x="135"/>
        <item x="105"/>
        <item x="128"/>
        <item x="194"/>
        <item x="57"/>
        <item x="28"/>
        <item x="72"/>
        <item x="207"/>
        <item x="146"/>
        <item x="154"/>
        <item x="96"/>
        <item x="8"/>
        <item x="56"/>
        <item x="55"/>
        <item x="95"/>
        <item x="27"/>
        <item x="71"/>
        <item x="242"/>
        <item x="26"/>
        <item x="94"/>
        <item x="265"/>
        <item x="70"/>
        <item x="7"/>
        <item x="25"/>
        <item x="6"/>
        <item x="5"/>
        <item x="163"/>
        <item x="4"/>
        <item x="120"/>
        <item x="69"/>
        <item x="313"/>
        <item x="24"/>
        <item x="54"/>
        <item x="215"/>
        <item x="23"/>
        <item x="255"/>
        <item x="173"/>
        <item x="53"/>
        <item x="198"/>
        <item x="241"/>
        <item x="41"/>
        <item x="68"/>
        <item x="67"/>
        <item x="153"/>
        <item x="141"/>
        <item x="104"/>
        <item x="119"/>
        <item x="176"/>
        <item x="294"/>
        <item x="162"/>
        <item x="267"/>
        <item x="272"/>
        <item x="22"/>
        <item x="3"/>
        <item x="127"/>
        <item x="52"/>
        <item x="193"/>
        <item x="234"/>
        <item x="40"/>
        <item x="299"/>
        <item x="21"/>
        <item x="134"/>
        <item x="93"/>
        <item x="172"/>
        <item x="82"/>
        <item x="264"/>
        <item x="228"/>
        <item x="66"/>
        <item x="192"/>
        <item x="282"/>
        <item x="126"/>
        <item x="161"/>
        <item x="65"/>
        <item x="152"/>
        <item x="64"/>
        <item x="92"/>
        <item x="254"/>
        <item x="81"/>
        <item x="91"/>
        <item x="240"/>
        <item x="39"/>
        <item x="168"/>
        <item x="197"/>
        <item x="184"/>
        <item x="90"/>
        <item x="300"/>
        <item x="113"/>
        <item x="103"/>
        <item x="80"/>
        <item x="206"/>
        <item x="214"/>
        <item x="112"/>
        <item x="125"/>
        <item x="140"/>
        <item x="250"/>
        <item x="102"/>
        <item x="290"/>
        <item x="101"/>
        <item x="188"/>
        <item x="171"/>
        <item x="213"/>
        <item x="111"/>
        <item x="312"/>
        <item x="20"/>
        <item x="157"/>
        <item x="110"/>
        <item x="298"/>
        <item x="246"/>
        <item x="196"/>
        <item x="293"/>
        <item x="51"/>
        <item x="285"/>
        <item x="227"/>
        <item x="180"/>
        <item x="167"/>
        <item x="239"/>
        <item x="89"/>
        <item x="263"/>
        <item x="205"/>
        <item x="260"/>
        <item x="79"/>
        <item x="289"/>
        <item x="281"/>
        <item x="160"/>
        <item x="230"/>
        <item x="212"/>
        <item x="145"/>
        <item x="38"/>
        <item x="109"/>
        <item x="88"/>
        <item x="223"/>
        <item x="118"/>
        <item x="175"/>
        <item x="144"/>
        <item x="211"/>
        <item x="238"/>
        <item x="2"/>
        <item x="63"/>
        <item x="124"/>
        <item x="297"/>
        <item x="166"/>
        <item x="151"/>
        <item x="187"/>
        <item x="133"/>
        <item x="276"/>
        <item x="237"/>
        <item x="259"/>
        <item x="179"/>
        <item x="201"/>
        <item x="210"/>
        <item x="123"/>
        <item x="303"/>
        <item x="266"/>
        <item x="233"/>
        <item x="258"/>
        <item x="284"/>
        <item x="271"/>
        <item x="150"/>
        <item x="1"/>
        <item x="204"/>
        <item x="78"/>
        <item x="37"/>
        <item x="108"/>
        <item x="288"/>
        <item x="280"/>
        <item x="257"/>
        <item x="170"/>
        <item x="178"/>
        <item x="165"/>
        <item x="191"/>
        <item x="253"/>
        <item x="296"/>
        <item x="143"/>
        <item x="249"/>
        <item x="262"/>
        <item x="226"/>
        <item x="209"/>
        <item x="217"/>
        <item x="287"/>
        <item x="279"/>
        <item x="186"/>
        <item x="50"/>
        <item x="169"/>
        <item x="132"/>
        <item x="275"/>
        <item x="269"/>
        <item x="117"/>
        <item x="139"/>
        <item x="164"/>
        <item x="273"/>
        <item x="0"/>
        <item x="77"/>
        <item x="19"/>
        <item x="292"/>
        <item x="100"/>
        <item x="236"/>
        <item x="185"/>
        <item x="222"/>
        <item x="122"/>
        <item x="245"/>
        <item x="252"/>
        <item x="87"/>
        <item x="311"/>
        <item x="131"/>
        <item x="225"/>
        <item x="232"/>
        <item x="291"/>
        <item x="248"/>
        <item x="190"/>
        <item x="99"/>
        <item x="270"/>
        <item x="36"/>
        <item x="49"/>
        <item x="283"/>
        <item x="231"/>
        <item x="159"/>
        <item x="62"/>
        <item x="310"/>
        <item x="156"/>
        <item x="220"/>
        <item x="278"/>
        <item x="107"/>
        <item x="158"/>
        <item x="224"/>
        <item x="216"/>
        <item x="309"/>
        <item x="149"/>
        <item x="274"/>
        <item x="200"/>
        <item x="177"/>
        <item x="229"/>
        <item x="295"/>
        <item x="219"/>
        <item x="256"/>
        <item x="138"/>
        <item x="18"/>
        <item x="116"/>
        <item x="247"/>
        <item x="308"/>
        <item x="203"/>
        <item x="183"/>
        <item x="142"/>
        <item x="302"/>
        <item x="261"/>
        <item x="218"/>
        <item x="174"/>
        <item x="221"/>
        <item x="182"/>
        <item x="315"/>
        <item x="189"/>
        <item x="305"/>
        <item x="301"/>
        <item x="268"/>
        <item x="202"/>
        <item x="307"/>
        <item x="304"/>
        <item x="306"/>
        <item x="181"/>
        <item x="195"/>
      </items>
    </pivotField>
    <pivotField dataField="1" showAll="0" defaultSubtotal="0">
      <items count="119">
        <item x="114"/>
        <item x="90"/>
        <item x="107"/>
        <item x="92"/>
        <item x="91"/>
        <item x="100"/>
        <item x="51"/>
        <item x="94"/>
        <item x="63"/>
        <item x="34"/>
        <item x="48"/>
        <item x="93"/>
        <item x="81"/>
        <item x="36"/>
        <item x="106"/>
        <item x="31"/>
        <item x="104"/>
        <item x="58"/>
        <item x="50"/>
        <item x="65"/>
        <item x="99"/>
        <item x="60"/>
        <item x="47"/>
        <item x="103"/>
        <item x="49"/>
        <item x="89"/>
        <item x="85"/>
        <item x="56"/>
        <item x="66"/>
        <item x="59"/>
        <item x="25"/>
        <item x="86"/>
        <item x="79"/>
        <item x="43"/>
        <item x="33"/>
        <item x="102"/>
        <item x="88"/>
        <item x="26"/>
        <item x="87"/>
        <item x="67"/>
        <item x="111"/>
        <item x="46"/>
        <item x="45"/>
        <item x="117"/>
        <item x="98"/>
        <item x="44"/>
        <item x="32"/>
        <item x="29"/>
        <item x="28"/>
        <item x="35"/>
        <item x="97"/>
        <item x="110"/>
        <item x="68"/>
        <item x="37"/>
        <item x="113"/>
        <item x="83"/>
        <item x="116"/>
        <item x="76"/>
        <item x="105"/>
        <item x="118"/>
        <item x="80"/>
        <item x="96"/>
        <item x="84"/>
        <item x="64"/>
        <item x="112"/>
        <item x="109"/>
        <item x="24"/>
        <item x="101"/>
        <item x="78"/>
        <item x="42"/>
        <item x="41"/>
        <item x="82"/>
        <item x="30"/>
        <item x="95"/>
        <item x="74"/>
        <item x="27"/>
        <item x="108"/>
        <item x="115"/>
        <item x="40"/>
        <item x="77"/>
        <item x="62"/>
        <item x="61"/>
        <item x="23"/>
        <item x="57"/>
        <item x="39"/>
        <item x="15"/>
        <item x="71"/>
        <item x="6"/>
        <item x="19"/>
        <item x="75"/>
        <item x="16"/>
        <item x="55"/>
        <item x="72"/>
        <item x="73"/>
        <item x="17"/>
        <item x="22"/>
        <item x="13"/>
        <item x="18"/>
        <item x="38"/>
        <item x="54"/>
        <item x="52"/>
        <item x="70"/>
        <item x="21"/>
        <item x="11"/>
        <item x="53"/>
        <item x="20"/>
        <item x="69"/>
        <item x="12"/>
        <item x="14"/>
        <item x="5"/>
        <item x="8"/>
        <item x="10"/>
        <item x="9"/>
        <item x="3"/>
        <item x="4"/>
        <item x="7"/>
        <item x="1"/>
        <item x="2"/>
        <item x="0"/>
      </items>
    </pivotField>
    <pivotField dataField="1" showAll="0" defaultSubtotal="0">
      <items count="403">
        <item x="193"/>
        <item x="104"/>
        <item x="154"/>
        <item x="70"/>
        <item x="194"/>
        <item x="36"/>
        <item x="82"/>
        <item x="58"/>
        <item x="314"/>
        <item x="107"/>
        <item x="140"/>
        <item x="92"/>
        <item x="72"/>
        <item x="336"/>
        <item x="38"/>
        <item x="106"/>
        <item x="33"/>
        <item x="184"/>
        <item x="65"/>
        <item x="203"/>
        <item x="55"/>
        <item x="387"/>
        <item x="15"/>
        <item x="73"/>
        <item x="137"/>
        <item x="6"/>
        <item x="296"/>
        <item x="19"/>
        <item x="67"/>
        <item x="236"/>
        <item x="16"/>
        <item x="180"/>
        <item x="52"/>
        <item x="165"/>
        <item x="373"/>
        <item x="125"/>
        <item x="17"/>
        <item x="191"/>
        <item x="286"/>
        <item x="110"/>
        <item x="49"/>
        <item x="63"/>
        <item x="331"/>
        <item x="74"/>
        <item x="13"/>
        <item x="18"/>
        <item x="66"/>
        <item x="102"/>
        <item x="299"/>
        <item x="122"/>
        <item x="158"/>
        <item x="88"/>
        <item x="57"/>
        <item x="27"/>
        <item x="89"/>
        <item x="313"/>
        <item x="103"/>
        <item x="177"/>
        <item x="134"/>
        <item x="163"/>
        <item x="152"/>
        <item x="35"/>
        <item x="108"/>
        <item x="90"/>
        <item x="268"/>
        <item x="54"/>
        <item x="170"/>
        <item x="75"/>
        <item x="293"/>
        <item x="28"/>
        <item x="109"/>
        <item x="135"/>
        <item x="56"/>
        <item x="234"/>
        <item x="360"/>
        <item x="227"/>
        <item x="200"/>
        <item x="101"/>
        <item x="171"/>
        <item x="247"/>
        <item x="269"/>
        <item x="238"/>
        <item x="164"/>
        <item x="153"/>
        <item x="374"/>
        <item x="208"/>
        <item x="352"/>
        <item x="382"/>
        <item x="262"/>
        <item x="138"/>
        <item x="11"/>
        <item x="318"/>
        <item x="150"/>
        <item x="271"/>
        <item x="34"/>
        <item x="325"/>
        <item x="31"/>
        <item x="329"/>
        <item x="312"/>
        <item x="30"/>
        <item x="178"/>
        <item x="274"/>
        <item x="136"/>
        <item x="123"/>
        <item x="47"/>
        <item x="76"/>
        <item x="37"/>
        <item x="297"/>
        <item x="270"/>
        <item x="141"/>
        <item x="204"/>
        <item x="192"/>
        <item x="85"/>
        <item x="105"/>
        <item x="253"/>
        <item x="149"/>
        <item x="39"/>
        <item x="383"/>
        <item x="359"/>
        <item x="187"/>
        <item x="91"/>
        <item x="341"/>
        <item x="179"/>
        <item x="12"/>
        <item x="202"/>
        <item x="332"/>
        <item x="368"/>
        <item x="14"/>
        <item x="159"/>
        <item x="225"/>
        <item x="295"/>
        <item x="71"/>
        <item x="5"/>
        <item x="124"/>
        <item x="386"/>
        <item x="139"/>
        <item x="173"/>
        <item x="260"/>
        <item x="121"/>
        <item x="388"/>
        <item x="287"/>
        <item x="51"/>
        <item x="272"/>
        <item x="87"/>
        <item x="309"/>
        <item x="50"/>
        <item x="340"/>
        <item x="199"/>
        <item x="172"/>
        <item x="210"/>
        <item x="349"/>
        <item x="8"/>
        <item x="162"/>
        <item x="116"/>
        <item x="25"/>
        <item x="334"/>
        <item x="223"/>
        <item x="132"/>
        <item x="48"/>
        <item x="120"/>
        <item x="201"/>
        <item x="10"/>
        <item x="358"/>
        <item x="188"/>
        <item x="83"/>
        <item x="133"/>
        <item x="53"/>
        <item x="160"/>
        <item x="280"/>
        <item x="298"/>
        <item x="250"/>
        <item x="267"/>
        <item x="46"/>
        <item x="241"/>
        <item x="32"/>
        <item x="100"/>
        <item x="148"/>
        <item x="372"/>
        <item x="189"/>
        <item x="176"/>
        <item x="335"/>
        <item x="96"/>
        <item x="384"/>
        <item x="224"/>
        <item x="261"/>
        <item x="118"/>
        <item x="151"/>
        <item x="311"/>
        <item x="285"/>
        <item x="175"/>
        <item x="367"/>
        <item x="29"/>
        <item x="119"/>
        <item x="401"/>
        <item x="350"/>
        <item x="9"/>
        <item x="231"/>
        <item x="131"/>
        <item x="190"/>
        <item x="322"/>
        <item x="219"/>
        <item x="333"/>
        <item x="310"/>
        <item x="86"/>
        <item x="209"/>
        <item x="161"/>
        <item x="117"/>
        <item x="169"/>
        <item x="249"/>
        <item x="381"/>
        <item x="69"/>
        <item x="129"/>
        <item x="97"/>
        <item x="68"/>
        <item x="174"/>
        <item x="3"/>
        <item x="357"/>
        <item x="294"/>
        <item x="4"/>
        <item x="130"/>
        <item x="377"/>
        <item x="213"/>
        <item x="23"/>
        <item x="7"/>
        <item x="256"/>
        <item x="232"/>
        <item x="266"/>
        <item x="64"/>
        <item x="229"/>
        <item x="186"/>
        <item x="348"/>
        <item x="363"/>
        <item x="128"/>
        <item x="147"/>
        <item x="251"/>
        <item x="330"/>
        <item x="99"/>
        <item x="242"/>
        <item x="284"/>
        <item x="45"/>
        <item x="79"/>
        <item x="44"/>
        <item x="355"/>
        <item x="98"/>
        <item x="185"/>
        <item x="218"/>
        <item x="216"/>
        <item x="26"/>
        <item x="376"/>
        <item x="235"/>
        <item x="292"/>
        <item x="84"/>
        <item x="316"/>
        <item x="198"/>
        <item x="24"/>
        <item x="248"/>
        <item x="347"/>
        <item x="114"/>
        <item x="361"/>
        <item x="62"/>
        <item x="326"/>
        <item x="115"/>
        <item x="308"/>
        <item x="276"/>
        <item x="215"/>
        <item x="145"/>
        <item x="80"/>
        <item x="233"/>
        <item x="41"/>
        <item x="369"/>
        <item x="168"/>
        <item x="81"/>
        <item x="146"/>
        <item x="400"/>
        <item x="228"/>
        <item x="278"/>
        <item x="291"/>
        <item x="385"/>
        <item x="343"/>
        <item x="240"/>
        <item x="317"/>
        <item x="339"/>
        <item x="113"/>
        <item x="290"/>
        <item x="354"/>
        <item x="43"/>
        <item x="222"/>
        <item x="259"/>
        <item x="1"/>
        <item x="346"/>
        <item x="157"/>
        <item x="283"/>
        <item x="246"/>
        <item x="143"/>
        <item x="365"/>
        <item x="338"/>
        <item x="371"/>
        <item x="197"/>
        <item x="144"/>
        <item x="324"/>
        <item x="22"/>
        <item x="220"/>
        <item x="289"/>
        <item x="391"/>
        <item x="380"/>
        <item x="344"/>
        <item x="239"/>
        <item x="207"/>
        <item x="214"/>
        <item x="94"/>
        <item x="112"/>
        <item x="167"/>
        <item x="305"/>
        <item x="42"/>
        <item x="353"/>
        <item x="288"/>
        <item x="265"/>
        <item x="257"/>
        <item x="206"/>
        <item x="356"/>
        <item x="212"/>
        <item x="183"/>
        <item x="2"/>
        <item x="255"/>
        <item x="379"/>
        <item x="95"/>
        <item x="328"/>
        <item x="226"/>
        <item x="61"/>
        <item x="196"/>
        <item x="362"/>
        <item x="279"/>
        <item x="258"/>
        <item x="315"/>
        <item x="244"/>
        <item x="375"/>
        <item x="306"/>
        <item x="282"/>
        <item x="302"/>
        <item x="59"/>
        <item x="156"/>
        <item x="319"/>
        <item x="345"/>
        <item x="211"/>
        <item x="78"/>
        <item x="127"/>
        <item x="111"/>
        <item x="230"/>
        <item x="390"/>
        <item x="126"/>
        <item x="264"/>
        <item x="181"/>
        <item x="221"/>
        <item x="370"/>
        <item x="93"/>
        <item x="307"/>
        <item x="366"/>
        <item x="182"/>
        <item x="327"/>
        <item x="166"/>
        <item x="378"/>
        <item x="323"/>
        <item x="301"/>
        <item x="0"/>
        <item x="21"/>
        <item x="337"/>
        <item x="321"/>
        <item x="195"/>
        <item x="275"/>
        <item x="60"/>
        <item x="300"/>
        <item x="205"/>
        <item x="40"/>
        <item x="389"/>
        <item x="142"/>
        <item x="254"/>
        <item x="155"/>
        <item x="245"/>
        <item x="399"/>
        <item x="342"/>
        <item x="281"/>
        <item x="217"/>
        <item x="320"/>
        <item x="243"/>
        <item x="364"/>
        <item x="20"/>
        <item x="398"/>
        <item x="77"/>
        <item x="392"/>
        <item x="304"/>
        <item x="263"/>
        <item x="237"/>
        <item x="402"/>
        <item x="351"/>
        <item x="303"/>
        <item x="396"/>
        <item x="277"/>
        <item x="393"/>
        <item x="394"/>
        <item x="252"/>
        <item x="273"/>
        <item x="397"/>
        <item x="395"/>
      </items>
    </pivotField>
    <pivotField dataField="1" showAll="0" defaultSubtotal="0">
      <items count="98">
        <item x="94"/>
        <item x="90"/>
        <item x="41"/>
        <item x="83"/>
        <item x="84"/>
        <item x="25"/>
        <item x="82"/>
        <item x="42"/>
        <item x="62"/>
        <item x="95"/>
        <item x="22"/>
        <item x="39"/>
        <item x="92"/>
        <item x="54"/>
        <item x="89"/>
        <item x="45"/>
        <item x="86"/>
        <item x="93"/>
        <item x="87"/>
        <item x="43"/>
        <item x="72"/>
        <item x="38"/>
        <item x="96"/>
        <item x="85"/>
        <item x="91"/>
        <item x="49"/>
        <item x="88"/>
        <item x="31"/>
        <item x="36"/>
        <item x="50"/>
        <item x="69"/>
        <item x="61"/>
        <item x="80"/>
        <item x="28"/>
        <item x="55"/>
        <item x="47"/>
        <item x="48"/>
        <item x="97"/>
        <item x="44"/>
        <item x="51"/>
        <item x="46"/>
        <item x="23"/>
        <item x="35"/>
        <item x="57"/>
        <item x="68"/>
        <item x="33"/>
        <item x="75"/>
        <item x="7"/>
        <item x="2"/>
        <item x="21"/>
        <item x="64"/>
        <item x="34"/>
        <item x="24"/>
        <item x="37"/>
        <item x="40"/>
        <item x="30"/>
        <item x="53"/>
        <item x="29"/>
        <item x="78"/>
        <item x="71"/>
        <item x="67"/>
        <item x="81"/>
        <item x="77"/>
        <item x="27"/>
        <item x="32"/>
        <item x="76"/>
        <item x="73"/>
        <item x="79"/>
        <item x="26"/>
        <item x="66"/>
        <item x="4"/>
        <item x="65"/>
        <item x="20"/>
        <item x="63"/>
        <item x="59"/>
        <item x="9"/>
        <item x="60"/>
        <item x="74"/>
        <item x="58"/>
        <item x="56"/>
        <item x="70"/>
        <item x="10"/>
        <item x="52"/>
        <item x="0"/>
        <item x="14"/>
        <item x="3"/>
        <item x="12"/>
        <item x="8"/>
        <item x="11"/>
        <item x="18"/>
        <item x="5"/>
        <item x="19"/>
        <item x="17"/>
        <item x="16"/>
        <item x="15"/>
        <item x="13"/>
        <item x="1"/>
        <item x="6"/>
      </items>
    </pivotField>
    <pivotField dataField="1" showAll="0" defaultSubtotal="0">
      <items count="310">
        <item x="113"/>
        <item x="40"/>
        <item x="25"/>
        <item x="62"/>
        <item x="138"/>
        <item x="117"/>
        <item x="102"/>
        <item x="7"/>
        <item x="2"/>
        <item x="53"/>
        <item x="22"/>
        <item x="97"/>
        <item x="164"/>
        <item x="134"/>
        <item x="41"/>
        <item x="123"/>
        <item x="72"/>
        <item x="89"/>
        <item x="77"/>
        <item x="110"/>
        <item x="213"/>
        <item x="4"/>
        <item x="242"/>
        <item x="141"/>
        <item x="132"/>
        <item x="266"/>
        <item x="135"/>
        <item x="9"/>
        <item x="148"/>
        <item x="43"/>
        <item x="218"/>
        <item x="37"/>
        <item x="61"/>
        <item x="38"/>
        <item x="60"/>
        <item x="262"/>
        <item x="238"/>
        <item x="177"/>
        <item x="74"/>
        <item x="10"/>
        <item x="54"/>
        <item x="30"/>
        <item x="85"/>
        <item x="106"/>
        <item x="35"/>
        <item x="118"/>
        <item x="46"/>
        <item x="80"/>
        <item x="87"/>
        <item x="291"/>
        <item x="137"/>
        <item x="101"/>
        <item x="70"/>
        <item x="56"/>
        <item x="28"/>
        <item x="69"/>
        <item x="71"/>
        <item x="42"/>
        <item x="0"/>
        <item x="14"/>
        <item x="3"/>
        <item x="308"/>
        <item x="217"/>
        <item x="256"/>
        <item x="12"/>
        <item x="81"/>
        <item x="145"/>
        <item x="64"/>
        <item x="133"/>
        <item x="105"/>
        <item x="189"/>
        <item x="23"/>
        <item x="34"/>
        <item x="260"/>
        <item x="68"/>
        <item x="200"/>
        <item x="107"/>
        <item x="73"/>
        <item x="175"/>
        <item x="152"/>
        <item x="49"/>
        <item x="52"/>
        <item x="32"/>
        <item x="98"/>
        <item x="114"/>
        <item x="104"/>
        <item x="126"/>
        <item x="163"/>
        <item x="268"/>
        <item x="153"/>
        <item x="207"/>
        <item x="88"/>
        <item x="140"/>
        <item x="8"/>
        <item x="250"/>
        <item x="44"/>
        <item x="287"/>
        <item x="116"/>
        <item x="301"/>
        <item x="21"/>
        <item x="146"/>
        <item x="67"/>
        <item x="202"/>
        <item x="131"/>
        <item x="50"/>
        <item x="83"/>
        <item x="33"/>
        <item x="139"/>
        <item x="11"/>
        <item x="150"/>
        <item x="24"/>
        <item x="181"/>
        <item x="121"/>
        <item x="36"/>
        <item x="76"/>
        <item x="167"/>
        <item x="247"/>
        <item x="112"/>
        <item x="281"/>
        <item x="18"/>
        <item x="86"/>
        <item x="259"/>
        <item x="5"/>
        <item x="237"/>
        <item x="19"/>
        <item x="99"/>
        <item x="82"/>
        <item x="111"/>
        <item x="17"/>
        <item x="264"/>
        <item x="66"/>
        <item x="29"/>
        <item x="48"/>
        <item x="109"/>
        <item x="91"/>
        <item x="16"/>
        <item x="286"/>
        <item x="65"/>
        <item x="309"/>
        <item x="84"/>
        <item x="115"/>
        <item x="214"/>
        <item x="45"/>
        <item x="93"/>
        <item x="257"/>
        <item x="15"/>
        <item x="100"/>
        <item x="244"/>
        <item x="165"/>
        <item x="13"/>
        <item x="63"/>
        <item x="125"/>
        <item x="154"/>
        <item x="151"/>
        <item x="186"/>
        <item x="270"/>
        <item x="58"/>
        <item x="296"/>
        <item x="59"/>
        <item x="27"/>
        <item x="95"/>
        <item x="31"/>
        <item x="288"/>
        <item x="47"/>
        <item x="143"/>
        <item x="136"/>
        <item x="239"/>
        <item x="120"/>
        <item x="128"/>
        <item x="103"/>
        <item x="94"/>
        <item x="174"/>
        <item x="149"/>
        <item x="229"/>
        <item x="57"/>
        <item x="156"/>
        <item x="169"/>
        <item x="222"/>
        <item x="245"/>
        <item x="78"/>
        <item x="26"/>
        <item x="108"/>
        <item x="127"/>
        <item x="160"/>
        <item x="274"/>
        <item x="55"/>
        <item x="1"/>
        <item x="205"/>
        <item x="124"/>
        <item x="79"/>
        <item x="211"/>
        <item x="159"/>
        <item x="129"/>
        <item x="171"/>
        <item x="249"/>
        <item x="225"/>
        <item x="119"/>
        <item x="92"/>
        <item x="20"/>
        <item x="235"/>
        <item x="300"/>
        <item x="240"/>
        <item x="158"/>
        <item x="204"/>
        <item x="176"/>
        <item x="221"/>
        <item x="258"/>
        <item x="290"/>
        <item x="6"/>
        <item x="155"/>
        <item x="75"/>
        <item x="183"/>
        <item x="122"/>
        <item x="196"/>
        <item x="96"/>
        <item x="190"/>
        <item x="168"/>
        <item x="246"/>
        <item x="279"/>
        <item x="157"/>
        <item x="39"/>
        <item x="199"/>
        <item x="236"/>
        <item x="269"/>
        <item x="254"/>
        <item x="144"/>
        <item x="212"/>
        <item x="227"/>
        <item x="173"/>
        <item x="243"/>
        <item x="180"/>
        <item x="51"/>
        <item x="292"/>
        <item x="285"/>
        <item x="275"/>
        <item x="130"/>
        <item x="90"/>
        <item x="307"/>
        <item x="273"/>
        <item x="215"/>
        <item x="220"/>
        <item x="263"/>
        <item x="208"/>
        <item x="253"/>
        <item x="166"/>
        <item x="161"/>
        <item x="248"/>
        <item x="198"/>
        <item x="191"/>
        <item x="216"/>
        <item x="294"/>
        <item x="203"/>
        <item x="255"/>
        <item x="142"/>
        <item x="172"/>
        <item x="284"/>
        <item x="184"/>
        <item x="147"/>
        <item x="231"/>
        <item x="178"/>
        <item x="265"/>
        <item x="278"/>
        <item x="276"/>
        <item x="261"/>
        <item x="233"/>
        <item x="272"/>
        <item x="289"/>
        <item x="209"/>
        <item x="185"/>
        <item x="219"/>
        <item x="295"/>
        <item x="170"/>
        <item x="283"/>
        <item x="224"/>
        <item x="162"/>
        <item x="299"/>
        <item x="306"/>
        <item x="179"/>
        <item x="182"/>
        <item x="197"/>
        <item x="226"/>
        <item x="271"/>
        <item x="241"/>
        <item x="252"/>
        <item x="228"/>
        <item x="232"/>
        <item x="267"/>
        <item x="192"/>
        <item x="277"/>
        <item x="206"/>
        <item x="195"/>
        <item x="210"/>
        <item x="297"/>
        <item x="280"/>
        <item x="223"/>
        <item x="187"/>
        <item x="230"/>
        <item x="293"/>
        <item x="298"/>
        <item x="234"/>
        <item x="188"/>
        <item x="305"/>
        <item x="282"/>
        <item x="251"/>
        <item x="194"/>
        <item x="303"/>
        <item x="201"/>
        <item x="304"/>
        <item x="302"/>
        <item x="193"/>
      </items>
    </pivotField>
    <pivotField dataField="1" showAll="0" defaultSubtotal="0">
      <items count="6">
        <item x="0"/>
        <item x="1"/>
        <item x="5"/>
        <item x="2"/>
        <item x="3"/>
        <item x="4"/>
      </items>
    </pivotField>
  </pivotFields>
  <rowFields count="3">
    <field x="2"/>
    <field x="6"/>
    <field x="5"/>
  </rowFields>
  <rowItems count="1614">
    <i>
      <x/>
    </i>
    <i r="1">
      <x/>
      <x v="146"/>
    </i>
    <i r="1">
      <x v="1"/>
      <x v="116"/>
    </i>
    <i r="1">
      <x v="2"/>
      <x v="145"/>
    </i>
    <i r="1">
      <x v="3"/>
      <x v="135"/>
    </i>
    <i r="1">
      <x v="4"/>
      <x v="156"/>
    </i>
    <i r="1">
      <x v="5"/>
      <x v="4"/>
    </i>
    <i r="1">
      <x v="6"/>
      <x v="1"/>
    </i>
    <i r="2">
      <x v="139"/>
    </i>
    <i r="1">
      <x v="8"/>
      <x v="109"/>
    </i>
    <i r="1">
      <x v="9"/>
      <x v="138"/>
    </i>
    <i r="1">
      <x v="10"/>
      <x v="154"/>
    </i>
    <i r="1">
      <x v="11"/>
      <x v="99"/>
    </i>
    <i r="1">
      <x v="12"/>
      <x v="98"/>
    </i>
    <i r="1">
      <x v="13"/>
      <x v="15"/>
    </i>
    <i r="1">
      <x v="14"/>
      <x v="166"/>
    </i>
    <i r="1">
      <x v="15"/>
      <x v="3"/>
    </i>
    <i r="1">
      <x v="16"/>
      <x v="17"/>
    </i>
    <i r="1">
      <x v="17"/>
      <x v="127"/>
    </i>
    <i r="1">
      <x v="18"/>
      <x v="104"/>
    </i>
    <i r="1">
      <x v="19"/>
      <x v="115"/>
    </i>
    <i t="blank">
      <x/>
    </i>
    <i>
      <x v="1"/>
    </i>
    <i r="1">
      <x/>
      <x v="116"/>
    </i>
    <i r="1">
      <x v="1"/>
      <x v="146"/>
    </i>
    <i r="1">
      <x v="2"/>
      <x v="145"/>
    </i>
    <i r="1">
      <x v="3"/>
      <x v="135"/>
    </i>
    <i r="1">
      <x v="4"/>
      <x v="139"/>
    </i>
    <i r="1">
      <x v="5"/>
      <x v="109"/>
    </i>
    <i r="1">
      <x v="6"/>
      <x v="156"/>
    </i>
    <i r="1">
      <x v="7"/>
      <x v="127"/>
    </i>
    <i r="1">
      <x v="8"/>
      <x v="104"/>
    </i>
    <i r="2">
      <x v="138"/>
    </i>
    <i r="1">
      <x v="10"/>
      <x v="115"/>
    </i>
    <i r="1">
      <x v="11"/>
      <x v="99"/>
    </i>
    <i r="1">
      <x v="12"/>
      <x v="154"/>
    </i>
    <i r="1">
      <x v="13"/>
      <x v="1"/>
    </i>
    <i r="1">
      <x v="14"/>
      <x v="98"/>
    </i>
    <i r="1">
      <x v="15"/>
      <x v="4"/>
    </i>
    <i r="2">
      <x v="166"/>
    </i>
    <i r="1">
      <x v="17"/>
      <x v="3"/>
    </i>
    <i r="1">
      <x v="18"/>
      <x v="97"/>
    </i>
    <i r="1">
      <x v="19"/>
      <x v="15"/>
    </i>
    <i r="2">
      <x v="117"/>
    </i>
    <i t="blank">
      <x v="1"/>
    </i>
    <i>
      <x v="2"/>
    </i>
    <i r="1">
      <x/>
      <x v="146"/>
    </i>
    <i r="1">
      <x v="1"/>
      <x v="116"/>
    </i>
    <i r="1">
      <x v="2"/>
      <x v="145"/>
    </i>
    <i r="1">
      <x v="3"/>
      <x v="139"/>
    </i>
    <i r="1">
      <x v="4"/>
      <x v="135"/>
    </i>
    <i r="1">
      <x v="5"/>
      <x v="138"/>
    </i>
    <i r="1">
      <x v="6"/>
      <x v="109"/>
    </i>
    <i r="1">
      <x v="7"/>
      <x v="4"/>
    </i>
    <i r="1">
      <x v="8"/>
      <x v="134"/>
    </i>
    <i r="1">
      <x v="9"/>
      <x v="15"/>
    </i>
    <i r="1">
      <x v="10"/>
      <x v="60"/>
    </i>
    <i r="1">
      <x v="11"/>
      <x v="154"/>
    </i>
    <i r="1">
      <x v="12"/>
      <x v="3"/>
    </i>
    <i r="1">
      <x v="13"/>
      <x v="156"/>
    </i>
    <i r="1">
      <x v="14"/>
      <x v="104"/>
    </i>
    <i r="1">
      <x v="15"/>
      <x v="144"/>
    </i>
    <i r="1">
      <x v="16"/>
      <x v="17"/>
    </i>
    <i r="2">
      <x v="98"/>
    </i>
    <i r="2">
      <x v="99"/>
    </i>
    <i r="1">
      <x v="19"/>
      <x v="1"/>
    </i>
    <i t="blank">
      <x v="2"/>
    </i>
    <i>
      <x v="3"/>
    </i>
    <i r="1">
      <x/>
      <x v="116"/>
    </i>
    <i r="1">
      <x v="1"/>
      <x v="146"/>
    </i>
    <i r="1">
      <x v="2"/>
      <x v="145"/>
    </i>
    <i r="1">
      <x v="3"/>
      <x v="156"/>
    </i>
    <i r="1">
      <x v="4"/>
      <x v="115"/>
    </i>
    <i r="1">
      <x v="5"/>
      <x v="135"/>
    </i>
    <i r="1">
      <x v="6"/>
      <x v="17"/>
    </i>
    <i r="1">
      <x v="7"/>
      <x v="127"/>
    </i>
    <i r="1">
      <x v="8"/>
      <x v="114"/>
    </i>
    <i r="1">
      <x v="9"/>
      <x v="154"/>
    </i>
    <i r="1">
      <x v="10"/>
      <x v="138"/>
    </i>
    <i r="1">
      <x v="11"/>
      <x v="139"/>
    </i>
    <i r="1">
      <x v="12"/>
      <x v="3"/>
    </i>
    <i r="2">
      <x v="109"/>
    </i>
    <i r="1">
      <x v="14"/>
      <x v="1"/>
    </i>
    <i r="2">
      <x v="15"/>
    </i>
    <i r="1">
      <x v="16"/>
      <x v="4"/>
    </i>
    <i r="1">
      <x v="17"/>
      <x v="99"/>
    </i>
    <i r="1">
      <x v="18"/>
      <x v="98"/>
    </i>
    <i r="1">
      <x v="19"/>
      <x v="166"/>
    </i>
    <i t="blank">
      <x v="3"/>
    </i>
    <i>
      <x v="4"/>
    </i>
    <i r="1">
      <x/>
      <x v="146"/>
    </i>
    <i r="1">
      <x v="1"/>
      <x v="145"/>
    </i>
    <i r="1">
      <x v="2"/>
      <x v="135"/>
    </i>
    <i r="1">
      <x v="3"/>
      <x v="156"/>
    </i>
    <i r="1">
      <x v="4"/>
      <x v="139"/>
    </i>
    <i r="1">
      <x v="5"/>
      <x v="1"/>
    </i>
    <i r="1">
      <x v="6"/>
      <x v="109"/>
    </i>
    <i r="1">
      <x v="7"/>
      <x v="138"/>
    </i>
    <i r="1">
      <x v="8"/>
      <x v="99"/>
    </i>
    <i r="1">
      <x v="9"/>
      <x v="116"/>
    </i>
    <i r="1">
      <x v="10"/>
      <x v="15"/>
    </i>
    <i r="1">
      <x v="11"/>
      <x v="154"/>
    </i>
    <i r="1">
      <x v="12"/>
      <x v="98"/>
    </i>
    <i r="1">
      <x v="13"/>
      <x v="166"/>
    </i>
    <i r="1">
      <x v="14"/>
      <x v="4"/>
    </i>
    <i r="1">
      <x v="15"/>
      <x v="104"/>
    </i>
    <i r="1">
      <x v="16"/>
      <x v="127"/>
    </i>
    <i r="1">
      <x v="17"/>
      <x v="17"/>
    </i>
    <i r="1">
      <x v="18"/>
      <x v="153"/>
    </i>
    <i r="1">
      <x v="19"/>
      <x v="3"/>
    </i>
    <i t="blank">
      <x v="4"/>
    </i>
    <i>
      <x v="5"/>
    </i>
    <i r="1">
      <x/>
      <x v="146"/>
    </i>
    <i r="1">
      <x v="1"/>
      <x v="135"/>
    </i>
    <i r="2">
      <x v="145"/>
    </i>
    <i r="1">
      <x v="3"/>
      <x v="116"/>
    </i>
    <i r="1">
      <x v="4"/>
      <x v="109"/>
    </i>
    <i r="1">
      <x v="5"/>
      <x v="154"/>
    </i>
    <i r="1">
      <x v="6"/>
      <x v="156"/>
    </i>
    <i r="1">
      <x v="7"/>
      <x v="139"/>
    </i>
    <i r="1">
      <x v="8"/>
      <x v="138"/>
    </i>
    <i r="1">
      <x v="9"/>
      <x v="1"/>
    </i>
    <i r="1">
      <x v="10"/>
      <x v="104"/>
    </i>
    <i r="1">
      <x v="11"/>
      <x v="3"/>
    </i>
    <i r="2">
      <x v="99"/>
    </i>
    <i r="2">
      <x v="143"/>
    </i>
    <i r="1">
      <x v="14"/>
      <x v="4"/>
    </i>
    <i r="2">
      <x v="98"/>
    </i>
    <i r="1">
      <x v="16"/>
      <x v="115"/>
    </i>
    <i r="1">
      <x v="17"/>
      <x v="15"/>
    </i>
    <i r="2">
      <x v="97"/>
    </i>
    <i r="1">
      <x v="19"/>
      <x v="17"/>
    </i>
    <i r="2">
      <x v="106"/>
    </i>
    <i r="2">
      <x v="127"/>
    </i>
    <i t="blank">
      <x v="5"/>
    </i>
    <i>
      <x v="6"/>
    </i>
    <i r="1">
      <x/>
      <x v="146"/>
    </i>
    <i r="1">
      <x v="1"/>
      <x v="145"/>
    </i>
    <i r="1">
      <x v="2"/>
      <x v="156"/>
    </i>
    <i r="1">
      <x v="3"/>
      <x v="154"/>
    </i>
    <i r="1">
      <x v="4"/>
      <x v="139"/>
    </i>
    <i r="1">
      <x v="5"/>
      <x v="116"/>
    </i>
    <i r="1">
      <x v="6"/>
      <x v="135"/>
    </i>
    <i r="1">
      <x v="7"/>
      <x v="166"/>
    </i>
    <i r="1">
      <x v="8"/>
      <x v="138"/>
    </i>
    <i r="1">
      <x v="9"/>
      <x v="109"/>
    </i>
    <i r="1">
      <x v="10"/>
      <x v="4"/>
    </i>
    <i r="1">
      <x v="11"/>
      <x v="1"/>
    </i>
    <i r="1">
      <x v="12"/>
      <x v="99"/>
    </i>
    <i r="1">
      <x v="13"/>
      <x v="98"/>
    </i>
    <i r="1">
      <x v="14"/>
      <x v="17"/>
    </i>
    <i r="1">
      <x v="15"/>
      <x v="104"/>
    </i>
    <i r="1">
      <x v="16"/>
      <x v="14"/>
    </i>
    <i r="2">
      <x v="97"/>
    </i>
    <i r="2">
      <x v="153"/>
    </i>
    <i r="1">
      <x v="19"/>
      <x v="80"/>
    </i>
    <i r="2">
      <x v="113"/>
    </i>
    <i t="blank">
      <x v="6"/>
    </i>
    <i>
      <x v="7"/>
    </i>
    <i r="1">
      <x/>
      <x v="146"/>
    </i>
    <i r="1">
      <x v="1"/>
      <x v="145"/>
    </i>
    <i r="1">
      <x v="2"/>
      <x v="135"/>
    </i>
    <i r="1">
      <x v="3"/>
      <x v="116"/>
    </i>
    <i r="1">
      <x v="4"/>
      <x v="4"/>
    </i>
    <i r="1">
      <x v="5"/>
      <x v="96"/>
    </i>
    <i r="1">
      <x v="6"/>
      <x v="139"/>
    </i>
    <i r="1">
      <x v="7"/>
      <x v="98"/>
    </i>
    <i r="2">
      <x v="99"/>
    </i>
    <i r="1">
      <x v="9"/>
      <x v="109"/>
    </i>
    <i r="1">
      <x v="10"/>
      <x v="106"/>
    </i>
    <i r="1">
      <x v="11"/>
      <x v="15"/>
    </i>
    <i r="2">
      <x v="154"/>
    </i>
    <i r="1">
      <x v="13"/>
      <x v="1"/>
    </i>
    <i r="2">
      <x v="89"/>
    </i>
    <i r="1">
      <x v="15"/>
      <x v="134"/>
    </i>
    <i r="1">
      <x v="16"/>
      <x v="97"/>
    </i>
    <i r="2">
      <x v="138"/>
    </i>
    <i r="1">
      <x v="18"/>
      <x v="143"/>
    </i>
    <i r="2">
      <x v="166"/>
    </i>
    <i t="blank">
      <x v="7"/>
    </i>
    <i>
      <x v="8"/>
    </i>
    <i r="1">
      <x/>
      <x v="146"/>
    </i>
    <i r="1">
      <x v="1"/>
      <x v="116"/>
    </i>
    <i r="1">
      <x v="2"/>
      <x v="145"/>
    </i>
    <i r="1">
      <x v="3"/>
      <x v="138"/>
    </i>
    <i r="1">
      <x v="4"/>
      <x v="139"/>
    </i>
    <i r="1">
      <x v="5"/>
      <x v="135"/>
    </i>
    <i r="1">
      <x v="6"/>
      <x v="109"/>
    </i>
    <i r="1">
      <x v="7"/>
      <x v="15"/>
    </i>
    <i r="2">
      <x v="104"/>
    </i>
    <i r="1">
      <x v="9"/>
      <x v="1"/>
    </i>
    <i r="2">
      <x v="4"/>
    </i>
    <i r="1">
      <x v="11"/>
      <x v="166"/>
    </i>
    <i r="1">
      <x v="12"/>
      <x v="98"/>
    </i>
    <i r="1">
      <x v="13"/>
      <x v="89"/>
    </i>
    <i r="2">
      <x v="154"/>
    </i>
    <i r="2">
      <x v="156"/>
    </i>
    <i r="1">
      <x v="16"/>
      <x v="106"/>
    </i>
    <i r="2">
      <x v="127"/>
    </i>
    <i r="1">
      <x v="18"/>
      <x v="84"/>
    </i>
    <i r="2">
      <x v="97"/>
    </i>
    <i r="2">
      <x v="101"/>
    </i>
    <i t="blank">
      <x v="8"/>
    </i>
    <i>
      <x v="9"/>
    </i>
    <i r="1">
      <x/>
      <x v="116"/>
    </i>
    <i r="1">
      <x v="1"/>
      <x v="146"/>
    </i>
    <i r="1">
      <x v="2"/>
      <x v="145"/>
    </i>
    <i r="1">
      <x v="3"/>
      <x v="1"/>
    </i>
    <i r="2">
      <x v="109"/>
    </i>
    <i r="1">
      <x v="5"/>
      <x v="166"/>
    </i>
    <i r="1">
      <x v="6"/>
      <x v="98"/>
    </i>
    <i r="1">
      <x v="7"/>
      <x v="4"/>
    </i>
    <i r="2">
      <x v="139"/>
    </i>
    <i r="1">
      <x v="9"/>
      <x v="97"/>
    </i>
    <i r="1">
      <x v="10"/>
      <x v="134"/>
    </i>
    <i r="1">
      <x v="11"/>
      <x v="15"/>
    </i>
    <i r="1">
      <x v="12"/>
      <x v="135"/>
    </i>
    <i r="1">
      <x v="13"/>
      <x v="96"/>
    </i>
    <i r="2">
      <x v="156"/>
    </i>
    <i r="1">
      <x v="15"/>
      <x v="6"/>
    </i>
    <i r="2">
      <x v="13"/>
    </i>
    <i r="2">
      <x v="104"/>
    </i>
    <i r="2">
      <x v="138"/>
    </i>
    <i r="1">
      <x v="19"/>
      <x v="101"/>
    </i>
    <i t="blank">
      <x v="9"/>
    </i>
    <i>
      <x v="10"/>
    </i>
    <i r="1">
      <x/>
      <x v="145"/>
    </i>
    <i r="1">
      <x v="1"/>
      <x v="146"/>
    </i>
    <i r="1">
      <x v="2"/>
      <x v="4"/>
    </i>
    <i r="1">
      <x v="3"/>
      <x v="166"/>
    </i>
    <i r="1">
      <x v="4"/>
      <x v="1"/>
    </i>
    <i r="1">
      <x v="5"/>
      <x v="109"/>
    </i>
    <i r="1">
      <x v="6"/>
      <x v="3"/>
    </i>
    <i r="1">
      <x v="7"/>
      <x v="99"/>
    </i>
    <i r="1">
      <x v="8"/>
      <x v="6"/>
    </i>
    <i r="2">
      <x v="116"/>
    </i>
    <i r="1">
      <x v="10"/>
      <x v="96"/>
    </i>
    <i r="1">
      <x v="11"/>
      <x v="98"/>
    </i>
    <i r="1">
      <x v="12"/>
      <x v="97"/>
    </i>
    <i r="2">
      <x v="106"/>
    </i>
    <i r="1">
      <x v="14"/>
      <x v="15"/>
    </i>
    <i r="1">
      <x v="15"/>
      <x v="138"/>
    </i>
    <i r="2">
      <x v="156"/>
    </i>
    <i r="1">
      <x v="17"/>
      <x v="89"/>
    </i>
    <i r="1">
      <x v="18"/>
      <x v="7"/>
    </i>
    <i r="2">
      <x v="101"/>
    </i>
    <i r="2">
      <x v="104"/>
    </i>
    <i t="blank">
      <x v="10"/>
    </i>
    <i>
      <x v="11"/>
    </i>
    <i r="1">
      <x/>
      <x v="116"/>
    </i>
    <i r="1">
      <x v="1"/>
      <x v="146"/>
    </i>
    <i r="1">
      <x v="2"/>
      <x v="145"/>
    </i>
    <i r="1">
      <x v="3"/>
      <x v="1"/>
    </i>
    <i r="1">
      <x v="4"/>
      <x v="156"/>
    </i>
    <i r="1">
      <x v="5"/>
      <x v="4"/>
    </i>
    <i r="1">
      <x v="6"/>
      <x v="139"/>
    </i>
    <i r="1">
      <x v="7"/>
      <x v="109"/>
    </i>
    <i r="1">
      <x v="8"/>
      <x v="166"/>
    </i>
    <i r="1">
      <x v="9"/>
      <x v="89"/>
    </i>
    <i r="2">
      <x v="154"/>
    </i>
    <i r="1">
      <x v="11"/>
      <x v="138"/>
    </i>
    <i r="1">
      <x v="12"/>
      <x v="15"/>
    </i>
    <i r="2">
      <x v="99"/>
    </i>
    <i r="1">
      <x v="14"/>
      <x v="98"/>
    </i>
    <i r="1">
      <x v="15"/>
      <x v="135"/>
    </i>
    <i r="1">
      <x v="16"/>
      <x v="134"/>
    </i>
    <i r="2">
      <x v="159"/>
    </i>
    <i r="1">
      <x v="18"/>
      <x v="17"/>
    </i>
    <i r="2">
      <x v="80"/>
    </i>
    <i r="2">
      <x v="127"/>
    </i>
    <i t="blank">
      <x v="11"/>
    </i>
    <i>
      <x v="12"/>
    </i>
    <i r="1">
      <x/>
      <x v="116"/>
    </i>
    <i r="1">
      <x v="1"/>
      <x v="146"/>
    </i>
    <i r="1">
      <x v="2"/>
      <x v="145"/>
    </i>
    <i r="1">
      <x v="3"/>
      <x v="4"/>
    </i>
    <i r="2">
      <x v="139"/>
    </i>
    <i r="1">
      <x v="5"/>
      <x v="109"/>
    </i>
    <i r="1">
      <x v="6"/>
      <x v="99"/>
    </i>
    <i r="1">
      <x v="7"/>
      <x v="1"/>
    </i>
    <i r="1">
      <x v="8"/>
      <x v="166"/>
    </i>
    <i r="1">
      <x v="9"/>
      <x v="97"/>
    </i>
    <i r="1">
      <x v="10"/>
      <x v="104"/>
    </i>
    <i r="2">
      <x v="115"/>
    </i>
    <i r="1">
      <x v="12"/>
      <x v="3"/>
    </i>
    <i r="2">
      <x v="156"/>
    </i>
    <i r="1">
      <x v="14"/>
      <x v="15"/>
    </i>
    <i r="1">
      <x v="15"/>
      <x v="138"/>
    </i>
    <i r="1">
      <x v="16"/>
      <x v="17"/>
    </i>
    <i r="2">
      <x v="144"/>
    </i>
    <i r="1">
      <x v="18"/>
      <x v="5"/>
    </i>
    <i r="2">
      <x v="117"/>
    </i>
    <i t="blank">
      <x v="12"/>
    </i>
    <i>
      <x v="13"/>
    </i>
    <i r="1">
      <x/>
      <x v="116"/>
    </i>
    <i r="1">
      <x v="1"/>
      <x v="146"/>
    </i>
    <i r="1">
      <x v="2"/>
      <x v="145"/>
    </i>
    <i r="1">
      <x v="3"/>
      <x v="3"/>
    </i>
    <i r="1">
      <x v="4"/>
      <x v="4"/>
    </i>
    <i r="1">
      <x v="5"/>
      <x v="156"/>
    </i>
    <i r="1">
      <x v="6"/>
      <x v="138"/>
    </i>
    <i r="1">
      <x v="7"/>
      <x v="6"/>
    </i>
    <i r="1">
      <x v="8"/>
      <x v="109"/>
    </i>
    <i r="1">
      <x v="9"/>
      <x v="1"/>
    </i>
    <i r="2">
      <x v="166"/>
    </i>
    <i r="1">
      <x v="11"/>
      <x v="97"/>
    </i>
    <i r="1">
      <x v="12"/>
      <x v="15"/>
    </i>
    <i r="2">
      <x v="135"/>
    </i>
    <i r="1">
      <x v="14"/>
      <x v="101"/>
    </i>
    <i r="2">
      <x v="115"/>
    </i>
    <i r="2">
      <x v="134"/>
    </i>
    <i r="2">
      <x v="139"/>
    </i>
    <i r="2">
      <x v="160"/>
    </i>
    <i r="1">
      <x v="19"/>
      <x v="10"/>
    </i>
    <i r="2">
      <x v="98"/>
    </i>
    <i r="2">
      <x v="127"/>
    </i>
    <i t="blank">
      <x v="13"/>
    </i>
    <i>
      <x v="14"/>
    </i>
    <i r="1">
      <x/>
      <x v="116"/>
    </i>
    <i r="1">
      <x v="1"/>
      <x v="145"/>
    </i>
    <i r="1">
      <x v="2"/>
      <x v="99"/>
    </i>
    <i r="2">
      <x v="146"/>
    </i>
    <i r="1">
      <x v="4"/>
      <x v="154"/>
    </i>
    <i r="1">
      <x v="5"/>
      <x v="109"/>
    </i>
    <i r="2">
      <x v="156"/>
    </i>
    <i r="1">
      <x v="7"/>
      <x v="3"/>
    </i>
    <i r="2">
      <x v="166"/>
    </i>
    <i r="1">
      <x v="9"/>
      <x v="14"/>
    </i>
    <i r="2">
      <x v="15"/>
    </i>
    <i r="2">
      <x v="80"/>
    </i>
    <i r="1">
      <x v="12"/>
      <x v="4"/>
    </i>
    <i r="2">
      <x v="5"/>
    </i>
    <i r="2">
      <x v="12"/>
    </i>
    <i r="2">
      <x v="144"/>
    </i>
    <i r="2">
      <x v="153"/>
    </i>
    <i r="1">
      <x v="17"/>
      <x v="1"/>
    </i>
    <i r="2">
      <x v="6"/>
    </i>
    <i r="2">
      <x v="11"/>
    </i>
    <i r="2">
      <x v="13"/>
    </i>
    <i r="2">
      <x v="38"/>
    </i>
    <i r="2">
      <x v="96"/>
    </i>
    <i r="2">
      <x v="97"/>
    </i>
    <i r="2">
      <x v="101"/>
    </i>
    <i r="2">
      <x v="104"/>
    </i>
    <i r="2">
      <x v="106"/>
    </i>
    <i r="2">
      <x v="110"/>
    </i>
    <i r="2">
      <x v="115"/>
    </i>
    <i r="2">
      <x v="118"/>
    </i>
    <i r="2">
      <x v="139"/>
    </i>
    <i r="2">
      <x v="163"/>
    </i>
    <i t="blank">
      <x v="14"/>
    </i>
    <i>
      <x v="15"/>
    </i>
    <i r="1">
      <x/>
      <x v="146"/>
    </i>
    <i r="1">
      <x v="1"/>
      <x v="1"/>
    </i>
    <i r="2">
      <x v="12"/>
    </i>
    <i r="2">
      <x v="17"/>
    </i>
    <i r="2">
      <x v="109"/>
    </i>
    <i r="2">
      <x v="145"/>
    </i>
    <i r="1">
      <x v="6"/>
      <x v="4"/>
    </i>
    <i r="2">
      <x v="97"/>
    </i>
    <i r="2">
      <x v="105"/>
    </i>
    <i r="2">
      <x v="116"/>
    </i>
    <i r="1">
      <x v="10"/>
      <x v="93"/>
    </i>
    <i r="2">
      <x v="98"/>
    </i>
    <i r="2">
      <x v="99"/>
    </i>
    <i r="2">
      <x v="104"/>
    </i>
    <i r="2">
      <x v="106"/>
    </i>
    <i r="2">
      <x v="135"/>
    </i>
    <i r="2">
      <x v="143"/>
    </i>
    <i r="2">
      <x v="166"/>
    </i>
    <i r="1">
      <x v="18"/>
      <x v="3"/>
    </i>
    <i r="2">
      <x v="13"/>
    </i>
    <i r="2">
      <x v="15"/>
    </i>
    <i r="2">
      <x v="89"/>
    </i>
    <i r="2">
      <x v="115"/>
    </i>
    <i t="blank">
      <x v="15"/>
    </i>
    <i>
      <x v="16"/>
    </i>
    <i r="1">
      <x/>
      <x v="116"/>
    </i>
    <i r="1">
      <x v="1"/>
      <x v="146"/>
    </i>
    <i r="1">
      <x v="2"/>
      <x v="145"/>
    </i>
    <i r="1">
      <x v="3"/>
      <x v="89"/>
    </i>
    <i r="1">
      <x v="4"/>
      <x v="55"/>
    </i>
    <i r="1">
      <x v="5"/>
      <x v="97"/>
    </i>
    <i r="1">
      <x v="6"/>
      <x v="4"/>
    </i>
    <i r="2">
      <x v="15"/>
    </i>
    <i r="2">
      <x v="99"/>
    </i>
    <i r="2">
      <x v="166"/>
    </i>
    <i r="1">
      <x v="10"/>
      <x v="17"/>
    </i>
    <i r="1">
      <x v="11"/>
      <x v="5"/>
    </i>
    <i r="2">
      <x v="101"/>
    </i>
    <i r="2">
      <x v="115"/>
    </i>
    <i r="2">
      <x v="138"/>
    </i>
    <i r="2">
      <x v="139"/>
    </i>
    <i r="2">
      <x v="144"/>
    </i>
    <i r="2">
      <x v="174"/>
    </i>
    <i r="1">
      <x v="18"/>
      <x v="1"/>
    </i>
    <i r="2">
      <x v="3"/>
    </i>
    <i r="2">
      <x v="13"/>
    </i>
    <i r="2">
      <x v="98"/>
    </i>
    <i r="2">
      <x v="102"/>
    </i>
    <i r="2">
      <x v="104"/>
    </i>
    <i r="2">
      <x v="117"/>
    </i>
    <i r="2">
      <x v="135"/>
    </i>
    <i r="2">
      <x v="156"/>
    </i>
    <i t="blank">
      <x v="16"/>
    </i>
    <i>
      <x v="17"/>
    </i>
    <i r="1">
      <x/>
      <x v="4"/>
    </i>
    <i r="1">
      <x v="1"/>
      <x v="145"/>
    </i>
    <i r="2">
      <x v="146"/>
    </i>
    <i r="1">
      <x v="3"/>
      <x v="15"/>
    </i>
    <i r="2">
      <x v="131"/>
    </i>
    <i r="1">
      <x v="5"/>
      <x v="1"/>
    </i>
    <i r="2">
      <x v="6"/>
    </i>
    <i r="2">
      <x v="106"/>
    </i>
    <i r="1">
      <x v="8"/>
      <x v="98"/>
    </i>
    <i r="2">
      <x v="99"/>
    </i>
    <i r="2">
      <x v="109"/>
    </i>
    <i r="1">
      <x v="11"/>
      <x v="7"/>
    </i>
    <i r="2">
      <x v="17"/>
    </i>
    <i r="2">
      <x v="97"/>
    </i>
    <i r="2">
      <x v="121"/>
    </i>
    <i r="2">
      <x v="138"/>
    </i>
    <i r="2">
      <x v="154"/>
    </i>
    <i r="2">
      <x v="156"/>
    </i>
    <i r="1">
      <x v="18"/>
      <x v="3"/>
    </i>
    <i r="2">
      <x v="10"/>
    </i>
    <i r="2">
      <x v="92"/>
    </i>
    <i r="2">
      <x v="101"/>
    </i>
    <i r="2">
      <x v="122"/>
    </i>
    <i r="2">
      <x v="134"/>
    </i>
    <i r="2">
      <x v="136"/>
    </i>
    <i r="2">
      <x v="144"/>
    </i>
    <i r="2">
      <x v="161"/>
    </i>
    <i r="2">
      <x v="164"/>
    </i>
    <i r="2">
      <x v="166"/>
    </i>
    <i t="blank">
      <x v="17"/>
    </i>
    <i>
      <x v="18"/>
    </i>
    <i r="1">
      <x/>
      <x v="146"/>
    </i>
    <i r="1">
      <x v="1"/>
      <x v="145"/>
    </i>
    <i r="1">
      <x v="2"/>
      <x v="99"/>
    </i>
    <i r="1">
      <x v="3"/>
      <x v="116"/>
    </i>
    <i r="2">
      <x v="135"/>
    </i>
    <i r="1">
      <x v="5"/>
      <x v="7"/>
    </i>
    <i r="2">
      <x v="15"/>
    </i>
    <i r="2">
      <x v="156"/>
    </i>
    <i r="1">
      <x v="8"/>
      <x v="1"/>
    </i>
    <i r="2">
      <x v="138"/>
    </i>
    <i r="1">
      <x v="10"/>
      <x v="109"/>
    </i>
    <i r="1">
      <x v="11"/>
      <x v="11"/>
    </i>
    <i r="2">
      <x v="45"/>
    </i>
    <i r="2">
      <x v="104"/>
    </i>
    <i r="2">
      <x v="134"/>
    </i>
    <i r="2">
      <x v="159"/>
    </i>
    <i r="1">
      <x v="16"/>
      <x v="14"/>
    </i>
    <i r="2">
      <x v="47"/>
    </i>
    <i r="2">
      <x v="48"/>
    </i>
    <i r="2">
      <x v="89"/>
    </i>
    <i r="2">
      <x v="91"/>
    </i>
    <i r="2">
      <x v="93"/>
    </i>
    <i r="2">
      <x v="96"/>
    </i>
    <i r="2">
      <x v="97"/>
    </i>
    <i r="2">
      <x v="105"/>
    </i>
    <i r="2">
      <x v="127"/>
    </i>
    <i r="2">
      <x v="144"/>
    </i>
    <i r="2">
      <x v="153"/>
    </i>
    <i r="2">
      <x v="154"/>
    </i>
    <i t="blank">
      <x v="18"/>
    </i>
    <i>
      <x v="19"/>
    </i>
    <i r="1">
      <x/>
      <x v="131"/>
    </i>
    <i r="1">
      <x v="1"/>
      <x v="3"/>
    </i>
    <i r="2">
      <x v="134"/>
    </i>
    <i r="2">
      <x v="145"/>
    </i>
    <i r="1">
      <x v="4"/>
      <x v="1"/>
    </i>
    <i r="2">
      <x v="4"/>
    </i>
    <i r="2">
      <x v="97"/>
    </i>
    <i r="2">
      <x v="98"/>
    </i>
    <i r="2">
      <x v="143"/>
    </i>
    <i r="1">
      <x v="9"/>
      <x v="7"/>
    </i>
    <i r="2">
      <x v="10"/>
    </i>
    <i r="2">
      <x v="96"/>
    </i>
    <i r="2">
      <x v="104"/>
    </i>
    <i r="1">
      <x v="13"/>
      <x v="5"/>
    </i>
    <i r="2">
      <x v="6"/>
    </i>
    <i r="2">
      <x v="14"/>
    </i>
    <i r="2">
      <x v="15"/>
    </i>
    <i r="2">
      <x v="17"/>
    </i>
    <i r="2">
      <x v="22"/>
    </i>
    <i r="2">
      <x v="67"/>
    </i>
    <i r="2">
      <x v="78"/>
    </i>
    <i r="2">
      <x v="92"/>
    </i>
    <i r="2">
      <x v="102"/>
    </i>
    <i r="2">
      <x v="114"/>
    </i>
    <i r="2">
      <x v="146"/>
    </i>
    <i r="2">
      <x v="160"/>
    </i>
    <i r="2">
      <x v="163"/>
    </i>
    <i r="2">
      <x v="166"/>
    </i>
    <i t="blank">
      <x v="19"/>
    </i>
    <i>
      <x v="20"/>
    </i>
    <i r="1">
      <x/>
      <x v="109"/>
    </i>
    <i r="1">
      <x v="1"/>
      <x v="131"/>
    </i>
    <i r="2">
      <x v="145"/>
    </i>
    <i r="1">
      <x v="3"/>
      <x v="96"/>
    </i>
    <i r="1">
      <x v="4"/>
      <x v="1"/>
    </i>
    <i r="2">
      <x v="106"/>
    </i>
    <i r="1">
      <x v="6"/>
      <x v="146"/>
    </i>
    <i r="1">
      <x v="7"/>
      <x v="4"/>
    </i>
    <i r="2">
      <x v="98"/>
    </i>
    <i r="2">
      <x v="135"/>
    </i>
    <i r="1">
      <x v="10"/>
      <x v="97"/>
    </i>
    <i r="2">
      <x v="134"/>
    </i>
    <i r="2">
      <x v="136"/>
    </i>
    <i r="2">
      <x v="138"/>
    </i>
    <i r="1">
      <x v="14"/>
      <x v="3"/>
    </i>
    <i r="2">
      <x v="15"/>
    </i>
    <i r="2">
      <x v="140"/>
    </i>
    <i r="2">
      <x v="143"/>
    </i>
    <i r="1">
      <x v="18"/>
      <x v="103"/>
    </i>
    <i r="2">
      <x v="127"/>
    </i>
    <i r="2">
      <x v="151"/>
    </i>
    <i r="2">
      <x v="166"/>
    </i>
    <i t="blank">
      <x v="20"/>
    </i>
    <i>
      <x v="21"/>
    </i>
    <i r="1">
      <x/>
      <x v="131"/>
    </i>
    <i r="1">
      <x v="1"/>
      <x v="132"/>
    </i>
    <i r="1">
      <x v="2"/>
      <x v="133"/>
    </i>
    <i r="1">
      <x v="3"/>
      <x v="138"/>
    </i>
    <i r="1">
      <x v="4"/>
      <x v="1"/>
    </i>
    <i r="2">
      <x v="96"/>
    </i>
    <i r="2">
      <x v="151"/>
    </i>
    <i r="1">
      <x v="7"/>
      <x v="4"/>
    </i>
    <i r="2">
      <x v="15"/>
    </i>
    <i r="2">
      <x v="21"/>
    </i>
    <i r="2">
      <x v="74"/>
    </i>
    <i r="2">
      <x v="77"/>
    </i>
    <i r="2">
      <x v="92"/>
    </i>
    <i r="2">
      <x v="93"/>
    </i>
    <i r="2">
      <x v="98"/>
    </i>
    <i r="2">
      <x v="106"/>
    </i>
    <i r="2">
      <x v="109"/>
    </i>
    <i r="2">
      <x v="134"/>
    </i>
    <i r="2">
      <x v="135"/>
    </i>
    <i r="2">
      <x v="145"/>
    </i>
    <i r="2">
      <x v="146"/>
    </i>
    <i r="2">
      <x v="149"/>
    </i>
    <i r="2">
      <x v="150"/>
    </i>
    <i r="2">
      <x v="152"/>
    </i>
    <i r="2">
      <x v="154"/>
    </i>
    <i r="2">
      <x v="156"/>
    </i>
    <i r="2">
      <x v="160"/>
    </i>
    <i t="blank">
      <x v="21"/>
    </i>
    <i>
      <x v="22"/>
    </i>
    <i r="1">
      <x/>
      <x v="131"/>
    </i>
    <i r="2">
      <x v="133"/>
    </i>
    <i r="2">
      <x v="145"/>
    </i>
    <i r="1">
      <x v="3"/>
      <x v="146"/>
    </i>
    <i r="1">
      <x v="4"/>
      <x v="96"/>
    </i>
    <i r="2">
      <x v="132"/>
    </i>
    <i r="1">
      <x v="6"/>
      <x v="6"/>
    </i>
    <i r="1">
      <x v="7"/>
      <x v="1"/>
    </i>
    <i r="2">
      <x v="98"/>
    </i>
    <i r="1">
      <x v="9"/>
      <x v="4"/>
    </i>
    <i r="2">
      <x v="17"/>
    </i>
    <i r="2">
      <x v="143"/>
    </i>
    <i r="1">
      <x v="12"/>
      <x v="11"/>
    </i>
    <i r="2">
      <x v="23"/>
    </i>
    <i r="2">
      <x v="52"/>
    </i>
    <i r="2">
      <x v="101"/>
    </i>
    <i r="2">
      <x v="106"/>
    </i>
    <i r="2">
      <x v="134"/>
    </i>
    <i r="2">
      <x v="135"/>
    </i>
    <i r="2">
      <x v="138"/>
    </i>
    <i r="2">
      <x v="157"/>
    </i>
    <i r="2">
      <x v="175"/>
    </i>
    <i t="blank">
      <x v="22"/>
    </i>
    <i>
      <x v="23"/>
    </i>
    <i r="1">
      <x/>
      <x v="131"/>
    </i>
    <i r="1">
      <x v="1"/>
      <x v="145"/>
    </i>
    <i r="1">
      <x v="2"/>
      <x v="146"/>
    </i>
    <i r="1">
      <x v="3"/>
      <x v="98"/>
    </i>
    <i r="1">
      <x v="4"/>
      <x v="96"/>
    </i>
    <i r="1">
      <x v="5"/>
      <x v="4"/>
    </i>
    <i r="1">
      <x v="6"/>
      <x v="106"/>
    </i>
    <i r="1">
      <x v="7"/>
      <x v="135"/>
    </i>
    <i r="1">
      <x v="8"/>
      <x v="116"/>
    </i>
    <i r="1">
      <x v="9"/>
      <x v="3"/>
    </i>
    <i r="1">
      <x v="10"/>
      <x v="15"/>
    </i>
    <i r="2">
      <x v="101"/>
    </i>
    <i r="2">
      <x v="134"/>
    </i>
    <i r="1">
      <x v="13"/>
      <x v="92"/>
    </i>
    <i r="1">
      <x v="14"/>
      <x v="1"/>
    </i>
    <i r="2">
      <x v="109"/>
    </i>
    <i r="2">
      <x v="138"/>
    </i>
    <i r="1">
      <x v="17"/>
      <x v="12"/>
    </i>
    <i r="2">
      <x v="99"/>
    </i>
    <i r="2">
      <x v="102"/>
    </i>
    <i r="2">
      <x v="166"/>
    </i>
    <i t="blank">
      <x v="23"/>
    </i>
    <i>
      <x v="24"/>
    </i>
    <i r="1">
      <x/>
      <x v="131"/>
    </i>
    <i r="1">
      <x v="1"/>
      <x v="134"/>
    </i>
    <i r="1">
      <x v="2"/>
      <x v="133"/>
    </i>
    <i r="2">
      <x v="151"/>
    </i>
    <i r="1">
      <x v="4"/>
      <x v="4"/>
    </i>
    <i r="2">
      <x v="79"/>
    </i>
    <i r="2">
      <x v="98"/>
    </i>
    <i r="2">
      <x v="143"/>
    </i>
    <i r="2">
      <x v="146"/>
    </i>
    <i r="1">
      <x v="9"/>
      <x v="96"/>
    </i>
    <i r="2">
      <x v="103"/>
    </i>
    <i r="2">
      <x v="116"/>
    </i>
    <i r="2">
      <x v="140"/>
    </i>
    <i r="1">
      <x v="13"/>
      <x v="3"/>
    </i>
    <i r="2">
      <x v="5"/>
    </i>
    <i r="2">
      <x v="6"/>
    </i>
    <i r="2">
      <x v="106"/>
    </i>
    <i r="2">
      <x v="109"/>
    </i>
    <i r="2">
      <x v="132"/>
    </i>
    <i r="2">
      <x v="135"/>
    </i>
    <i r="2">
      <x v="145"/>
    </i>
    <i r="2">
      <x v="174"/>
    </i>
    <i t="blank">
      <x v="24"/>
    </i>
    <i>
      <x v="25"/>
    </i>
    <i r="1">
      <x/>
      <x v="145"/>
    </i>
    <i r="1">
      <x v="1"/>
      <x v="4"/>
    </i>
    <i r="1">
      <x v="2"/>
      <x v="11"/>
    </i>
    <i r="2">
      <x v="135"/>
    </i>
    <i r="2">
      <x v="146"/>
    </i>
    <i r="1">
      <x v="5"/>
      <x v="1"/>
    </i>
    <i r="2">
      <x v="97"/>
    </i>
    <i r="2">
      <x v="101"/>
    </i>
    <i r="2">
      <x v="138"/>
    </i>
    <i r="1">
      <x v="9"/>
      <x v="96"/>
    </i>
    <i r="2">
      <x v="131"/>
    </i>
    <i r="2">
      <x v="134"/>
    </i>
    <i r="1">
      <x v="12"/>
      <x v="10"/>
    </i>
    <i r="2">
      <x v="12"/>
    </i>
    <i r="2">
      <x v="15"/>
    </i>
    <i r="2">
      <x v="98"/>
    </i>
    <i r="2">
      <x v="102"/>
    </i>
    <i r="2">
      <x v="136"/>
    </i>
    <i r="1">
      <x v="18"/>
      <x v="3"/>
    </i>
    <i r="2">
      <x v="30"/>
    </i>
    <i r="2">
      <x v="104"/>
    </i>
    <i r="2">
      <x v="105"/>
    </i>
    <i r="2">
      <x v="106"/>
    </i>
    <i r="2">
      <x v="107"/>
    </i>
    <i r="2">
      <x v="139"/>
    </i>
    <i r="2">
      <x v="154"/>
    </i>
    <i r="2">
      <x v="160"/>
    </i>
    <i r="2">
      <x v="166"/>
    </i>
    <i t="blank">
      <x v="25"/>
    </i>
    <i>
      <x v="26"/>
    </i>
    <i r="1">
      <x/>
      <x v="131"/>
    </i>
    <i r="1">
      <x v="1"/>
      <x v="15"/>
    </i>
    <i r="2">
      <x v="145"/>
    </i>
    <i r="2">
      <x v="146"/>
    </i>
    <i r="2">
      <x v="163"/>
    </i>
    <i r="2">
      <x v="167"/>
    </i>
    <i r="1">
      <x v="6"/>
      <x v="13"/>
    </i>
    <i r="2">
      <x v="17"/>
    </i>
    <i r="2">
      <x v="96"/>
    </i>
    <i r="2">
      <x v="99"/>
    </i>
    <i r="2">
      <x v="134"/>
    </i>
    <i r="2">
      <x v="135"/>
    </i>
    <i r="1">
      <x v="12"/>
      <x v="1"/>
    </i>
    <i r="2">
      <x v="4"/>
    </i>
    <i r="2">
      <x v="23"/>
    </i>
    <i r="2">
      <x v="24"/>
    </i>
    <i r="2">
      <x v="25"/>
    </i>
    <i r="2">
      <x v="26"/>
    </i>
    <i r="2">
      <x v="31"/>
    </i>
    <i r="2">
      <x v="33"/>
    </i>
    <i r="2">
      <x v="34"/>
    </i>
    <i r="2">
      <x v="37"/>
    </i>
    <i r="2">
      <x v="51"/>
    </i>
    <i r="2">
      <x v="52"/>
    </i>
    <i r="2">
      <x v="57"/>
    </i>
    <i r="2">
      <x v="59"/>
    </i>
    <i r="2">
      <x v="62"/>
    </i>
    <i r="2">
      <x v="63"/>
    </i>
    <i r="2">
      <x v="72"/>
    </i>
    <i r="2">
      <x v="88"/>
    </i>
    <i r="2">
      <x v="104"/>
    </i>
    <i r="2">
      <x v="105"/>
    </i>
    <i r="2">
      <x v="109"/>
    </i>
    <i r="2">
      <x v="112"/>
    </i>
    <i r="2">
      <x v="123"/>
    </i>
    <i r="2">
      <x v="127"/>
    </i>
    <i r="2">
      <x v="136"/>
    </i>
    <i r="2">
      <x v="138"/>
    </i>
    <i r="2">
      <x v="144"/>
    </i>
    <i r="2">
      <x v="151"/>
    </i>
    <i r="2">
      <x v="154"/>
    </i>
    <i r="2">
      <x v="156"/>
    </i>
    <i r="2">
      <x v="171"/>
    </i>
    <i t="blank">
      <x v="26"/>
    </i>
    <i>
      <x v="27"/>
    </i>
    <i r="1">
      <x/>
      <x v="131"/>
    </i>
    <i r="1">
      <x v="1"/>
      <x v="146"/>
    </i>
    <i r="1">
      <x v="2"/>
      <x v="145"/>
    </i>
    <i r="1">
      <x v="3"/>
      <x v="3"/>
    </i>
    <i r="2">
      <x v="154"/>
    </i>
    <i r="1">
      <x v="5"/>
      <x v="135"/>
    </i>
    <i r="1">
      <x v="6"/>
      <x v="1"/>
    </i>
    <i r="2">
      <x v="134"/>
    </i>
    <i r="1">
      <x v="8"/>
      <x v="106"/>
    </i>
    <i r="1">
      <x v="9"/>
      <x v="136"/>
    </i>
    <i r="1">
      <x v="10"/>
      <x v="98"/>
    </i>
    <i r="2">
      <x v="156"/>
    </i>
    <i r="1">
      <x v="12"/>
      <x v="17"/>
    </i>
    <i r="2">
      <x v="89"/>
    </i>
    <i r="2">
      <x v="96"/>
    </i>
    <i r="2">
      <x v="166"/>
    </i>
    <i r="1">
      <x v="16"/>
      <x v="15"/>
    </i>
    <i r="2">
      <x v="118"/>
    </i>
    <i r="2">
      <x v="143"/>
    </i>
    <i r="2">
      <x v="159"/>
    </i>
    <i t="blank">
      <x v="27"/>
    </i>
    <i>
      <x v="28"/>
    </i>
    <i r="1">
      <x/>
      <x v="146"/>
    </i>
    <i r="1">
      <x v="1"/>
      <x v="145"/>
    </i>
    <i r="1">
      <x v="2"/>
      <x v="139"/>
    </i>
    <i r="1">
      <x v="3"/>
      <x v="116"/>
    </i>
    <i r="1">
      <x v="4"/>
      <x v="138"/>
    </i>
    <i r="1">
      <x v="5"/>
      <x v="1"/>
    </i>
    <i r="1">
      <x v="6"/>
      <x v="109"/>
    </i>
    <i r="2">
      <x v="135"/>
    </i>
    <i r="1">
      <x v="8"/>
      <x v="98"/>
    </i>
    <i r="1">
      <x v="9"/>
      <x v="11"/>
    </i>
    <i r="2">
      <x v="102"/>
    </i>
    <i r="2">
      <x v="106"/>
    </i>
    <i r="2">
      <x v="115"/>
    </i>
    <i r="1">
      <x v="13"/>
      <x v="4"/>
    </i>
    <i r="2">
      <x v="97"/>
    </i>
    <i r="1">
      <x v="15"/>
      <x v="15"/>
    </i>
    <i r="2">
      <x v="89"/>
    </i>
    <i r="2">
      <x v="144"/>
    </i>
    <i r="2">
      <x v="175"/>
    </i>
    <i r="1">
      <x v="19"/>
      <x v="3"/>
    </i>
    <i r="2">
      <x v="96"/>
    </i>
    <i r="2">
      <x v="99"/>
    </i>
    <i r="2">
      <x v="101"/>
    </i>
    <i r="2">
      <x v="156"/>
    </i>
    <i t="blank">
      <x v="28"/>
    </i>
    <i>
      <x v="29"/>
    </i>
    <i r="1">
      <x/>
      <x v="78"/>
    </i>
    <i r="1">
      <x v="1"/>
      <x v="1"/>
    </i>
    <i r="2">
      <x v="17"/>
    </i>
    <i r="2">
      <x v="99"/>
    </i>
    <i r="2">
      <x v="154"/>
    </i>
    <i r="1">
      <x v="5"/>
      <x v="3"/>
    </i>
    <i r="2">
      <x v="4"/>
    </i>
    <i r="2">
      <x v="48"/>
    </i>
    <i r="2">
      <x v="97"/>
    </i>
    <i r="2">
      <x v="105"/>
    </i>
    <i r="2">
      <x v="134"/>
    </i>
    <i r="2">
      <x v="166"/>
    </i>
    <i r="1">
      <x v="12"/>
      <x v="12"/>
    </i>
    <i r="2">
      <x v="14"/>
    </i>
    <i r="2">
      <x v="15"/>
    </i>
    <i r="2">
      <x v="24"/>
    </i>
    <i r="2">
      <x v="32"/>
    </i>
    <i r="2">
      <x v="51"/>
    </i>
    <i r="2">
      <x v="61"/>
    </i>
    <i r="2">
      <x v="67"/>
    </i>
    <i r="2">
      <x v="86"/>
    </i>
    <i r="2">
      <x v="94"/>
    </i>
    <i r="2">
      <x v="95"/>
    </i>
    <i r="2">
      <x v="96"/>
    </i>
    <i r="2">
      <x v="98"/>
    </i>
    <i r="2">
      <x v="102"/>
    </i>
    <i r="2">
      <x v="106"/>
    </i>
    <i r="2">
      <x v="113"/>
    </i>
    <i r="2">
      <x v="126"/>
    </i>
    <i r="2">
      <x v="135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56"/>
    </i>
    <i r="2">
      <x v="162"/>
    </i>
    <i r="2">
      <x v="163"/>
    </i>
    <i r="2">
      <x v="175"/>
    </i>
    <i t="blank">
      <x v="29"/>
    </i>
    <i>
      <x v="30"/>
    </i>
    <i r="1">
      <x/>
      <x v="131"/>
    </i>
    <i r="1">
      <x v="1"/>
      <x v="97"/>
    </i>
    <i r="1">
      <x v="2"/>
      <x v="4"/>
    </i>
    <i r="1">
      <x v="3"/>
      <x v="98"/>
    </i>
    <i r="2">
      <x v="106"/>
    </i>
    <i r="2">
      <x v="145"/>
    </i>
    <i r="2">
      <x v="146"/>
    </i>
    <i r="1">
      <x v="7"/>
      <x v="3"/>
    </i>
    <i r="2">
      <x v="12"/>
    </i>
    <i r="2">
      <x v="15"/>
    </i>
    <i r="2">
      <x v="101"/>
    </i>
    <i r="2">
      <x v="134"/>
    </i>
    <i r="2">
      <x v="135"/>
    </i>
    <i r="2">
      <x v="160"/>
    </i>
    <i r="1">
      <x v="14"/>
      <x v="1"/>
    </i>
    <i r="2">
      <x v="11"/>
    </i>
    <i r="2">
      <x v="127"/>
    </i>
    <i r="2">
      <x v="129"/>
    </i>
    <i r="2">
      <x v="138"/>
    </i>
    <i r="2">
      <x v="139"/>
    </i>
    <i r="2">
      <x v="174"/>
    </i>
    <i t="blank">
      <x v="30"/>
    </i>
    <i>
      <x v="31"/>
    </i>
    <i r="1">
      <x/>
      <x v="134"/>
    </i>
    <i r="1">
      <x v="1"/>
      <x v="145"/>
    </i>
    <i r="2">
      <x v="146"/>
    </i>
    <i r="1">
      <x v="3"/>
      <x v="98"/>
    </i>
    <i r="1">
      <x v="4"/>
      <x v="3"/>
    </i>
    <i r="2">
      <x v="4"/>
    </i>
    <i r="2">
      <x v="97"/>
    </i>
    <i r="2">
      <x v="118"/>
    </i>
    <i r="2">
      <x v="131"/>
    </i>
    <i r="2">
      <x v="160"/>
    </i>
    <i r="1">
      <x v="10"/>
      <x v="10"/>
    </i>
    <i r="2">
      <x v="11"/>
    </i>
    <i r="2">
      <x v="14"/>
    </i>
    <i r="2">
      <x v="20"/>
    </i>
    <i r="2">
      <x v="21"/>
    </i>
    <i r="2">
      <x v="30"/>
    </i>
    <i r="2">
      <x v="32"/>
    </i>
    <i r="2">
      <x v="35"/>
    </i>
    <i r="2">
      <x v="66"/>
    </i>
    <i r="2">
      <x v="82"/>
    </i>
    <i r="2">
      <x v="92"/>
    </i>
    <i r="2">
      <x v="99"/>
    </i>
    <i r="2">
      <x v="103"/>
    </i>
    <i r="2">
      <x v="107"/>
    </i>
    <i r="2">
      <x v="109"/>
    </i>
    <i r="2">
      <x v="113"/>
    </i>
    <i r="2">
      <x v="125"/>
    </i>
    <i r="2">
      <x v="132"/>
    </i>
    <i r="2">
      <x v="133"/>
    </i>
    <i r="2">
      <x v="135"/>
    </i>
    <i r="2">
      <x v="143"/>
    </i>
    <i r="2">
      <x v="144"/>
    </i>
    <i r="2">
      <x v="166"/>
    </i>
    <i r="2">
      <x v="174"/>
    </i>
    <i t="blank">
      <x v="31"/>
    </i>
    <i>
      <x v="32"/>
    </i>
    <i r="1">
      <x/>
      <x v="6"/>
    </i>
    <i r="1">
      <x v="1"/>
      <x v="106"/>
    </i>
    <i r="2">
      <x v="131"/>
    </i>
    <i r="2">
      <x v="145"/>
    </i>
    <i r="1">
      <x v="4"/>
      <x v="146"/>
    </i>
    <i r="1">
      <x v="5"/>
      <x v="98"/>
    </i>
    <i r="2">
      <x v="134"/>
    </i>
    <i r="1">
      <x v="7"/>
      <x v="92"/>
    </i>
    <i r="2">
      <x v="101"/>
    </i>
    <i r="2">
      <x v="105"/>
    </i>
    <i r="2">
      <x v="135"/>
    </i>
    <i r="2">
      <x v="160"/>
    </i>
    <i r="2">
      <x v="166"/>
    </i>
    <i r="1">
      <x v="13"/>
      <x v="1"/>
    </i>
    <i r="2">
      <x v="21"/>
    </i>
    <i r="2">
      <x v="70"/>
    </i>
    <i r="2">
      <x v="79"/>
    </i>
    <i r="2">
      <x v="90"/>
    </i>
    <i r="2">
      <x v="96"/>
    </i>
    <i r="2">
      <x v="97"/>
    </i>
    <i r="2">
      <x v="109"/>
    </i>
    <i r="2">
      <x v="132"/>
    </i>
    <i r="2">
      <x v="139"/>
    </i>
    <i t="blank">
      <x v="32"/>
    </i>
    <i>
      <x v="33"/>
    </i>
    <i r="1">
      <x/>
      <x v="146"/>
    </i>
    <i r="1">
      <x v="1"/>
      <x v="22"/>
    </i>
    <i r="2">
      <x v="145"/>
    </i>
    <i r="1">
      <x v="3"/>
      <x v="1"/>
    </i>
    <i r="2">
      <x v="17"/>
    </i>
    <i r="2">
      <x v="105"/>
    </i>
    <i r="2">
      <x v="106"/>
    </i>
    <i r="2">
      <x v="131"/>
    </i>
    <i r="2">
      <x v="136"/>
    </i>
    <i r="2">
      <x v="148"/>
    </i>
    <i r="2">
      <x v="152"/>
    </i>
    <i r="1">
      <x v="11"/>
      <x v="4"/>
    </i>
    <i r="2">
      <x v="6"/>
    </i>
    <i r="2">
      <x v="11"/>
    </i>
    <i r="2">
      <x v="27"/>
    </i>
    <i r="2">
      <x v="35"/>
    </i>
    <i r="2">
      <x v="43"/>
    </i>
    <i r="2">
      <x v="45"/>
    </i>
    <i r="2">
      <x v="61"/>
    </i>
    <i r="2">
      <x v="72"/>
    </i>
    <i r="2">
      <x v="79"/>
    </i>
    <i r="2">
      <x v="87"/>
    </i>
    <i r="2">
      <x v="91"/>
    </i>
    <i r="2">
      <x v="92"/>
    </i>
    <i r="2">
      <x v="96"/>
    </i>
    <i r="2">
      <x v="97"/>
    </i>
    <i r="2">
      <x v="98"/>
    </i>
    <i r="2">
      <x v="104"/>
    </i>
    <i r="2">
      <x v="107"/>
    </i>
    <i r="2">
      <x v="110"/>
    </i>
    <i r="2">
      <x v="133"/>
    </i>
    <i r="2">
      <x v="134"/>
    </i>
    <i r="2">
      <x v="135"/>
    </i>
    <i r="2">
      <x v="138"/>
    </i>
    <i r="2">
      <x v="142"/>
    </i>
    <i r="2">
      <x v="163"/>
    </i>
    <i r="2">
      <x v="166"/>
    </i>
    <i r="2">
      <x v="174"/>
    </i>
    <i r="2">
      <x v="175"/>
    </i>
    <i t="blank">
      <x v="33"/>
    </i>
    <i>
      <x v="34"/>
    </i>
    <i r="1">
      <x/>
      <x v="145"/>
    </i>
    <i r="1">
      <x v="1"/>
      <x v="146"/>
    </i>
    <i r="1">
      <x v="2"/>
      <x v="4"/>
    </i>
    <i r="1">
      <x v="3"/>
      <x v="17"/>
    </i>
    <i r="2">
      <x v="99"/>
    </i>
    <i r="1">
      <x v="5"/>
      <x v="135"/>
    </i>
    <i r="1">
      <x v="6"/>
      <x v="97"/>
    </i>
    <i r="1">
      <x v="7"/>
      <x v="98"/>
    </i>
    <i r="1">
      <x v="8"/>
      <x v="105"/>
    </i>
    <i r="1">
      <x v="9"/>
      <x v="3"/>
    </i>
    <i r="2">
      <x v="12"/>
    </i>
    <i r="2">
      <x v="154"/>
    </i>
    <i r="1">
      <x v="12"/>
      <x v="15"/>
    </i>
    <i r="2">
      <x v="24"/>
    </i>
    <i r="2">
      <x v="42"/>
    </i>
    <i r="2">
      <x v="103"/>
    </i>
    <i r="2">
      <x v="134"/>
    </i>
    <i r="1">
      <x v="17"/>
      <x v="78"/>
    </i>
    <i r="2">
      <x v="89"/>
    </i>
    <i r="2">
      <x v="96"/>
    </i>
    <i r="2">
      <x v="101"/>
    </i>
    <i r="2">
      <x v="106"/>
    </i>
    <i r="2">
      <x v="116"/>
    </i>
    <i r="2">
      <x v="138"/>
    </i>
    <i t="blank">
      <x v="34"/>
    </i>
    <i>
      <x v="35"/>
    </i>
    <i r="1">
      <x/>
      <x v="116"/>
    </i>
    <i r="1">
      <x v="1"/>
      <x v="145"/>
    </i>
    <i r="1">
      <x v="2"/>
      <x v="1"/>
    </i>
    <i r="2">
      <x v="135"/>
    </i>
    <i r="1">
      <x v="4"/>
      <x v="17"/>
    </i>
    <i r="2">
      <x v="146"/>
    </i>
    <i r="1">
      <x v="6"/>
      <x v="154"/>
    </i>
    <i r="2">
      <x v="156"/>
    </i>
    <i r="2">
      <x v="166"/>
    </i>
    <i r="1">
      <x v="9"/>
      <x v="15"/>
    </i>
    <i r="1">
      <x v="10"/>
      <x v="143"/>
    </i>
    <i r="1">
      <x v="11"/>
      <x v="4"/>
    </i>
    <i r="2">
      <x v="127"/>
    </i>
    <i r="1">
      <x v="13"/>
      <x v="89"/>
    </i>
    <i r="2">
      <x v="159"/>
    </i>
    <i r="1">
      <x v="15"/>
      <x v="3"/>
    </i>
    <i r="2">
      <x v="7"/>
    </i>
    <i r="2">
      <x v="13"/>
    </i>
    <i r="2">
      <x v="14"/>
    </i>
    <i r="2">
      <x v="98"/>
    </i>
    <i r="2">
      <x v="99"/>
    </i>
    <i r="2">
      <x v="113"/>
    </i>
    <i r="2">
      <x v="138"/>
    </i>
    <i t="blank">
      <x v="35"/>
    </i>
    <i>
      <x v="36"/>
    </i>
    <i r="1">
      <x/>
      <x v="166"/>
    </i>
    <i r="1">
      <x v="1"/>
      <x v="146"/>
    </i>
    <i r="1">
      <x v="2"/>
      <x v="4"/>
    </i>
    <i r="2">
      <x v="145"/>
    </i>
    <i r="1">
      <x v="4"/>
      <x v="1"/>
    </i>
    <i r="2">
      <x v="17"/>
    </i>
    <i r="2">
      <x v="99"/>
    </i>
    <i r="1">
      <x v="7"/>
      <x v="73"/>
    </i>
    <i r="2">
      <x v="78"/>
    </i>
    <i r="2">
      <x v="134"/>
    </i>
    <i r="2">
      <x v="156"/>
    </i>
    <i r="1">
      <x v="11"/>
      <x v="10"/>
    </i>
    <i r="2">
      <x v="15"/>
    </i>
    <i r="2">
      <x v="38"/>
    </i>
    <i r="2">
      <x v="45"/>
    </i>
    <i r="2">
      <x v="76"/>
    </i>
    <i r="2">
      <x v="98"/>
    </i>
    <i r="2">
      <x v="102"/>
    </i>
    <i r="2">
      <x v="106"/>
    </i>
    <i r="2">
      <x v="135"/>
    </i>
    <i r="2">
      <x v="136"/>
    </i>
    <i r="2">
      <x v="143"/>
    </i>
    <i r="2">
      <x v="152"/>
    </i>
    <i r="2">
      <x v="155"/>
    </i>
    <i r="2">
      <x v="161"/>
    </i>
    <i t="blank">
      <x v="36"/>
    </i>
    <i>
      <x v="37"/>
    </i>
    <i r="1">
      <x/>
      <x v="3"/>
    </i>
    <i r="1">
      <x v="1"/>
      <x v="145"/>
    </i>
    <i r="1">
      <x v="2"/>
      <x v="12"/>
    </i>
    <i r="1">
      <x v="3"/>
      <x v="1"/>
    </i>
    <i r="2">
      <x v="146"/>
    </i>
    <i r="1">
      <x v="5"/>
      <x v="14"/>
    </i>
    <i r="2">
      <x v="51"/>
    </i>
    <i r="2">
      <x v="135"/>
    </i>
    <i r="1">
      <x v="8"/>
      <x v="4"/>
    </i>
    <i r="2">
      <x v="7"/>
    </i>
    <i r="2">
      <x v="8"/>
    </i>
    <i r="2">
      <x v="15"/>
    </i>
    <i r="2">
      <x v="29"/>
    </i>
    <i r="2">
      <x v="94"/>
    </i>
    <i r="2">
      <x v="96"/>
    </i>
    <i r="2">
      <x v="105"/>
    </i>
    <i r="2">
      <x v="154"/>
    </i>
    <i r="2">
      <x v="155"/>
    </i>
    <i r="2">
      <x v="166"/>
    </i>
    <i r="1">
      <x v="19"/>
      <x/>
    </i>
    <i r="2">
      <x v="6"/>
    </i>
    <i r="2">
      <x v="11"/>
    </i>
    <i r="2">
      <x v="13"/>
    </i>
    <i r="2">
      <x v="28"/>
    </i>
    <i r="2">
      <x v="40"/>
    </i>
    <i r="2">
      <x v="44"/>
    </i>
    <i r="2">
      <x v="46"/>
    </i>
    <i r="2">
      <x v="49"/>
    </i>
    <i r="2">
      <x v="50"/>
    </i>
    <i r="2">
      <x v="55"/>
    </i>
    <i r="2">
      <x v="57"/>
    </i>
    <i r="2">
      <x v="58"/>
    </i>
    <i r="2">
      <x v="61"/>
    </i>
    <i r="2">
      <x v="64"/>
    </i>
    <i r="2">
      <x v="73"/>
    </i>
    <i r="2">
      <x v="74"/>
    </i>
    <i r="2">
      <x v="81"/>
    </i>
    <i r="2">
      <x v="83"/>
    </i>
    <i r="2">
      <x v="89"/>
    </i>
    <i r="2">
      <x v="92"/>
    </i>
    <i r="2">
      <x v="93"/>
    </i>
    <i r="2">
      <x v="97"/>
    </i>
    <i r="2">
      <x v="98"/>
    </i>
    <i r="2">
      <x v="99"/>
    </i>
    <i r="2">
      <x v="100"/>
    </i>
    <i r="2">
      <x v="101"/>
    </i>
    <i r="2">
      <x v="104"/>
    </i>
    <i r="2">
      <x v="109"/>
    </i>
    <i r="2">
      <x v="110"/>
    </i>
    <i r="2">
      <x v="118"/>
    </i>
    <i r="2">
      <x v="127"/>
    </i>
    <i r="2">
      <x v="134"/>
    </i>
    <i r="2">
      <x v="137"/>
    </i>
    <i r="2">
      <x v="138"/>
    </i>
    <i r="2">
      <x v="139"/>
    </i>
    <i r="2">
      <x v="140"/>
    </i>
    <i r="2">
      <x v="143"/>
    </i>
    <i r="2">
      <x v="156"/>
    </i>
    <i r="2">
      <x v="157"/>
    </i>
    <i r="2">
      <x v="169"/>
    </i>
    <i t="blank">
      <x v="37"/>
    </i>
    <i>
      <x v="38"/>
    </i>
    <i r="1">
      <x/>
      <x v="146"/>
    </i>
    <i r="1">
      <x v="1"/>
      <x v="145"/>
    </i>
    <i r="1">
      <x v="2"/>
      <x v="3"/>
    </i>
    <i r="1">
      <x v="3"/>
      <x v="104"/>
    </i>
    <i r="2">
      <x v="138"/>
    </i>
    <i r="2">
      <x v="143"/>
    </i>
    <i r="1">
      <x v="6"/>
      <x v="4"/>
    </i>
    <i r="2">
      <x v="135"/>
    </i>
    <i r="2">
      <x v="166"/>
    </i>
    <i r="1">
      <x v="9"/>
      <x v="116"/>
    </i>
    <i r="1">
      <x v="10"/>
      <x v="15"/>
    </i>
    <i r="2">
      <x v="109"/>
    </i>
    <i r="2">
      <x v="127"/>
    </i>
    <i r="2">
      <x v="134"/>
    </i>
    <i r="2">
      <x v="153"/>
    </i>
    <i r="2">
      <x v="156"/>
    </i>
    <i r="1">
      <x v="16"/>
      <x v="1"/>
    </i>
    <i r="2">
      <x v="100"/>
    </i>
    <i r="2">
      <x v="113"/>
    </i>
    <i r="2">
      <x v="144"/>
    </i>
    <i t="blank">
      <x v="38"/>
    </i>
    <i>
      <x v="39"/>
    </i>
    <i r="1">
      <x/>
      <x v="146"/>
    </i>
    <i r="1">
      <x v="1"/>
      <x v="116"/>
    </i>
    <i r="1">
      <x v="2"/>
      <x v="135"/>
    </i>
    <i r="1">
      <x v="3"/>
      <x v="145"/>
    </i>
    <i r="1">
      <x v="4"/>
      <x v="4"/>
    </i>
    <i r="1">
      <x v="5"/>
      <x v="139"/>
    </i>
    <i r="1">
      <x v="6"/>
      <x v="28"/>
    </i>
    <i r="2">
      <x v="98"/>
    </i>
    <i r="2">
      <x v="109"/>
    </i>
    <i r="2">
      <x v="138"/>
    </i>
    <i r="2">
      <x v="156"/>
    </i>
    <i r="2">
      <x v="166"/>
    </i>
    <i r="1">
      <x v="12"/>
      <x v="17"/>
    </i>
    <i r="2">
      <x v="97"/>
    </i>
    <i r="2">
      <x v="134"/>
    </i>
    <i r="1">
      <x v="15"/>
      <x v="1"/>
    </i>
    <i r="2">
      <x v="10"/>
    </i>
    <i r="2">
      <x v="96"/>
    </i>
    <i r="2">
      <x v="99"/>
    </i>
    <i r="2">
      <x v="154"/>
    </i>
    <i t="blank">
      <x v="39"/>
    </i>
    <i>
      <x v="40"/>
    </i>
    <i r="1">
      <x/>
      <x v="4"/>
    </i>
    <i r="1">
      <x v="1"/>
      <x v="1"/>
    </i>
    <i r="2">
      <x v="146"/>
    </i>
    <i r="1">
      <x v="3"/>
      <x v="145"/>
    </i>
    <i r="1">
      <x v="4"/>
      <x v="10"/>
    </i>
    <i r="2">
      <x v="101"/>
    </i>
    <i r="2">
      <x v="110"/>
    </i>
    <i r="2">
      <x v="134"/>
    </i>
    <i r="1">
      <x v="8"/>
      <x v="11"/>
    </i>
    <i r="2">
      <x v="14"/>
    </i>
    <i r="2">
      <x v="15"/>
    </i>
    <i r="2">
      <x v="98"/>
    </i>
    <i r="2">
      <x v="106"/>
    </i>
    <i r="2">
      <x v="135"/>
    </i>
    <i r="2">
      <x v="139"/>
    </i>
    <i r="2">
      <x v="156"/>
    </i>
    <i r="2">
      <x v="160"/>
    </i>
    <i r="1">
      <x v="17"/>
      <x v="95"/>
    </i>
    <i r="2">
      <x v="96"/>
    </i>
    <i r="2">
      <x v="116"/>
    </i>
    <i r="2">
      <x v="138"/>
    </i>
    <i r="2">
      <x v="166"/>
    </i>
    <i t="blank">
      <x v="40"/>
    </i>
    <i>
      <x v="41"/>
    </i>
    <i r="1">
      <x/>
      <x v="116"/>
    </i>
    <i r="1">
      <x v="1"/>
      <x v="146"/>
    </i>
    <i r="1">
      <x v="2"/>
      <x v="145"/>
    </i>
    <i r="1">
      <x v="3"/>
      <x v="4"/>
    </i>
    <i r="2">
      <x v="106"/>
    </i>
    <i r="1">
      <x v="5"/>
      <x v="1"/>
    </i>
    <i r="2">
      <x v="134"/>
    </i>
    <i r="1">
      <x v="7"/>
      <x v="109"/>
    </i>
    <i r="2">
      <x v="154"/>
    </i>
    <i r="1">
      <x v="9"/>
      <x v="97"/>
    </i>
    <i r="2">
      <x v="138"/>
    </i>
    <i r="2">
      <x v="139"/>
    </i>
    <i r="1">
      <x v="12"/>
      <x v="3"/>
    </i>
    <i r="2">
      <x v="15"/>
    </i>
    <i r="2">
      <x v="96"/>
    </i>
    <i r="1">
      <x v="15"/>
      <x v="98"/>
    </i>
    <i r="2">
      <x v="102"/>
    </i>
    <i r="2">
      <x v="135"/>
    </i>
    <i r="2">
      <x v="144"/>
    </i>
    <i r="2">
      <x v="148"/>
    </i>
    <i r="2">
      <x v="156"/>
    </i>
    <i t="blank">
      <x v="41"/>
    </i>
    <i>
      <x v="42"/>
    </i>
    <i r="1">
      <x/>
      <x v="4"/>
    </i>
    <i r="1">
      <x v="1"/>
      <x v="1"/>
    </i>
    <i r="2">
      <x v="6"/>
    </i>
    <i r="1">
      <x v="3"/>
      <x v="102"/>
    </i>
    <i r="2">
      <x v="106"/>
    </i>
    <i r="2">
      <x v="145"/>
    </i>
    <i r="1">
      <x v="6"/>
      <x v="7"/>
    </i>
    <i r="2">
      <x v="28"/>
    </i>
    <i r="2">
      <x v="96"/>
    </i>
    <i r="2">
      <x v="146"/>
    </i>
    <i r="1">
      <x v="10"/>
      <x v="15"/>
    </i>
    <i r="2">
      <x v="91"/>
    </i>
    <i r="2">
      <x v="92"/>
    </i>
    <i r="2">
      <x v="97"/>
    </i>
    <i r="2">
      <x v="115"/>
    </i>
    <i r="2">
      <x v="127"/>
    </i>
    <i r="2">
      <x v="134"/>
    </i>
    <i r="2">
      <x v="138"/>
    </i>
    <i r="2">
      <x v="143"/>
    </i>
    <i r="2">
      <x v="152"/>
    </i>
    <i t="blank">
      <x v="42"/>
    </i>
    <i>
      <x v="43"/>
    </i>
    <i r="1">
      <x/>
      <x v="146"/>
    </i>
    <i r="1">
      <x v="1"/>
      <x v="145"/>
    </i>
    <i r="1">
      <x v="2"/>
      <x v="1"/>
    </i>
    <i r="2">
      <x v="116"/>
    </i>
    <i r="1">
      <x v="4"/>
      <x v="4"/>
    </i>
    <i r="1">
      <x v="5"/>
      <x v="106"/>
    </i>
    <i r="2">
      <x v="109"/>
    </i>
    <i r="2">
      <x v="156"/>
    </i>
    <i r="1">
      <x v="8"/>
      <x v="28"/>
    </i>
    <i r="1">
      <x v="9"/>
      <x v="166"/>
    </i>
    <i r="1">
      <x v="10"/>
      <x v="98"/>
    </i>
    <i r="2">
      <x v="99"/>
    </i>
    <i r="2">
      <x v="135"/>
    </i>
    <i r="2">
      <x v="138"/>
    </i>
    <i r="1">
      <x v="14"/>
      <x v="131"/>
    </i>
    <i r="2">
      <x v="139"/>
    </i>
    <i r="1">
      <x v="16"/>
      <x v="17"/>
    </i>
    <i r="2">
      <x v="96"/>
    </i>
    <i r="2">
      <x v="105"/>
    </i>
    <i r="2">
      <x v="134"/>
    </i>
    <i r="2">
      <x v="152"/>
    </i>
    <i t="blank">
      <x v="43"/>
    </i>
    <i>
      <x v="44"/>
    </i>
    <i r="1">
      <x/>
      <x v="4"/>
    </i>
    <i r="1">
      <x v="1"/>
      <x v="146"/>
    </i>
    <i r="1">
      <x v="2"/>
      <x v="6"/>
    </i>
    <i r="1">
      <x v="3"/>
      <x v="1"/>
    </i>
    <i r="2">
      <x v="3"/>
    </i>
    <i r="2">
      <x v="15"/>
    </i>
    <i r="2">
      <x v="98"/>
    </i>
    <i r="1">
      <x v="7"/>
      <x v="135"/>
    </i>
    <i r="2">
      <x v="145"/>
    </i>
    <i r="2">
      <x v="154"/>
    </i>
    <i r="2">
      <x v="156"/>
    </i>
    <i r="2">
      <x v="166"/>
    </i>
    <i r="1">
      <x v="12"/>
      <x v="99"/>
    </i>
    <i r="2">
      <x v="134"/>
    </i>
    <i r="1">
      <x v="14"/>
      <x v="11"/>
    </i>
    <i r="2">
      <x v="14"/>
    </i>
    <i r="2">
      <x v="39"/>
    </i>
    <i r="2">
      <x v="97"/>
    </i>
    <i r="2">
      <x v="105"/>
    </i>
    <i r="2">
      <x v="120"/>
    </i>
    <i r="2">
      <x v="127"/>
    </i>
    <i r="2">
      <x v="148"/>
    </i>
    <i r="2">
      <x v="153"/>
    </i>
    <i t="blank">
      <x v="44"/>
    </i>
    <i>
      <x v="45"/>
    </i>
    <i r="1">
      <x/>
      <x v="145"/>
    </i>
    <i r="1">
      <x v="1"/>
      <x v="28"/>
    </i>
    <i r="2">
      <x v="98"/>
    </i>
    <i r="1">
      <x v="3"/>
      <x v="4"/>
    </i>
    <i r="2">
      <x v="166"/>
    </i>
    <i r="1">
      <x v="5"/>
      <x v="1"/>
    </i>
    <i r="2">
      <x v="106"/>
    </i>
    <i r="2">
      <x v="134"/>
    </i>
    <i r="2">
      <x v="146"/>
    </i>
    <i r="1">
      <x v="9"/>
      <x v="11"/>
    </i>
    <i r="2">
      <x v="96"/>
    </i>
    <i r="1">
      <x v="11"/>
      <x v="3"/>
    </i>
    <i r="2">
      <x v="17"/>
    </i>
    <i r="2">
      <x v="97"/>
    </i>
    <i r="2">
      <x v="142"/>
    </i>
    <i r="1">
      <x v="15"/>
      <x v="2"/>
    </i>
    <i r="2">
      <x v="6"/>
    </i>
    <i r="2">
      <x v="7"/>
    </i>
    <i r="2">
      <x v="12"/>
    </i>
    <i r="2">
      <x v="13"/>
    </i>
    <i r="2">
      <x v="14"/>
    </i>
    <i r="2">
      <x v="15"/>
    </i>
    <i r="2">
      <x v="16"/>
    </i>
    <i r="2">
      <x v="30"/>
    </i>
    <i r="2">
      <x v="55"/>
    </i>
    <i r="2">
      <x v="64"/>
    </i>
    <i r="2">
      <x v="93"/>
    </i>
    <i r="2">
      <x v="135"/>
    </i>
    <i r="2">
      <x v="138"/>
    </i>
    <i r="2">
      <x v="143"/>
    </i>
    <i r="2">
      <x v="155"/>
    </i>
    <i t="blank">
      <x v="45"/>
    </i>
    <i>
      <x v="46"/>
    </i>
    <i r="1">
      <x/>
      <x v="145"/>
    </i>
    <i r="1">
      <x v="1"/>
      <x v="146"/>
    </i>
    <i r="1">
      <x v="2"/>
      <x v="4"/>
    </i>
    <i r="1">
      <x v="3"/>
      <x v="28"/>
    </i>
    <i r="2">
      <x v="135"/>
    </i>
    <i r="1">
      <x v="5"/>
      <x v="1"/>
    </i>
    <i r="2">
      <x v="116"/>
    </i>
    <i r="1">
      <x v="7"/>
      <x v="96"/>
    </i>
    <i r="1">
      <x v="8"/>
      <x v="6"/>
    </i>
    <i r="2">
      <x v="12"/>
    </i>
    <i r="2">
      <x v="101"/>
    </i>
    <i r="2">
      <x v="156"/>
    </i>
    <i r="1">
      <x v="12"/>
      <x v="7"/>
    </i>
    <i r="2">
      <x v="13"/>
    </i>
    <i r="2">
      <x v="17"/>
    </i>
    <i r="2">
      <x v="73"/>
    </i>
    <i r="2">
      <x v="92"/>
    </i>
    <i r="2">
      <x v="104"/>
    </i>
    <i r="2">
      <x v="109"/>
    </i>
    <i r="2">
      <x v="127"/>
    </i>
    <i r="2">
      <x v="134"/>
    </i>
    <i r="2">
      <x v="139"/>
    </i>
    <i r="2">
      <x v="154"/>
    </i>
    <i r="2">
      <x v="160"/>
    </i>
    <i r="2">
      <x v="166"/>
    </i>
    <i t="blank">
      <x v="46"/>
    </i>
    <i>
      <x v="47"/>
    </i>
    <i r="1">
      <x/>
      <x v="1"/>
    </i>
    <i r="2">
      <x v="146"/>
    </i>
    <i r="1">
      <x v="2"/>
      <x v="4"/>
    </i>
    <i r="1">
      <x v="3"/>
      <x v="145"/>
    </i>
    <i r="1">
      <x v="4"/>
      <x v="97"/>
    </i>
    <i r="2">
      <x v="166"/>
    </i>
    <i r="1">
      <x v="6"/>
      <x v="12"/>
    </i>
    <i r="2">
      <x v="28"/>
    </i>
    <i r="2">
      <x v="96"/>
    </i>
    <i r="2">
      <x v="138"/>
    </i>
    <i r="1">
      <x v="10"/>
      <x v="3"/>
    </i>
    <i r="2">
      <x v="13"/>
    </i>
    <i r="2">
      <x v="15"/>
    </i>
    <i r="2">
      <x v="30"/>
    </i>
    <i r="2">
      <x v="35"/>
    </i>
    <i r="2">
      <x v="106"/>
    </i>
    <i r="1">
      <x v="16"/>
      <x v="93"/>
    </i>
    <i r="2">
      <x v="98"/>
    </i>
    <i r="2">
      <x v="134"/>
    </i>
    <i r="1">
      <x v="19"/>
      <x v="5"/>
    </i>
    <i r="2">
      <x v="6"/>
    </i>
    <i r="2">
      <x v="7"/>
    </i>
    <i r="2">
      <x v="10"/>
    </i>
    <i r="2">
      <x v="11"/>
    </i>
    <i r="2">
      <x v="16"/>
    </i>
    <i r="2">
      <x v="73"/>
    </i>
    <i r="2">
      <x v="79"/>
    </i>
    <i r="2">
      <x v="89"/>
    </i>
    <i r="2">
      <x v="99"/>
    </i>
    <i r="2">
      <x v="101"/>
    </i>
    <i r="2">
      <x v="104"/>
    </i>
    <i r="2">
      <x v="107"/>
    </i>
    <i r="2">
      <x v="131"/>
    </i>
    <i r="2">
      <x v="144"/>
    </i>
    <i r="2">
      <x v="155"/>
    </i>
    <i t="blank">
      <x v="47"/>
    </i>
    <i>
      <x v="48"/>
    </i>
    <i r="1">
      <x/>
      <x v="145"/>
    </i>
    <i r="1">
      <x v="1"/>
      <x v="146"/>
    </i>
    <i r="1">
      <x v="2"/>
      <x v="156"/>
    </i>
    <i r="1">
      <x v="3"/>
      <x v="1"/>
    </i>
    <i r="2">
      <x v="134"/>
    </i>
    <i r="1">
      <x v="5"/>
      <x v="106"/>
    </i>
    <i r="1">
      <x v="6"/>
      <x v="15"/>
    </i>
    <i r="1">
      <x v="7"/>
      <x v="3"/>
    </i>
    <i r="2">
      <x v="6"/>
    </i>
    <i r="2">
      <x v="116"/>
    </i>
    <i r="1">
      <x v="10"/>
      <x v="96"/>
    </i>
    <i r="2">
      <x v="97"/>
    </i>
    <i r="2">
      <x v="99"/>
    </i>
    <i r="2">
      <x v="127"/>
    </i>
    <i r="2">
      <x v="135"/>
    </i>
    <i r="2">
      <x v="166"/>
    </i>
    <i r="1">
      <x v="16"/>
      <x v="4"/>
    </i>
    <i r="2">
      <x v="98"/>
    </i>
    <i r="2">
      <x v="117"/>
    </i>
    <i r="2">
      <x v="131"/>
    </i>
    <i t="blank">
      <x v="48"/>
    </i>
    <i>
      <x v="49"/>
    </i>
    <i r="1">
      <x/>
      <x v="146"/>
    </i>
    <i r="1">
      <x v="1"/>
      <x v="145"/>
    </i>
    <i r="1">
      <x v="2"/>
      <x v="109"/>
    </i>
    <i r="1">
      <x v="3"/>
      <x v="4"/>
    </i>
    <i r="1">
      <x v="4"/>
      <x v="135"/>
    </i>
    <i r="1">
      <x v="5"/>
      <x v="1"/>
    </i>
    <i r="2">
      <x v="3"/>
    </i>
    <i r="2">
      <x v="96"/>
    </i>
    <i r="2">
      <x v="116"/>
    </i>
    <i r="2">
      <x v="156"/>
    </i>
    <i r="1">
      <x v="10"/>
      <x v="43"/>
    </i>
    <i r="2">
      <x v="98"/>
    </i>
    <i r="2">
      <x v="134"/>
    </i>
    <i r="2">
      <x v="144"/>
    </i>
    <i r="1">
      <x v="14"/>
      <x v="10"/>
    </i>
    <i r="2">
      <x v="15"/>
    </i>
    <i r="2">
      <x v="28"/>
    </i>
    <i r="2">
      <x v="89"/>
    </i>
    <i r="2">
      <x v="99"/>
    </i>
    <i r="2">
      <x v="105"/>
    </i>
    <i r="2">
      <x v="106"/>
    </i>
    <i r="2">
      <x v="131"/>
    </i>
    <i r="2">
      <x v="139"/>
    </i>
    <i r="2">
      <x v="166"/>
    </i>
    <i t="blank">
      <x v="49"/>
    </i>
    <i>
      <x v="50"/>
    </i>
    <i r="1">
      <x/>
      <x v="18"/>
    </i>
    <i r="1">
      <x v="1"/>
      <x v="80"/>
    </i>
    <i r="1">
      <x v="2"/>
      <x v="1"/>
    </i>
    <i r="2">
      <x v="131"/>
    </i>
    <i r="2">
      <x v="145"/>
    </i>
    <i r="1">
      <x v="5"/>
      <x v="15"/>
    </i>
    <i r="2">
      <x v="133"/>
    </i>
    <i r="2">
      <x v="134"/>
    </i>
    <i r="2">
      <x v="146"/>
    </i>
    <i r="1">
      <x v="9"/>
      <x v="4"/>
    </i>
    <i r="2">
      <x v="7"/>
    </i>
    <i r="2">
      <x v="14"/>
    </i>
    <i r="2">
      <x v="96"/>
    </i>
    <i r="2">
      <x v="102"/>
    </i>
    <i r="2">
      <x v="135"/>
    </i>
    <i r="1">
      <x v="15"/>
      <x v="6"/>
    </i>
    <i r="2">
      <x v="17"/>
    </i>
    <i r="2">
      <x v="45"/>
    </i>
    <i r="2">
      <x v="107"/>
    </i>
    <i r="2">
      <x v="109"/>
    </i>
    <i r="2">
      <x v="138"/>
    </i>
    <i r="2">
      <x v="154"/>
    </i>
    <i r="2">
      <x v="168"/>
    </i>
    <i r="2">
      <x v="174"/>
    </i>
    <i t="blank">
      <x v="50"/>
    </i>
    <i>
      <x v="51"/>
    </i>
    <i r="1">
      <x/>
      <x v="1"/>
    </i>
    <i r="2">
      <x v="146"/>
    </i>
    <i r="1">
      <x v="2"/>
      <x v="4"/>
    </i>
    <i r="2">
      <x v="134"/>
    </i>
    <i r="1">
      <x v="4"/>
      <x/>
    </i>
    <i r="2">
      <x v="80"/>
    </i>
    <i r="2">
      <x v="85"/>
    </i>
    <i r="2">
      <x v="97"/>
    </i>
    <i r="2">
      <x v="105"/>
    </i>
    <i r="2">
      <x v="119"/>
    </i>
    <i r="2">
      <x v="145"/>
    </i>
    <i r="1">
      <x v="11"/>
      <x v="5"/>
    </i>
    <i r="2">
      <x v="7"/>
    </i>
    <i r="2">
      <x v="19"/>
    </i>
    <i r="2">
      <x v="35"/>
    </i>
    <i r="2">
      <x v="99"/>
    </i>
    <i r="2">
      <x v="102"/>
    </i>
    <i r="2">
      <x v="104"/>
    </i>
    <i r="2">
      <x v="109"/>
    </i>
    <i r="2">
      <x v="115"/>
    </i>
    <i r="2">
      <x v="116"/>
    </i>
    <i r="2">
      <x v="127"/>
    </i>
    <i r="2">
      <x v="148"/>
    </i>
    <i r="2">
      <x v="163"/>
    </i>
    <i t="blank">
      <x v="51"/>
    </i>
    <i>
      <x v="52"/>
    </i>
    <i r="1">
      <x/>
      <x v="1"/>
    </i>
    <i r="1">
      <x v="1"/>
      <x v="14"/>
    </i>
    <i r="1">
      <x v="2"/>
      <x v="17"/>
    </i>
    <i r="2">
      <x v="80"/>
    </i>
    <i r="2">
      <x v="130"/>
    </i>
    <i r="1">
      <x v="5"/>
      <x/>
    </i>
    <i r="2">
      <x v="12"/>
    </i>
    <i r="2">
      <x v="18"/>
    </i>
    <i r="2">
      <x v="109"/>
    </i>
    <i r="2">
      <x v="119"/>
    </i>
    <i r="2">
      <x v="152"/>
    </i>
    <i r="2">
      <x v="155"/>
    </i>
    <i r="1">
      <x v="12"/>
      <x v="7"/>
    </i>
    <i r="2">
      <x v="11"/>
    </i>
    <i r="2">
      <x v="15"/>
    </i>
    <i r="2">
      <x v="16"/>
    </i>
    <i r="2">
      <x v="19"/>
    </i>
    <i r="2">
      <x v="41"/>
    </i>
    <i r="2">
      <x v="45"/>
    </i>
    <i r="2">
      <x v="51"/>
    </i>
    <i r="2">
      <x v="62"/>
    </i>
    <i r="2">
      <x v="68"/>
    </i>
    <i r="2">
      <x v="69"/>
    </i>
    <i r="2">
      <x v="71"/>
    </i>
    <i r="2">
      <x v="75"/>
    </i>
    <i r="2">
      <x v="106"/>
    </i>
    <i r="2">
      <x v="108"/>
    </i>
    <i r="2">
      <x v="110"/>
    </i>
    <i r="2">
      <x v="114"/>
    </i>
    <i r="2">
      <x v="121"/>
    </i>
    <i r="2">
      <x v="127"/>
    </i>
    <i r="2">
      <x v="128"/>
    </i>
    <i r="2">
      <x v="131"/>
    </i>
    <i r="2">
      <x v="136"/>
    </i>
    <i r="2">
      <x v="143"/>
    </i>
    <i r="2">
      <x v="145"/>
    </i>
    <i r="2">
      <x v="146"/>
    </i>
    <i r="2">
      <x v="148"/>
    </i>
    <i r="2">
      <x v="164"/>
    </i>
    <i r="2">
      <x v="166"/>
    </i>
    <i r="2">
      <x v="170"/>
    </i>
    <i r="2">
      <x v="172"/>
    </i>
    <i r="2">
      <x v="173"/>
    </i>
    <i t="blank">
      <x v="52"/>
    </i>
    <i>
      <x v="53"/>
    </i>
    <i r="1">
      <x/>
      <x v="28"/>
    </i>
    <i r="2">
      <x v="96"/>
    </i>
    <i r="1">
      <x v="2"/>
      <x v="17"/>
    </i>
    <i r="1">
      <x v="3"/>
      <x v="4"/>
    </i>
    <i r="2">
      <x v="98"/>
    </i>
    <i r="2">
      <x v="112"/>
    </i>
    <i r="2">
      <x v="138"/>
    </i>
    <i r="1">
      <x v="7"/>
      <x v="1"/>
    </i>
    <i r="2">
      <x v="3"/>
    </i>
    <i r="2">
      <x v="7"/>
    </i>
    <i r="2">
      <x v="9"/>
    </i>
    <i r="2">
      <x v="14"/>
    </i>
    <i r="2">
      <x v="15"/>
    </i>
    <i r="2">
      <x v="19"/>
    </i>
    <i r="2">
      <x v="23"/>
    </i>
    <i r="2">
      <x v="36"/>
    </i>
    <i r="2">
      <x v="43"/>
    </i>
    <i r="2">
      <x v="52"/>
    </i>
    <i r="2">
      <x v="91"/>
    </i>
    <i r="2">
      <x v="92"/>
    </i>
    <i r="2">
      <x v="93"/>
    </i>
    <i r="2">
      <x v="102"/>
    </i>
    <i r="2">
      <x v="103"/>
    </i>
    <i r="2">
      <x v="105"/>
    </i>
    <i r="2">
      <x v="131"/>
    </i>
    <i r="2">
      <x v="135"/>
    </i>
    <i r="2">
      <x v="139"/>
    </i>
    <i r="2">
      <x v="143"/>
    </i>
    <i r="2">
      <x v="144"/>
    </i>
    <i r="2">
      <x v="145"/>
    </i>
    <i r="2">
      <x v="158"/>
    </i>
    <i r="2">
      <x v="165"/>
    </i>
    <i r="2">
      <x v="166"/>
    </i>
    <i t="blank">
      <x v="53"/>
    </i>
    <i>
      <x v="54"/>
    </i>
    <i r="1">
      <x/>
      <x v="109"/>
    </i>
    <i r="1">
      <x v="1"/>
      <x v="1"/>
    </i>
    <i r="2">
      <x v="3"/>
    </i>
    <i r="2">
      <x v="43"/>
    </i>
    <i r="2">
      <x v="101"/>
    </i>
    <i r="2">
      <x v="140"/>
    </i>
    <i r="2">
      <x v="141"/>
    </i>
    <i r="2">
      <x v="160"/>
    </i>
    <i t="blank">
      <x v="54"/>
    </i>
    <i>
      <x v="55"/>
    </i>
    <i r="1">
      <x/>
      <x v="3"/>
    </i>
    <i r="2">
      <x v="7"/>
    </i>
    <i r="2">
      <x v="38"/>
    </i>
    <i t="blank">
      <x v="55"/>
    </i>
    <i>
      <x v="56"/>
    </i>
    <i r="1">
      <x/>
      <x v="135"/>
    </i>
    <i r="1">
      <x v="1"/>
      <x v="106"/>
    </i>
    <i r="2">
      <x v="166"/>
    </i>
    <i r="1">
      <x v="3"/>
      <x v="3"/>
    </i>
    <i r="2">
      <x v="7"/>
    </i>
    <i r="2">
      <x v="17"/>
    </i>
    <i r="2">
      <x v="102"/>
    </i>
    <i r="1">
      <x v="7"/>
      <x v="1"/>
    </i>
    <i r="2">
      <x v="2"/>
    </i>
    <i r="2">
      <x v="4"/>
    </i>
    <i r="2">
      <x v="5"/>
    </i>
    <i r="2">
      <x v="8"/>
    </i>
    <i r="2">
      <x v="13"/>
    </i>
    <i r="2">
      <x v="15"/>
    </i>
    <i r="2">
      <x v="18"/>
    </i>
    <i r="2">
      <x v="25"/>
    </i>
    <i r="2">
      <x v="28"/>
    </i>
    <i r="2">
      <x v="41"/>
    </i>
    <i r="2">
      <x v="42"/>
    </i>
    <i r="2">
      <x v="56"/>
    </i>
    <i r="2">
      <x v="68"/>
    </i>
    <i r="2">
      <x v="69"/>
    </i>
    <i r="2">
      <x v="96"/>
    </i>
    <i r="2">
      <x v="99"/>
    </i>
    <i r="2">
      <x v="116"/>
    </i>
    <i r="2">
      <x v="127"/>
    </i>
    <i r="2">
      <x v="134"/>
    </i>
    <i r="2">
      <x v="138"/>
    </i>
    <i r="2">
      <x v="142"/>
    </i>
    <i r="2">
      <x v="147"/>
    </i>
    <i r="2">
      <x v="155"/>
    </i>
    <i r="2">
      <x v="165"/>
    </i>
    <i r="2">
      <x v="173"/>
    </i>
    <i t="blank">
      <x v="56"/>
    </i>
    <i>
      <x v="57"/>
    </i>
    <i r="1">
      <x/>
      <x v="106"/>
    </i>
    <i r="1">
      <x v="1"/>
      <x/>
    </i>
    <i r="2">
      <x v="1"/>
    </i>
    <i r="2">
      <x v="7"/>
    </i>
    <i r="2">
      <x v="14"/>
    </i>
    <i r="2">
      <x v="24"/>
    </i>
    <i r="2">
      <x v="53"/>
    </i>
    <i r="2">
      <x v="111"/>
    </i>
    <i r="2">
      <x v="124"/>
    </i>
    <i r="2">
      <x v="152"/>
    </i>
    <i r="2">
      <x v="155"/>
    </i>
    <i t="blank">
      <x v="57"/>
    </i>
    <i>
      <x v="58"/>
    </i>
    <i r="1">
      <x/>
      <x v="1"/>
    </i>
    <i r="1">
      <x v="1"/>
      <x v="146"/>
    </i>
    <i r="1">
      <x v="2"/>
      <x v="145"/>
    </i>
    <i r="1">
      <x v="3"/>
      <x v="18"/>
    </i>
    <i r="1">
      <x v="4"/>
      <x v="51"/>
    </i>
    <i r="2">
      <x v="166"/>
    </i>
    <i r="1">
      <x v="6"/>
      <x v="4"/>
    </i>
    <i r="2">
      <x v="15"/>
    </i>
    <i r="2">
      <x v="86"/>
    </i>
    <i r="2">
      <x v="99"/>
    </i>
    <i r="2">
      <x v="135"/>
    </i>
    <i r="1">
      <x v="11"/>
      <x v="3"/>
    </i>
    <i r="2">
      <x v="8"/>
    </i>
    <i r="2">
      <x v="89"/>
    </i>
    <i r="2">
      <x v="97"/>
    </i>
    <i r="2">
      <x v="98"/>
    </i>
    <i r="2">
      <x v="149"/>
    </i>
    <i r="2">
      <x v="156"/>
    </i>
    <i r="1">
      <x v="18"/>
      <x v="12"/>
    </i>
    <i r="2">
      <x v="13"/>
    </i>
    <i r="2">
      <x v="17"/>
    </i>
    <i r="2">
      <x v="24"/>
    </i>
    <i r="2">
      <x v="46"/>
    </i>
    <i r="2">
      <x v="57"/>
    </i>
    <i r="2">
      <x v="65"/>
    </i>
    <i r="2">
      <x v="80"/>
    </i>
    <i r="2">
      <x v="96"/>
    </i>
    <i r="2">
      <x v="102"/>
    </i>
    <i r="2">
      <x v="127"/>
    </i>
    <i r="2">
      <x v="133"/>
    </i>
    <i r="2">
      <x v="134"/>
    </i>
    <i r="2">
      <x v="138"/>
    </i>
    <i r="2">
      <x v="140"/>
    </i>
    <i r="2">
      <x v="152"/>
    </i>
    <i r="2">
      <x v="154"/>
    </i>
    <i r="2">
      <x v="160"/>
    </i>
    <i r="2">
      <x v="163"/>
    </i>
    <i r="2">
      <x v="174"/>
    </i>
    <i t="blank">
      <x v="58"/>
    </i>
    <i>
      <x v="59"/>
    </i>
    <i r="1">
      <x/>
      <x v="99"/>
    </i>
    <i r="1">
      <x v="1"/>
      <x v="1"/>
    </i>
    <i r="2">
      <x v="6"/>
    </i>
    <i r="2">
      <x v="9"/>
    </i>
    <i r="2">
      <x v="11"/>
    </i>
    <i r="2">
      <x v="12"/>
    </i>
    <i r="2">
      <x v="15"/>
    </i>
    <i r="2">
      <x v="43"/>
    </i>
    <i r="2">
      <x v="106"/>
    </i>
    <i r="1">
      <x v="9"/>
      <x v="14"/>
    </i>
    <i r="2">
      <x v="48"/>
    </i>
    <i r="2">
      <x v="51"/>
    </i>
    <i r="2">
      <x v="54"/>
    </i>
    <i r="2">
      <x v="80"/>
    </i>
    <i r="2">
      <x v="109"/>
    </i>
    <i r="2">
      <x v="145"/>
    </i>
    <i r="2">
      <x v="156"/>
    </i>
    <i r="2">
      <x v="159"/>
    </i>
    <i r="2">
      <x v="169"/>
    </i>
    <i r="2">
      <x v="173"/>
    </i>
    <i t="blank">
      <x v="5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856">
      <pivotArea field="2" type="button" dataOnly="0" labelOnly="1" outline="0" axis="axisRow" fieldPosition="0"/>
    </format>
    <format dxfId="855">
      <pivotArea outline="0" fieldPosition="0">
        <references count="1">
          <reference field="4294967294" count="1">
            <x v="0"/>
          </reference>
        </references>
      </pivotArea>
    </format>
    <format dxfId="854">
      <pivotArea outline="0" fieldPosition="0">
        <references count="1">
          <reference field="4294967294" count="1">
            <x v="1"/>
          </reference>
        </references>
      </pivotArea>
    </format>
    <format dxfId="853">
      <pivotArea outline="0" fieldPosition="0">
        <references count="1">
          <reference field="4294967294" count="1">
            <x v="2"/>
          </reference>
        </references>
      </pivotArea>
    </format>
    <format dxfId="852">
      <pivotArea outline="0" fieldPosition="0">
        <references count="1">
          <reference field="4294967294" count="1">
            <x v="3"/>
          </reference>
        </references>
      </pivotArea>
    </format>
    <format dxfId="851">
      <pivotArea outline="0" fieldPosition="0">
        <references count="1">
          <reference field="4294967294" count="1">
            <x v="4"/>
          </reference>
        </references>
      </pivotArea>
    </format>
    <format dxfId="850">
      <pivotArea outline="0" fieldPosition="0">
        <references count="1">
          <reference field="4294967294" count="1">
            <x v="5"/>
          </reference>
        </references>
      </pivotArea>
    </format>
    <format dxfId="849">
      <pivotArea outline="0" fieldPosition="0">
        <references count="1">
          <reference field="4294967294" count="1">
            <x v="6"/>
          </reference>
        </references>
      </pivotArea>
    </format>
    <format dxfId="848">
      <pivotArea field="2" type="button" dataOnly="0" labelOnly="1" outline="0" axis="axisRow" fieldPosition="0"/>
    </format>
    <format dxfId="8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6">
      <pivotArea field="2" type="button" dataOnly="0" labelOnly="1" outline="0" axis="axisRow" fieldPosition="0"/>
    </format>
    <format dxfId="8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4">
      <pivotArea field="2" type="button" dataOnly="0" labelOnly="1" outline="0" axis="axisRow" fieldPosition="0"/>
    </format>
    <format dxfId="84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4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33B046-8BA6-45E7-82CB-E1EC0C2F3F4A}" name="LTBL_07000" displayName="LTBL_07000" ref="B4:I20" totalsRowCount="1">
  <autoFilter ref="B4:I19" xr:uid="{2833B046-8BA6-45E7-82CB-E1EC0C2F3F4A}"/>
  <tableColumns count="8">
    <tableColumn id="9" xr3:uid="{4C07CEB1-A4A9-476A-B750-7E9DAE839BB3}" name="産業大分類" totalsRowLabel="合計" totalsRowDxfId="839"/>
    <tableColumn id="10" xr3:uid="{56CC9F58-B709-42C6-8AAC-DCE2604EFA65}" name="総数／事業所数" totalsRowFunction="custom" totalsRowDxfId="838" dataCellStyle="桁区切り" totalsRowCellStyle="桁区切り">
      <totalsRowFormula>SUM(LTBL_07000[総数／事業所数])</totalsRowFormula>
    </tableColumn>
    <tableColumn id="11" xr3:uid="{3C33339B-03A1-4592-9CF1-03C7D64B6755}" name="総数／構成比" dataDxfId="837"/>
    <tableColumn id="12" xr3:uid="{CBC6A97A-DE56-4F8E-9BD7-8AF34F7AC4F7}" name="個人／事業所数" totalsRowFunction="sum" totalsRowDxfId="836" dataCellStyle="桁区切り" totalsRowCellStyle="桁区切り"/>
    <tableColumn id="13" xr3:uid="{753FCB3E-8C6A-47C6-9219-ED65E476B611}" name="個人／構成比" dataDxfId="835"/>
    <tableColumn id="14" xr3:uid="{BB934A75-9546-4EDF-8B16-F20C574A8FE6}" name="法人／事業所数" totalsRowFunction="sum" totalsRowDxfId="834" dataCellStyle="桁区切り" totalsRowCellStyle="桁区切り"/>
    <tableColumn id="15" xr3:uid="{8FC7FBA0-9F60-4057-90C4-A092046CCD52}" name="法人／構成比" dataDxfId="833"/>
    <tableColumn id="16" xr3:uid="{404EBB73-162B-4A40-A761-EDFCF571E180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BD8CB62-B564-4257-9EE9-20583DAEA26B}" name="LTBL_07203" displayName="LTBL_07203" ref="B4:I20" totalsRowCount="1">
  <autoFilter ref="B4:I19" xr:uid="{4BD8CB62-B564-4257-9EE9-20583DAEA26B}"/>
  <tableColumns count="8">
    <tableColumn id="9" xr3:uid="{E79188B1-D3C4-480D-B0B1-D53F663A6FAD}" name="産業大分類" totalsRowLabel="合計" totalsRowDxfId="797"/>
    <tableColumn id="10" xr3:uid="{93FB733F-2E89-4A38-8E1E-956A78669347}" name="総数／事業所数" totalsRowFunction="custom" totalsRowDxfId="796" dataCellStyle="桁区切り" totalsRowCellStyle="桁区切り">
      <totalsRowFormula>SUM(LTBL_07203[総数／事業所数])</totalsRowFormula>
    </tableColumn>
    <tableColumn id="11" xr3:uid="{E0F35DB7-06D3-48A3-AE5D-9E1FAFCF6311}" name="総数／構成比" dataDxfId="795"/>
    <tableColumn id="12" xr3:uid="{24D9049F-91A8-4381-9DD6-4A7BD550E455}" name="個人／事業所数" totalsRowFunction="sum" totalsRowDxfId="794" dataCellStyle="桁区切り" totalsRowCellStyle="桁区切り"/>
    <tableColumn id="13" xr3:uid="{C89EAC9F-2A29-4219-B945-B1DE113C3991}" name="個人／構成比" dataDxfId="793"/>
    <tableColumn id="14" xr3:uid="{4D216F13-9967-4D0E-B920-C2413C1C53F5}" name="法人／事業所数" totalsRowFunction="sum" totalsRowDxfId="792" dataCellStyle="桁区切り" totalsRowCellStyle="桁区切り"/>
    <tableColumn id="15" xr3:uid="{8E1DEDFB-F73B-44FE-AC4D-886E19120C72}" name="法人／構成比" dataDxfId="791"/>
    <tableColumn id="16" xr3:uid="{480C79FA-4058-40FC-B09A-7920CB294FDE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3D3445C9-E4BE-43F0-B673-263DD62AA003}" name="LTBL_07446" displayName="LTBL_07446" ref="B4:I20" totalsRowCount="1">
  <autoFilter ref="B4:I19" xr:uid="{3D3445C9-E4BE-43F0-B673-263DD62AA003}"/>
  <tableColumns count="8">
    <tableColumn id="9" xr3:uid="{55A895AC-1F9F-4E9C-9590-0FE59BF1FA53}" name="産業大分類" totalsRowLabel="合計" totalsRowDxfId="377"/>
    <tableColumn id="10" xr3:uid="{E86E2FF4-1DEB-4F64-9781-E5343EB5A19F}" name="総数／事業所数" totalsRowFunction="custom" totalsRowDxfId="376" dataCellStyle="桁区切り" totalsRowCellStyle="桁区切り">
      <totalsRowFormula>SUM(LTBL_07446[総数／事業所数])</totalsRowFormula>
    </tableColumn>
    <tableColumn id="11" xr3:uid="{B855513F-A69E-49F6-AF46-CC0D4F847AF6}" name="総数／構成比" dataDxfId="375"/>
    <tableColumn id="12" xr3:uid="{97642F80-884A-4C27-8D92-75ACBA2C9D24}" name="個人／事業所数" totalsRowFunction="sum" totalsRowDxfId="374" dataCellStyle="桁区切り" totalsRowCellStyle="桁区切り"/>
    <tableColumn id="13" xr3:uid="{BAFCD81E-6AAF-4502-994C-EFEF552E8E53}" name="個人／構成比" dataDxfId="373"/>
    <tableColumn id="14" xr3:uid="{063DF147-63E6-4DF4-9DA1-F4C3DFCE89D7}" name="法人／事業所数" totalsRowFunction="sum" totalsRowDxfId="372" dataCellStyle="桁区切り" totalsRowCellStyle="桁区切り"/>
    <tableColumn id="15" xr3:uid="{42BFE94A-BD4C-4F58-AB9F-0461EB0FF8AC}" name="法人／構成比" dataDxfId="371"/>
    <tableColumn id="16" xr3:uid="{17E4C9C2-4A9F-466D-90CD-6E0845EE0395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5993263-C2A7-4CAA-9872-61403175C209}" name="M_TABLE_07446" displayName="M_TABLE_07446" ref="B23:I49" totalsRowShown="0">
  <autoFilter ref="B23:I49" xr:uid="{05993263-C2A7-4CAA-9872-61403175C209}"/>
  <tableColumns count="8">
    <tableColumn id="9" xr3:uid="{F69A95BC-196F-47A9-B520-14B59F484CF1}" name="産業中分類上位２０"/>
    <tableColumn id="10" xr3:uid="{4F9DEB4D-14EC-4DD3-BF6A-0217CB09ED6B}" name="総数／事業所数" dataCellStyle="桁区切り"/>
    <tableColumn id="11" xr3:uid="{F8C572F7-E4DF-41E2-8AAA-E365478346F4}" name="総数／構成比" dataDxfId="369"/>
    <tableColumn id="12" xr3:uid="{D53405FE-A811-4DE0-AC6E-02A513E6B061}" name="個人／事業所数" dataCellStyle="桁区切り"/>
    <tableColumn id="13" xr3:uid="{716C6D29-2DA9-4EFE-97DB-6FEAD9696942}" name="個人／構成比" dataDxfId="368"/>
    <tableColumn id="14" xr3:uid="{C8EA37E0-88D1-4FF2-9AF8-8867EDE3C3B5}" name="法人／事業所数" dataCellStyle="桁区切り"/>
    <tableColumn id="15" xr3:uid="{37A08A7D-538E-4AB8-8424-0E3DE113A351}" name="法人／構成比" dataDxfId="367"/>
    <tableColumn id="16" xr3:uid="{D3FABB10-F989-44C0-807A-41F079316D23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3E1EDBD-191A-4DBA-A65C-6C732F95F800}" name="S_TABLE_07446" displayName="S_TABLE_07446" ref="B52:I91" totalsRowShown="0">
  <autoFilter ref="B52:I91" xr:uid="{73E1EDBD-191A-4DBA-A65C-6C732F95F800}"/>
  <tableColumns count="8">
    <tableColumn id="9" xr3:uid="{5A0EA947-BB04-4632-B405-256FE63016A2}" name="産業小分類上位２０"/>
    <tableColumn id="10" xr3:uid="{AC701507-EB6F-4C93-9224-F2EF9B55C603}" name="総数／事業所数" dataCellStyle="桁区切り"/>
    <tableColumn id="11" xr3:uid="{D0BD427F-8E90-45AE-9564-72A51015BA34}" name="総数／構成比" dataDxfId="366"/>
    <tableColumn id="12" xr3:uid="{96C70E9F-F8D1-4564-8D41-6959BD6772C6}" name="個人／事業所数" dataCellStyle="桁区切り"/>
    <tableColumn id="13" xr3:uid="{D37EFBAC-3F7D-4DE9-8081-F610B45646CD}" name="個人／構成比" dataDxfId="365"/>
    <tableColumn id="14" xr3:uid="{0DA17C98-B096-4914-8377-B668E8C809AA}" name="法人／事業所数" dataCellStyle="桁区切り"/>
    <tableColumn id="15" xr3:uid="{3B95050C-7629-4C82-9446-6E64ADE0D7DD}" name="法人／構成比" dataDxfId="364"/>
    <tableColumn id="16" xr3:uid="{87FCCFC3-A724-4B8B-9AC2-4DFFBC4DA44F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925A646-23CF-46B1-9634-1AE15BD8E8F5}" name="LTBL_07447" displayName="LTBL_07447" ref="B4:I20" totalsRowCount="1">
  <autoFilter ref="B4:I19" xr:uid="{3925A646-23CF-46B1-9634-1AE15BD8E8F5}"/>
  <tableColumns count="8">
    <tableColumn id="9" xr3:uid="{8D031392-7230-40BD-9EC9-FA3B17640B44}" name="産業大分類" totalsRowLabel="合計" totalsRowDxfId="363"/>
    <tableColumn id="10" xr3:uid="{AFE5A492-D816-4A58-97BF-FBD88F3F3EA8}" name="総数／事業所数" totalsRowFunction="custom" totalsRowDxfId="362" dataCellStyle="桁区切り" totalsRowCellStyle="桁区切り">
      <totalsRowFormula>SUM(LTBL_07447[総数／事業所数])</totalsRowFormula>
    </tableColumn>
    <tableColumn id="11" xr3:uid="{8622BCF8-D0FC-4660-81AA-E690A4314C72}" name="総数／構成比" dataDxfId="361"/>
    <tableColumn id="12" xr3:uid="{198E0F7B-3C1A-4F58-8D43-6942ADAEEF0F}" name="個人／事業所数" totalsRowFunction="sum" totalsRowDxfId="360" dataCellStyle="桁区切り" totalsRowCellStyle="桁区切り"/>
    <tableColumn id="13" xr3:uid="{F6CE4EA2-4B0D-4DC1-8E51-D9A0BEBB04AA}" name="個人／構成比" dataDxfId="359"/>
    <tableColumn id="14" xr3:uid="{240FE4C2-05F2-48BA-B0AE-820262B9A58B}" name="法人／事業所数" totalsRowFunction="sum" totalsRowDxfId="358" dataCellStyle="桁区切り" totalsRowCellStyle="桁区切り"/>
    <tableColumn id="15" xr3:uid="{4D54FC6A-0286-4506-AECB-1C2948571BD4}" name="法人／構成比" dataDxfId="357"/>
    <tableColumn id="16" xr3:uid="{449569F5-5804-49FC-B8A3-29042073AAEA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67744D9B-D035-469C-8997-DFC811E1527F}" name="M_TABLE_07447" displayName="M_TABLE_07447" ref="B23:I43" totalsRowShown="0">
  <autoFilter ref="B23:I43" xr:uid="{67744D9B-D035-469C-8997-DFC811E1527F}"/>
  <tableColumns count="8">
    <tableColumn id="9" xr3:uid="{69035F4E-166C-473E-B9F8-87C69ECB120C}" name="産業中分類上位２０"/>
    <tableColumn id="10" xr3:uid="{6BD56163-F857-41C6-B77F-1B70457FAF44}" name="総数／事業所数" dataCellStyle="桁区切り"/>
    <tableColumn id="11" xr3:uid="{AB54CD12-749C-4D42-8505-792DA7B15459}" name="総数／構成比" dataDxfId="355"/>
    <tableColumn id="12" xr3:uid="{66450E1E-9B56-479D-ABBE-D40715812599}" name="個人／事業所数" dataCellStyle="桁区切り"/>
    <tableColumn id="13" xr3:uid="{6AD96772-D6C4-44C7-915F-5122B1E313F2}" name="個人／構成比" dataDxfId="354"/>
    <tableColumn id="14" xr3:uid="{CA33305C-8EDC-46D7-8BC2-FEB71701EC92}" name="法人／事業所数" dataCellStyle="桁区切り"/>
    <tableColumn id="15" xr3:uid="{DA6978AB-85E7-4EB3-BE48-EB20760ADABF}" name="法人／構成比" dataDxfId="353"/>
    <tableColumn id="16" xr3:uid="{5B98FAB3-F23B-4007-A9FB-9872F183FEEC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A86CF44-E8DD-4CFB-BC93-2A634F5C95EB}" name="S_TABLE_07447" displayName="S_TABLE_07447" ref="B46:I70" totalsRowShown="0">
  <autoFilter ref="B46:I70" xr:uid="{1A86CF44-E8DD-4CFB-BC93-2A634F5C95EB}"/>
  <tableColumns count="8">
    <tableColumn id="9" xr3:uid="{C330BD2F-0CED-4771-A130-64FCBC1A5E7D}" name="産業小分類上位２０"/>
    <tableColumn id="10" xr3:uid="{3ECD216E-E7A7-480B-AC92-F4D09ADE1F64}" name="総数／事業所数" dataCellStyle="桁区切り"/>
    <tableColumn id="11" xr3:uid="{F4567950-CE28-45EC-8B50-1437478CF453}" name="総数／構成比" dataDxfId="352"/>
    <tableColumn id="12" xr3:uid="{62398CBE-94A4-4B1F-86E7-DE9840BA7DC6}" name="個人／事業所数" dataCellStyle="桁区切り"/>
    <tableColumn id="13" xr3:uid="{FF839FFC-C99C-4E59-BB0F-489A2F1999E9}" name="個人／構成比" dataDxfId="351"/>
    <tableColumn id="14" xr3:uid="{1F9E696C-A001-4510-9B1A-8B17DA4D0697}" name="法人／事業所数" dataCellStyle="桁区切り"/>
    <tableColumn id="15" xr3:uid="{610C5027-2C90-40DF-A434-B50C06F9DF4E}" name="法人／構成比" dataDxfId="350"/>
    <tableColumn id="16" xr3:uid="{6E102F00-C953-462D-8B81-274E9DCFB008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DC08932-3810-42AA-A8BA-982CA730BCE1}" name="LTBL_07461" displayName="LTBL_07461" ref="B4:I20" totalsRowCount="1">
  <autoFilter ref="B4:I19" xr:uid="{9DC08932-3810-42AA-A8BA-982CA730BCE1}"/>
  <tableColumns count="8">
    <tableColumn id="9" xr3:uid="{3770F877-9815-4CF8-80CF-A830388C5C55}" name="産業大分類" totalsRowLabel="合計" totalsRowDxfId="349"/>
    <tableColumn id="10" xr3:uid="{7494F0C9-EAF2-454A-8CDB-88CB69E834C1}" name="総数／事業所数" totalsRowFunction="custom" totalsRowDxfId="348" dataCellStyle="桁区切り" totalsRowCellStyle="桁区切り">
      <totalsRowFormula>SUM(LTBL_07461[総数／事業所数])</totalsRowFormula>
    </tableColumn>
    <tableColumn id="11" xr3:uid="{6B628E75-27FF-4190-A0F5-0A19D69646F5}" name="総数／構成比" dataDxfId="347"/>
    <tableColumn id="12" xr3:uid="{842F3201-BC01-4D2B-B2F8-06A0C60F1A85}" name="個人／事業所数" totalsRowFunction="sum" totalsRowDxfId="346" dataCellStyle="桁区切り" totalsRowCellStyle="桁区切り"/>
    <tableColumn id="13" xr3:uid="{012B6F9A-3287-45D0-9B41-3532CF6D18E6}" name="個人／構成比" dataDxfId="345"/>
    <tableColumn id="14" xr3:uid="{5EB62174-CF16-4651-927A-001EC19EF1D6}" name="法人／事業所数" totalsRowFunction="sum" totalsRowDxfId="344" dataCellStyle="桁区切り" totalsRowCellStyle="桁区切り"/>
    <tableColumn id="15" xr3:uid="{95864D0D-9387-49E0-BD27-B66F48A2CA6C}" name="法人／構成比" dataDxfId="343"/>
    <tableColumn id="16" xr3:uid="{ED5BB3A7-7427-4A84-B335-060B04C4A6EC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CC3C1E32-C45A-44E2-84D0-3559A595CA83}" name="M_TABLE_07461" displayName="M_TABLE_07461" ref="B23:I45" totalsRowShown="0">
  <autoFilter ref="B23:I45" xr:uid="{CC3C1E32-C45A-44E2-84D0-3559A595CA83}"/>
  <tableColumns count="8">
    <tableColumn id="9" xr3:uid="{1E01090D-AD61-44E7-895C-DFC56A7CDDD0}" name="産業中分類上位２０"/>
    <tableColumn id="10" xr3:uid="{551BC9FA-EBF0-4EFB-ACFC-5F1770BB4AA7}" name="総数／事業所数" dataCellStyle="桁区切り"/>
    <tableColumn id="11" xr3:uid="{9715F86B-58B7-424A-8E8E-584B1326979B}" name="総数／構成比" dataDxfId="341"/>
    <tableColumn id="12" xr3:uid="{0A4F8982-7464-459D-8401-2C1B6EED85F5}" name="個人／事業所数" dataCellStyle="桁区切り"/>
    <tableColumn id="13" xr3:uid="{A562AFB5-CBFE-4025-89CC-34430617C48A}" name="個人／構成比" dataDxfId="340"/>
    <tableColumn id="14" xr3:uid="{C3386239-B90B-4021-AE02-53D7E4479C09}" name="法人／事業所数" dataCellStyle="桁区切り"/>
    <tableColumn id="15" xr3:uid="{35DC7030-6ECC-46A1-BBD9-7641EE20C9FA}" name="法人／構成比" dataDxfId="339"/>
    <tableColumn id="16" xr3:uid="{07FA79A1-4A40-44C5-8F5F-E1E8F9300BC8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3611D69B-3BF5-478D-BF70-D9B04AE31AB0}" name="S_TABLE_07461" displayName="S_TABLE_07461" ref="B48:I71" totalsRowShown="0">
  <autoFilter ref="B48:I71" xr:uid="{3611D69B-3BF5-478D-BF70-D9B04AE31AB0}"/>
  <tableColumns count="8">
    <tableColumn id="9" xr3:uid="{DCC992D0-9FCA-47B5-8653-31E9A6D04B8C}" name="産業小分類上位２０"/>
    <tableColumn id="10" xr3:uid="{EB91A49C-5BAD-48D2-9FE8-81AB7B2A7FE3}" name="総数／事業所数" dataCellStyle="桁区切り"/>
    <tableColumn id="11" xr3:uid="{D0FEDD6B-DB0D-4AE1-8812-6765AF3C032B}" name="総数／構成比" dataDxfId="338"/>
    <tableColumn id="12" xr3:uid="{CB721882-7D63-4163-AC49-660AB0EB5D71}" name="個人／事業所数" dataCellStyle="桁区切り"/>
    <tableColumn id="13" xr3:uid="{BE4717BE-34BA-4F79-BDA2-294C5EAC2280}" name="個人／構成比" dataDxfId="337"/>
    <tableColumn id="14" xr3:uid="{48583C0B-274E-430A-BA0B-DC0B5F76C126}" name="法人／事業所数" dataCellStyle="桁区切り"/>
    <tableColumn id="15" xr3:uid="{3FCC959D-BC3B-4D9D-AD33-4FF21C60B78D}" name="法人／構成比" dataDxfId="336"/>
    <tableColumn id="16" xr3:uid="{17E3B9C0-333E-45BA-A276-E6F9AA141F79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8253C1E3-7E5E-4B44-9E8E-1922F69090F2}" name="LTBL_07464" displayName="LTBL_07464" ref="B4:I20" totalsRowCount="1">
  <autoFilter ref="B4:I19" xr:uid="{8253C1E3-7E5E-4B44-9E8E-1922F69090F2}"/>
  <tableColumns count="8">
    <tableColumn id="9" xr3:uid="{8B6D08A4-021B-4373-B55E-3892F90912B4}" name="産業大分類" totalsRowLabel="合計" totalsRowDxfId="335"/>
    <tableColumn id="10" xr3:uid="{4D6C233C-F289-48A7-9F99-1F6C6925015D}" name="総数／事業所数" totalsRowFunction="custom" totalsRowDxfId="334" dataCellStyle="桁区切り" totalsRowCellStyle="桁区切り">
      <totalsRowFormula>SUM(LTBL_07464[総数／事業所数])</totalsRowFormula>
    </tableColumn>
    <tableColumn id="11" xr3:uid="{FEE446D6-A090-4FC4-8667-C580F20AF47D}" name="総数／構成比" dataDxfId="333"/>
    <tableColumn id="12" xr3:uid="{01BDC76A-EA26-42A2-A596-35DCA780B5BD}" name="個人／事業所数" totalsRowFunction="sum" totalsRowDxfId="332" dataCellStyle="桁区切り" totalsRowCellStyle="桁区切り"/>
    <tableColumn id="13" xr3:uid="{09BAB5EF-428F-4A0D-A91A-7B4DA04A25F8}" name="個人／構成比" dataDxfId="331"/>
    <tableColumn id="14" xr3:uid="{8638DDEC-B714-4277-98E5-C88655C74F00}" name="法人／事業所数" totalsRowFunction="sum" totalsRowDxfId="330" dataCellStyle="桁区切り" totalsRowCellStyle="桁区切り"/>
    <tableColumn id="15" xr3:uid="{1340D5E1-8E6C-4C6B-ADCC-A4905B53CEF1}" name="法人／構成比" dataDxfId="329"/>
    <tableColumn id="16" xr3:uid="{B7555214-7B73-446E-B544-6615EA9386A5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3A67841-B5D7-497D-A2F6-F4BE5866125E}" name="M_TABLE_07203" displayName="M_TABLE_07203" ref="B23:I43" totalsRowShown="0">
  <autoFilter ref="B23:I43" xr:uid="{03A67841-B5D7-497D-A2F6-F4BE5866125E}"/>
  <tableColumns count="8">
    <tableColumn id="9" xr3:uid="{AEAB778F-C592-4A34-8373-A199308AC2F3}" name="産業中分類上位２０"/>
    <tableColumn id="10" xr3:uid="{584C84CE-4C93-4E9B-A0B2-28B8C45117C7}" name="総数／事業所数" dataCellStyle="桁区切り"/>
    <tableColumn id="11" xr3:uid="{B6EE9A50-7905-48C0-81F8-A2C719EE294B}" name="総数／構成比" dataDxfId="789"/>
    <tableColumn id="12" xr3:uid="{55571DF6-6F82-4D46-B1A3-4234A6764336}" name="個人／事業所数" dataCellStyle="桁区切り"/>
    <tableColumn id="13" xr3:uid="{18AF48FC-DFFD-4A91-A07B-A6E9B94DA748}" name="個人／構成比" dataDxfId="788"/>
    <tableColumn id="14" xr3:uid="{B48BCF7B-3C22-44E6-BCA4-C313D96E4E57}" name="法人／事業所数" dataCellStyle="桁区切り"/>
    <tableColumn id="15" xr3:uid="{F1229A29-7805-4CEB-AD74-E83D608D6F38}" name="法人／構成比" dataDxfId="787"/>
    <tableColumn id="16" xr3:uid="{D899D5F0-CFEF-4E71-9F2F-C04BECF2B5EE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001899D-77E0-414D-90F1-C1F9DA378617}" name="M_TABLE_07464" displayName="M_TABLE_07464" ref="B23:I45" totalsRowShown="0">
  <autoFilter ref="B23:I45" xr:uid="{4001899D-77E0-414D-90F1-C1F9DA378617}"/>
  <tableColumns count="8">
    <tableColumn id="9" xr3:uid="{2DFB0D70-A998-4623-B1FE-A86B3D482500}" name="産業中分類上位２０"/>
    <tableColumn id="10" xr3:uid="{222FB128-707A-49E9-81D7-228800295A77}" name="総数／事業所数" dataCellStyle="桁区切り"/>
    <tableColumn id="11" xr3:uid="{5D743422-EC7F-48E3-B70D-F13580945732}" name="総数／構成比" dataDxfId="327"/>
    <tableColumn id="12" xr3:uid="{9BB419CD-A2CF-47E4-B4ED-82903F0A4BEB}" name="個人／事業所数" dataCellStyle="桁区切り"/>
    <tableColumn id="13" xr3:uid="{81D8461B-6D6D-49BF-AF6C-A38D6AFE6F32}" name="個人／構成比" dataDxfId="326"/>
    <tableColumn id="14" xr3:uid="{B104DACD-A412-48E7-8BA9-04CCD8FA1D92}" name="法人／事業所数" dataCellStyle="桁区切り"/>
    <tableColumn id="15" xr3:uid="{3469E1BF-9706-4094-8D80-0C56B55E54DF}" name="法人／構成比" dataDxfId="325"/>
    <tableColumn id="16" xr3:uid="{F44D2FF8-3894-4DAD-BFA3-07A03B02EB8E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C6D0986-85BE-43D0-8A72-00A63BA87930}" name="S_TABLE_07464" displayName="S_TABLE_07464" ref="B48:I73" totalsRowShown="0">
  <autoFilter ref="B48:I73" xr:uid="{0C6D0986-85BE-43D0-8A72-00A63BA87930}"/>
  <tableColumns count="8">
    <tableColumn id="9" xr3:uid="{BC404B3A-CBD8-4AE6-811C-CC7975E4CDC0}" name="産業小分類上位２０"/>
    <tableColumn id="10" xr3:uid="{F3020FB5-B9C5-4602-A408-CE9238AA0C36}" name="総数／事業所数" dataCellStyle="桁区切り"/>
    <tableColumn id="11" xr3:uid="{D7BE921E-CAA5-4180-B936-CC4F36ED4CCE}" name="総数／構成比" dataDxfId="324"/>
    <tableColumn id="12" xr3:uid="{BC164BDF-4D9D-43FB-AA36-7E1A9398FEF8}" name="個人／事業所数" dataCellStyle="桁区切り"/>
    <tableColumn id="13" xr3:uid="{6ECC3C59-82A7-43EE-B64B-B2B44675326A}" name="個人／構成比" dataDxfId="323"/>
    <tableColumn id="14" xr3:uid="{63C486E4-9035-4AE7-8038-6DB8CD444E67}" name="法人／事業所数" dataCellStyle="桁区切り"/>
    <tableColumn id="15" xr3:uid="{8E25E2EE-9468-4BBE-9408-776372D74ED5}" name="法人／構成比" dataDxfId="322"/>
    <tableColumn id="16" xr3:uid="{BEAD3AF3-5E58-4D41-A56C-19F1120AC04F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FEDB953A-6C46-495B-88F5-A5B71F516144}" name="LTBL_07465" displayName="LTBL_07465" ref="B4:I20" totalsRowCount="1">
  <autoFilter ref="B4:I19" xr:uid="{FEDB953A-6C46-495B-88F5-A5B71F516144}"/>
  <tableColumns count="8">
    <tableColumn id="9" xr3:uid="{5FFE547A-36A0-43C9-8176-9DF4C166CA67}" name="産業大分類" totalsRowLabel="合計" totalsRowDxfId="321"/>
    <tableColumn id="10" xr3:uid="{86E2B5E8-EF62-47FD-84CC-654961BC576B}" name="総数／事業所数" totalsRowFunction="custom" totalsRowDxfId="320" dataCellStyle="桁区切り" totalsRowCellStyle="桁区切り">
      <totalsRowFormula>SUM(LTBL_07465[総数／事業所数])</totalsRowFormula>
    </tableColumn>
    <tableColumn id="11" xr3:uid="{638706CB-EA13-4F65-BD9C-53BCCDBC7C23}" name="総数／構成比" dataDxfId="319"/>
    <tableColumn id="12" xr3:uid="{D33F7783-098A-4C22-9A47-F8ED34E2D0FB}" name="個人／事業所数" totalsRowFunction="sum" totalsRowDxfId="318" dataCellStyle="桁区切り" totalsRowCellStyle="桁区切り"/>
    <tableColumn id="13" xr3:uid="{8B709F1D-8B04-4E54-85A5-4763F8011007}" name="個人／構成比" dataDxfId="317"/>
    <tableColumn id="14" xr3:uid="{B978C389-8C93-49FC-A4CA-74DA8F85816F}" name="法人／事業所数" totalsRowFunction="sum" totalsRowDxfId="316" dataCellStyle="桁区切り" totalsRowCellStyle="桁区切り"/>
    <tableColumn id="15" xr3:uid="{271BA7AA-577B-4CC5-9861-0B5CD4B13039}" name="法人／構成比" dataDxfId="315"/>
    <tableColumn id="16" xr3:uid="{3ADA8710-09B0-4BED-857F-B1978DDD662D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3F16A35C-7330-4FE7-9134-53DB1452B090}" name="M_TABLE_07465" displayName="M_TABLE_07465" ref="B23:I51" totalsRowShown="0">
  <autoFilter ref="B23:I51" xr:uid="{3F16A35C-7330-4FE7-9134-53DB1452B090}"/>
  <tableColumns count="8">
    <tableColumn id="9" xr3:uid="{07582AEA-3848-457C-BA65-B268F25C2A93}" name="産業中分類上位２０"/>
    <tableColumn id="10" xr3:uid="{57223E6F-F146-4F88-A2E8-FD4603F832B4}" name="総数／事業所数" dataCellStyle="桁区切り"/>
    <tableColumn id="11" xr3:uid="{BD18CD6E-E899-4DC3-AFE6-70ED5B4BDD68}" name="総数／構成比" dataDxfId="313"/>
    <tableColumn id="12" xr3:uid="{4BF4E916-A9FA-42B0-BFB2-3D101D6CECA7}" name="個人／事業所数" dataCellStyle="桁区切り"/>
    <tableColumn id="13" xr3:uid="{95A14D9E-4388-45A9-8442-728FD909CAA8}" name="個人／構成比" dataDxfId="312"/>
    <tableColumn id="14" xr3:uid="{B0EE82E8-B78D-4416-A932-E8F70CA7CE03}" name="法人／事業所数" dataCellStyle="桁区切り"/>
    <tableColumn id="15" xr3:uid="{049E8A37-1BF1-4417-8F7E-9D5D2E1CFAC4}" name="法人／構成比" dataDxfId="311"/>
    <tableColumn id="16" xr3:uid="{3039E315-2039-4F26-B3DD-147A0351E0B3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5F4160E1-E89E-48D8-9231-D84C0339422B}" name="S_TABLE_07465" displayName="S_TABLE_07465" ref="B54:I114" totalsRowShown="0">
  <autoFilter ref="B54:I114" xr:uid="{5F4160E1-E89E-48D8-9231-D84C0339422B}"/>
  <tableColumns count="8">
    <tableColumn id="9" xr3:uid="{6158A4BC-5D02-4386-A065-DA453849DFB0}" name="産業小分類上位２０"/>
    <tableColumn id="10" xr3:uid="{1587C1F1-D66E-499F-8BD0-E487EE2BF73F}" name="総数／事業所数" dataCellStyle="桁区切り"/>
    <tableColumn id="11" xr3:uid="{C31C513B-0F49-4B3E-9EA1-663DC6C67E8B}" name="総数／構成比" dataDxfId="310"/>
    <tableColumn id="12" xr3:uid="{1B375AD9-8551-4900-A3D6-7A1964FCF3F8}" name="個人／事業所数" dataCellStyle="桁区切り"/>
    <tableColumn id="13" xr3:uid="{EC961A8B-7D11-4A94-A20E-7D31EE6F6315}" name="個人／構成比" dataDxfId="309"/>
    <tableColumn id="14" xr3:uid="{457C4B12-2DA9-42F1-BA9D-4D7E6BA4A6E6}" name="法人／事業所数" dataCellStyle="桁区切り"/>
    <tableColumn id="15" xr3:uid="{F40B81C6-FE8E-4FEA-9B90-AA9CFE7EB670}" name="法人／構成比" dataDxfId="308"/>
    <tableColumn id="16" xr3:uid="{D75457EB-B3E3-4FC6-946B-14ABB3709724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D286642-BC3B-4E6B-851F-E99AF81FBF7D}" name="LTBL_07466" displayName="LTBL_07466" ref="B4:I20" totalsRowCount="1">
  <autoFilter ref="B4:I19" xr:uid="{DD286642-BC3B-4E6B-851F-E99AF81FBF7D}"/>
  <tableColumns count="8">
    <tableColumn id="9" xr3:uid="{1ED9D868-3366-4D20-AB5C-CFAF0EE67EC1}" name="産業大分類" totalsRowLabel="合計" totalsRowDxfId="307"/>
    <tableColumn id="10" xr3:uid="{FE0DFCFC-C5FD-4E50-8CFC-4873C84ADFB8}" name="総数／事業所数" totalsRowFunction="custom" totalsRowDxfId="306" dataCellStyle="桁区切り" totalsRowCellStyle="桁区切り">
      <totalsRowFormula>SUM(LTBL_07466[総数／事業所数])</totalsRowFormula>
    </tableColumn>
    <tableColumn id="11" xr3:uid="{03F8EFC9-C763-4056-BFD7-498EF80593E6}" name="総数／構成比" dataDxfId="305"/>
    <tableColumn id="12" xr3:uid="{2BD726B1-3E61-472E-B7BB-1816CD4F25D9}" name="個人／事業所数" totalsRowFunction="sum" totalsRowDxfId="304" dataCellStyle="桁区切り" totalsRowCellStyle="桁区切り"/>
    <tableColumn id="13" xr3:uid="{7BB4273D-1660-4A98-8325-47AAE334EDF8}" name="個人／構成比" dataDxfId="303"/>
    <tableColumn id="14" xr3:uid="{93B697FC-5EEA-4728-ADF5-D6B3A9D7A991}" name="法人／事業所数" totalsRowFunction="sum" totalsRowDxfId="302" dataCellStyle="桁区切り" totalsRowCellStyle="桁区切り"/>
    <tableColumn id="15" xr3:uid="{7CF573CB-055B-429C-8DCC-DBFB422CE33D}" name="法人／構成比" dataDxfId="301"/>
    <tableColumn id="16" xr3:uid="{AF72C25B-8B22-4CC0-A4E5-9FB5EA630BFB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7284174-0398-459D-A03D-FC739C78DECC}" name="M_TABLE_07466" displayName="M_TABLE_07466" ref="B23:I45" totalsRowShown="0">
  <autoFilter ref="B23:I45" xr:uid="{77284174-0398-459D-A03D-FC739C78DECC}"/>
  <tableColumns count="8">
    <tableColumn id="9" xr3:uid="{38CEB71A-2407-4584-8084-96C8DAD9E56C}" name="産業中分類上位２０"/>
    <tableColumn id="10" xr3:uid="{39C7C782-A71C-4D98-B952-37AAEBA6F422}" name="総数／事業所数" dataCellStyle="桁区切り"/>
    <tableColumn id="11" xr3:uid="{66BB8497-A60F-4B27-853C-EE2864294D0D}" name="総数／構成比" dataDxfId="299"/>
    <tableColumn id="12" xr3:uid="{30111AF0-E4DB-43D1-B133-BA63A68E485A}" name="個人／事業所数" dataCellStyle="桁区切り"/>
    <tableColumn id="13" xr3:uid="{25117005-9670-461B-95E1-EF58B282D480}" name="個人／構成比" dataDxfId="298"/>
    <tableColumn id="14" xr3:uid="{1124F0EC-C041-4FE3-8583-289C40EA1CB2}" name="法人／事業所数" dataCellStyle="桁区切り"/>
    <tableColumn id="15" xr3:uid="{9F34AC92-CBFE-468D-A298-5844F5831342}" name="法人／構成比" dataDxfId="297"/>
    <tableColumn id="16" xr3:uid="{10A2B6B7-D019-41FD-A141-D4838DD3594D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AF514A4D-7DCA-434B-B28F-97F566A36015}" name="S_TABLE_07466" displayName="S_TABLE_07466" ref="B48:I68" totalsRowShown="0">
  <autoFilter ref="B48:I68" xr:uid="{AF514A4D-7DCA-434B-B28F-97F566A36015}"/>
  <tableColumns count="8">
    <tableColumn id="9" xr3:uid="{4BCEAA87-20BB-45BC-8107-67F95FAB6B91}" name="産業小分類上位２０"/>
    <tableColumn id="10" xr3:uid="{582D5CD6-8015-4D72-B9AE-6FB9C987143C}" name="総数／事業所数" dataCellStyle="桁区切り"/>
    <tableColumn id="11" xr3:uid="{09B64C3D-9DA1-4C68-AF27-F07A8B79FFB7}" name="総数／構成比" dataDxfId="296"/>
    <tableColumn id="12" xr3:uid="{F8011CE6-D717-4E8D-9EF3-0ED3A21FC854}" name="個人／事業所数" dataCellStyle="桁区切り"/>
    <tableColumn id="13" xr3:uid="{5182F520-0AE1-48F3-BD2F-07F71256FFEC}" name="個人／構成比" dataDxfId="295"/>
    <tableColumn id="14" xr3:uid="{189ABD0E-B260-4EB6-86F0-E3D3C18BAEC3}" name="法人／事業所数" dataCellStyle="桁区切り"/>
    <tableColumn id="15" xr3:uid="{19BC1E6D-BDF7-450C-8185-33BE2F2FA2F0}" name="法人／構成比" dataDxfId="294"/>
    <tableColumn id="16" xr3:uid="{AF8B2D5D-9822-4A81-BE99-EEFEE57571C4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E93E7F8E-BC98-47AE-9B61-20B972957557}" name="LTBL_07481" displayName="LTBL_07481" ref="B4:I20" totalsRowCount="1">
  <autoFilter ref="B4:I19" xr:uid="{E93E7F8E-BC98-47AE-9B61-20B972957557}"/>
  <tableColumns count="8">
    <tableColumn id="9" xr3:uid="{C0654CCA-EBC5-4FAC-B2A5-8D0B8D3C0FB3}" name="産業大分類" totalsRowLabel="合計" totalsRowDxfId="293"/>
    <tableColumn id="10" xr3:uid="{450B3D1F-474A-49EB-AC60-B9F2D03840D3}" name="総数／事業所数" totalsRowFunction="custom" totalsRowDxfId="292" dataCellStyle="桁区切り" totalsRowCellStyle="桁区切り">
      <totalsRowFormula>SUM(LTBL_07481[総数／事業所数])</totalsRowFormula>
    </tableColumn>
    <tableColumn id="11" xr3:uid="{4E0FCD9C-28E1-4E75-B2EF-F8A1D32E394A}" name="総数／構成比" dataDxfId="291"/>
    <tableColumn id="12" xr3:uid="{188C43E3-06F2-4674-A5A0-21F9F0F03660}" name="個人／事業所数" totalsRowFunction="sum" totalsRowDxfId="290" dataCellStyle="桁区切り" totalsRowCellStyle="桁区切り"/>
    <tableColumn id="13" xr3:uid="{AE9FC28A-4DBD-4A32-A20F-1A22A33AEAEC}" name="個人／構成比" dataDxfId="289"/>
    <tableColumn id="14" xr3:uid="{44469C2D-8E63-46CE-A45F-85022443CA72}" name="法人／事業所数" totalsRowFunction="sum" totalsRowDxfId="288" dataCellStyle="桁区切り" totalsRowCellStyle="桁区切り"/>
    <tableColumn id="15" xr3:uid="{6519CF1C-0F4A-4047-BA00-64BC9B25059C}" name="法人／構成比" dataDxfId="287"/>
    <tableColumn id="16" xr3:uid="{6BE62BA2-9528-4BC9-B7A5-D4ADA6D68C87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264FA99-E422-47E4-B1D1-7360BE54BDF9}" name="M_TABLE_07481" displayName="M_TABLE_07481" ref="B23:I47" totalsRowShown="0">
  <autoFilter ref="B23:I47" xr:uid="{3264FA99-E422-47E4-B1D1-7360BE54BDF9}"/>
  <tableColumns count="8">
    <tableColumn id="9" xr3:uid="{F39E2917-DD3C-40E4-B426-45FEB8D2ABF8}" name="産業中分類上位２０"/>
    <tableColumn id="10" xr3:uid="{0E40BDF8-A068-4D78-BFF0-944EEC28E2C6}" name="総数／事業所数" dataCellStyle="桁区切り"/>
    <tableColumn id="11" xr3:uid="{199748FC-1D95-4996-86CC-E21A7EFFF6C9}" name="総数／構成比" dataDxfId="285"/>
    <tableColumn id="12" xr3:uid="{B771B2D4-C991-493A-AD20-1050028557B6}" name="個人／事業所数" dataCellStyle="桁区切り"/>
    <tableColumn id="13" xr3:uid="{9D3EB270-7149-4A61-BC40-61EF87428578}" name="個人／構成比" dataDxfId="284"/>
    <tableColumn id="14" xr3:uid="{F9C9D6D3-8750-4BEC-A9B3-CBE96FC65C4B}" name="法人／事業所数" dataCellStyle="桁区切り"/>
    <tableColumn id="15" xr3:uid="{0892E140-1C24-4877-88D9-386211B7284E}" name="法人／構成比" dataDxfId="283"/>
    <tableColumn id="16" xr3:uid="{34BE250A-C589-4F2E-B80D-F2AF1C557F0D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4B11707-F083-49D8-85A5-4A17DA7F172C}" name="S_TABLE_07203" displayName="S_TABLE_07203" ref="B46:I66" totalsRowShown="0">
  <autoFilter ref="B46:I66" xr:uid="{D4B11707-F083-49D8-85A5-4A17DA7F172C}"/>
  <tableColumns count="8">
    <tableColumn id="9" xr3:uid="{950CD368-B925-4EE5-A7E1-4A2FAB53D13C}" name="産業小分類上位２０"/>
    <tableColumn id="10" xr3:uid="{D69F7A2A-A06F-499F-8984-9551F2EF4C0A}" name="総数／事業所数" dataCellStyle="桁区切り"/>
    <tableColumn id="11" xr3:uid="{FB618288-76AD-4F2C-8FC4-E7FB328E2750}" name="総数／構成比" dataDxfId="786"/>
    <tableColumn id="12" xr3:uid="{3E7F703F-1F8B-41A9-A625-F20EDE9E5289}" name="個人／事業所数" dataCellStyle="桁区切り"/>
    <tableColumn id="13" xr3:uid="{A3B8A994-B53D-4017-A526-00586ED6DB01}" name="個人／構成比" dataDxfId="785"/>
    <tableColumn id="14" xr3:uid="{4CB6FA7D-2C70-46E4-9659-810267D1A73D}" name="法人／事業所数" dataCellStyle="桁区切り"/>
    <tableColumn id="15" xr3:uid="{08806A20-9D62-4510-BA1F-E032AFE4CF95}" name="法人／構成比" dataDxfId="784"/>
    <tableColumn id="16" xr3:uid="{C875E185-E290-4D08-A9A2-4296B7E9654B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9B0E4A5-71EE-4B4B-8D00-BE571E77F944}" name="S_TABLE_07481" displayName="S_TABLE_07481" ref="B50:I70" totalsRowShown="0">
  <autoFilter ref="B50:I70" xr:uid="{79B0E4A5-71EE-4B4B-8D00-BE571E77F944}"/>
  <tableColumns count="8">
    <tableColumn id="9" xr3:uid="{BFF30E54-CDF1-4249-A35C-9F81541726DD}" name="産業小分類上位２０"/>
    <tableColumn id="10" xr3:uid="{D5922E4B-1E80-4038-B39E-158569C07221}" name="総数／事業所数" dataCellStyle="桁区切り"/>
    <tableColumn id="11" xr3:uid="{6EA5CCE5-6AB2-40D1-A052-D113450077EF}" name="総数／構成比" dataDxfId="282"/>
    <tableColumn id="12" xr3:uid="{5DC4ACB8-B2E7-47CE-8FF8-9128BDBEC20D}" name="個人／事業所数" dataCellStyle="桁区切り"/>
    <tableColumn id="13" xr3:uid="{7600A8F2-7884-489E-8F30-5817A3A4186E}" name="個人／構成比" dataDxfId="281"/>
    <tableColumn id="14" xr3:uid="{34F316C5-848D-4973-ABF6-C84C0D151BC2}" name="法人／事業所数" dataCellStyle="桁区切り"/>
    <tableColumn id="15" xr3:uid="{D74141E4-185D-4FBA-BFCC-670A2517DE16}" name="法人／構成比" dataDxfId="280"/>
    <tableColumn id="16" xr3:uid="{1C8729BC-DB9B-4315-B8ED-5CEC5E955385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2A29BEA-3313-4896-8411-4075782C7E8E}" name="LTBL_07482" displayName="LTBL_07482" ref="B4:I20" totalsRowCount="1">
  <autoFilter ref="B4:I19" xr:uid="{F2A29BEA-3313-4896-8411-4075782C7E8E}"/>
  <tableColumns count="8">
    <tableColumn id="9" xr3:uid="{409C347B-C849-4B8C-97FD-6EFB51A9FAE3}" name="産業大分類" totalsRowLabel="合計" totalsRowDxfId="279"/>
    <tableColumn id="10" xr3:uid="{C8857852-8514-4150-897D-980897D3B4DE}" name="総数／事業所数" totalsRowFunction="custom" totalsRowDxfId="278" dataCellStyle="桁区切り" totalsRowCellStyle="桁区切り">
      <totalsRowFormula>SUM(LTBL_07482[総数／事業所数])</totalsRowFormula>
    </tableColumn>
    <tableColumn id="11" xr3:uid="{4A772854-86FC-4070-8419-62AC85CFA993}" name="総数／構成比" dataDxfId="277"/>
    <tableColumn id="12" xr3:uid="{CA20FCE3-CC57-4FCC-A244-75BEC7359F77}" name="個人／事業所数" totalsRowFunction="sum" totalsRowDxfId="276" dataCellStyle="桁区切り" totalsRowCellStyle="桁区切り"/>
    <tableColumn id="13" xr3:uid="{BB461884-A171-4C4B-A5B4-84B80B4240C7}" name="個人／構成比" dataDxfId="275"/>
    <tableColumn id="14" xr3:uid="{5C7B1422-0084-451B-829A-6286E9CC005B}" name="法人／事業所数" totalsRowFunction="sum" totalsRowDxfId="274" dataCellStyle="桁区切り" totalsRowCellStyle="桁区切り"/>
    <tableColumn id="15" xr3:uid="{61C2FE63-AAFB-4FF6-9720-4D58CD2ECD38}" name="法人／構成比" dataDxfId="273"/>
    <tableColumn id="16" xr3:uid="{14AAD41E-655F-441C-ADAE-8BFD72D4D0A7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CF31B682-E83F-4F45-863D-F675D3E575E6}" name="M_TABLE_07482" displayName="M_TABLE_07482" ref="B23:I49" totalsRowShown="0">
  <autoFilter ref="B23:I49" xr:uid="{CF31B682-E83F-4F45-863D-F675D3E575E6}"/>
  <tableColumns count="8">
    <tableColumn id="9" xr3:uid="{0D54110D-B7B0-4F64-9A32-717DBB011BFF}" name="産業中分類上位２０"/>
    <tableColumn id="10" xr3:uid="{F15B0915-80D0-4921-9FC8-96CA67594A2E}" name="総数／事業所数" dataCellStyle="桁区切り"/>
    <tableColumn id="11" xr3:uid="{CA15D93D-EEFD-4BF7-A834-DBE5DF3DD8A1}" name="総数／構成比" dataDxfId="271"/>
    <tableColumn id="12" xr3:uid="{8287CB2A-D208-42E1-A5E3-02985AB53472}" name="個人／事業所数" dataCellStyle="桁区切り"/>
    <tableColumn id="13" xr3:uid="{C9FFC1AD-3851-415B-B369-35D94994ADF5}" name="個人／構成比" dataDxfId="270"/>
    <tableColumn id="14" xr3:uid="{6839836B-3BBB-4918-AC14-E7E136BA79AD}" name="法人／事業所数" dataCellStyle="桁区切り"/>
    <tableColumn id="15" xr3:uid="{98E2FCA7-B348-4BE1-9A59-2DD9C5026659}" name="法人／構成比" dataDxfId="269"/>
    <tableColumn id="16" xr3:uid="{62AF3E5B-F6C9-449F-8666-7BB520FAD8BE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E3DE20B-873A-414A-B46F-C95CCE999724}" name="S_TABLE_07482" displayName="S_TABLE_07482" ref="B52:I74" totalsRowShown="0">
  <autoFilter ref="B52:I74" xr:uid="{0E3DE20B-873A-414A-B46F-C95CCE999724}"/>
  <tableColumns count="8">
    <tableColumn id="9" xr3:uid="{497AD65A-A7F6-40AE-A0DB-5D4FBE00536E}" name="産業小分類上位２０"/>
    <tableColumn id="10" xr3:uid="{20E7A75D-324C-470D-9E62-B0DD7D9FF1DF}" name="総数／事業所数" dataCellStyle="桁区切り"/>
    <tableColumn id="11" xr3:uid="{00C3BB13-479C-4838-B3F7-155802D17E0A}" name="総数／構成比" dataDxfId="268"/>
    <tableColumn id="12" xr3:uid="{1BC183CD-0A2A-4CC2-BFF5-32E86D4762FD}" name="個人／事業所数" dataCellStyle="桁区切り"/>
    <tableColumn id="13" xr3:uid="{3C967734-59A7-4561-91B9-CE4E5B87A08D}" name="個人／構成比" dataDxfId="267"/>
    <tableColumn id="14" xr3:uid="{2C6C6C45-B825-4F5B-A377-A9221D900BE6}" name="法人／事業所数" dataCellStyle="桁区切り"/>
    <tableColumn id="15" xr3:uid="{63193B50-580A-49E0-AA70-F0E8168A5A13}" name="法人／構成比" dataDxfId="266"/>
    <tableColumn id="16" xr3:uid="{38CF61F9-B75F-456B-819F-3D5E65D60B98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B1E3017-812B-4D57-A0C8-BAF7B419CC3C}" name="LTBL_07483" displayName="LTBL_07483" ref="B4:I20" totalsRowCount="1">
  <autoFilter ref="B4:I19" xr:uid="{0B1E3017-812B-4D57-A0C8-BAF7B419CC3C}"/>
  <tableColumns count="8">
    <tableColumn id="9" xr3:uid="{5F430840-EE75-4F72-A80C-D8FA01D16FE9}" name="産業大分類" totalsRowLabel="合計" totalsRowDxfId="265"/>
    <tableColumn id="10" xr3:uid="{2E2B56CA-47DC-4089-B8E8-771B038B8C37}" name="総数／事業所数" totalsRowFunction="custom" totalsRowDxfId="264" dataCellStyle="桁区切り" totalsRowCellStyle="桁区切り">
      <totalsRowFormula>SUM(LTBL_07483[総数／事業所数])</totalsRowFormula>
    </tableColumn>
    <tableColumn id="11" xr3:uid="{72439D80-6555-4B8A-8236-3C8555DF96EA}" name="総数／構成比" dataDxfId="263"/>
    <tableColumn id="12" xr3:uid="{BA36C86F-3358-4A6E-BCD8-C8084D8D4911}" name="個人／事業所数" totalsRowFunction="sum" totalsRowDxfId="262" dataCellStyle="桁区切り" totalsRowCellStyle="桁区切り"/>
    <tableColumn id="13" xr3:uid="{916833B7-47D9-4AC5-927F-AF4E6D69138C}" name="個人／構成比" dataDxfId="261"/>
    <tableColumn id="14" xr3:uid="{2F160BD3-F409-41AF-9602-DD109C70E00D}" name="法人／事業所数" totalsRowFunction="sum" totalsRowDxfId="260" dataCellStyle="桁区切り" totalsRowCellStyle="桁区切り"/>
    <tableColumn id="15" xr3:uid="{5CDD21A5-1731-44A6-AB6A-C908919615B9}" name="法人／構成比" dataDxfId="259"/>
    <tableColumn id="16" xr3:uid="{A400AE0A-58D7-4DD2-954F-8D8B0A9D7436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E75E01F8-30AD-452E-BEAB-9B07E6955734}" name="M_TABLE_07483" displayName="M_TABLE_07483" ref="B23:I47" totalsRowShown="0">
  <autoFilter ref="B23:I47" xr:uid="{E75E01F8-30AD-452E-BEAB-9B07E6955734}"/>
  <tableColumns count="8">
    <tableColumn id="9" xr3:uid="{1CC24EE5-33EC-4025-8CE5-8A51635D4B56}" name="産業中分類上位２０"/>
    <tableColumn id="10" xr3:uid="{A2BC5657-6844-48B9-9725-626E478E8678}" name="総数／事業所数" dataCellStyle="桁区切り"/>
    <tableColumn id="11" xr3:uid="{9685F26B-C243-4F64-8397-654E0C39FED0}" name="総数／構成比" dataDxfId="257"/>
    <tableColumn id="12" xr3:uid="{BDB96789-04E5-42BD-885F-5888DDFD0627}" name="個人／事業所数" dataCellStyle="桁区切り"/>
    <tableColumn id="13" xr3:uid="{D21DC2E7-EFE8-4426-887D-8ACDA79EB442}" name="個人／構成比" dataDxfId="256"/>
    <tableColumn id="14" xr3:uid="{F1564CC5-FC4A-4A17-87DC-4B4BEEC1671A}" name="法人／事業所数" dataCellStyle="桁区切り"/>
    <tableColumn id="15" xr3:uid="{554DBF22-6B78-471F-AB29-624A030286F9}" name="法人／構成比" dataDxfId="255"/>
    <tableColumn id="16" xr3:uid="{8038D004-99EA-45FE-89CF-0E28790ABC4E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10860449-A7A4-458C-8DF7-843322C2B4B8}" name="S_TABLE_07483" displayName="S_TABLE_07483" ref="B50:I71" totalsRowShown="0">
  <autoFilter ref="B50:I71" xr:uid="{10860449-A7A4-458C-8DF7-843322C2B4B8}"/>
  <tableColumns count="8">
    <tableColumn id="9" xr3:uid="{CD8A4A9F-0948-4C1F-A485-BF882E03386B}" name="産業小分類上位２０"/>
    <tableColumn id="10" xr3:uid="{EBF732F8-E64E-4C07-9DCE-88A48B0C69A4}" name="総数／事業所数" dataCellStyle="桁区切り"/>
    <tableColumn id="11" xr3:uid="{B90C616B-B90B-491F-85A7-0542C0A6F122}" name="総数／構成比" dataDxfId="254"/>
    <tableColumn id="12" xr3:uid="{81DAD6F5-A5C3-475D-97C1-211635893A6A}" name="個人／事業所数" dataCellStyle="桁区切り"/>
    <tableColumn id="13" xr3:uid="{A02E3E41-E161-4825-8D8F-44D321824B43}" name="個人／構成比" dataDxfId="253"/>
    <tableColumn id="14" xr3:uid="{BFADD9B6-8F80-451C-807A-1D359A2B2293}" name="法人／事業所数" dataCellStyle="桁区切り"/>
    <tableColumn id="15" xr3:uid="{24A691B2-5FE5-439B-ADD9-185436536AA7}" name="法人／構成比" dataDxfId="252"/>
    <tableColumn id="16" xr3:uid="{85DA87D7-1584-4F37-A908-2871F5AB0284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389F5585-7D0C-45A3-837F-0470E7137FA3}" name="LTBL_07484" displayName="LTBL_07484" ref="B4:I20" totalsRowCount="1">
  <autoFilter ref="B4:I19" xr:uid="{389F5585-7D0C-45A3-837F-0470E7137FA3}"/>
  <tableColumns count="8">
    <tableColumn id="9" xr3:uid="{223E6C70-BDDD-465F-9FA8-69370E0E06F6}" name="産業大分類" totalsRowLabel="合計" totalsRowDxfId="251"/>
    <tableColumn id="10" xr3:uid="{8793434E-6CA6-4369-8565-F70BC23D7714}" name="総数／事業所数" totalsRowFunction="custom" totalsRowDxfId="250" dataCellStyle="桁区切り" totalsRowCellStyle="桁区切り">
      <totalsRowFormula>SUM(LTBL_07484[総数／事業所数])</totalsRowFormula>
    </tableColumn>
    <tableColumn id="11" xr3:uid="{F3C44FF9-ACA1-4AAC-BDC0-BFF3DB97981B}" name="総数／構成比" dataDxfId="249"/>
    <tableColumn id="12" xr3:uid="{DDE1B8AF-A9F5-41F8-B559-E758F9DAEB2E}" name="個人／事業所数" totalsRowFunction="sum" totalsRowDxfId="248" dataCellStyle="桁区切り" totalsRowCellStyle="桁区切り"/>
    <tableColumn id="13" xr3:uid="{53385813-53F1-49F8-8907-2C637FD409B6}" name="個人／構成比" dataDxfId="247"/>
    <tableColumn id="14" xr3:uid="{FBECB21A-0F28-458C-AD75-EE2051E0D625}" name="法人／事業所数" totalsRowFunction="sum" totalsRowDxfId="246" dataCellStyle="桁区切り" totalsRowCellStyle="桁区切り"/>
    <tableColumn id="15" xr3:uid="{6581B113-772C-4E17-B8CF-5C419519651D}" name="法人／構成比" dataDxfId="245"/>
    <tableColumn id="16" xr3:uid="{631D1072-69F5-42D2-8D32-B8F85FEF309D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9396901A-56C4-4DA5-9423-60A2A19629DE}" name="M_TABLE_07484" displayName="M_TABLE_07484" ref="B23:I48" totalsRowShown="0">
  <autoFilter ref="B23:I48" xr:uid="{9396901A-56C4-4DA5-9423-60A2A19629DE}"/>
  <tableColumns count="8">
    <tableColumn id="9" xr3:uid="{2272D635-43A7-408B-9C82-F7CD60EF1D2E}" name="産業中分類上位２０"/>
    <tableColumn id="10" xr3:uid="{E7CD8015-D53E-46F9-AB76-7187B62AE9D8}" name="総数／事業所数" dataCellStyle="桁区切り"/>
    <tableColumn id="11" xr3:uid="{A2A4E7CF-0E8A-4B65-8018-8EC34E94A722}" name="総数／構成比" dataDxfId="243"/>
    <tableColumn id="12" xr3:uid="{5B3C0C1B-7855-474D-A8F2-A538923D87DC}" name="個人／事業所数" dataCellStyle="桁区切り"/>
    <tableColumn id="13" xr3:uid="{F4CE381F-36F2-4EC0-A81F-EC538B5C5949}" name="個人／構成比" dataDxfId="242"/>
    <tableColumn id="14" xr3:uid="{71D294C4-BB03-44BD-990B-A94D7FAF14CD}" name="法人／事業所数" dataCellStyle="桁区切り"/>
    <tableColumn id="15" xr3:uid="{EE6DA671-4C01-41F6-ACE2-E6688749BB37}" name="法人／構成比" dataDxfId="241"/>
    <tableColumn id="16" xr3:uid="{29DC1A72-83CC-42C4-A265-85704B29D3B5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BF3F8239-B4BE-46B4-AC68-1755B790B5C3}" name="S_TABLE_07484" displayName="S_TABLE_07484" ref="B51:I71" totalsRowShown="0">
  <autoFilter ref="B51:I71" xr:uid="{BF3F8239-B4BE-46B4-AC68-1755B790B5C3}"/>
  <tableColumns count="8">
    <tableColumn id="9" xr3:uid="{27C70A97-0278-4B19-A1B3-3027CC101DA4}" name="産業小分類上位２０"/>
    <tableColumn id="10" xr3:uid="{11125436-A89A-47AC-AC8F-5572D814CD03}" name="総数／事業所数" dataCellStyle="桁区切り"/>
    <tableColumn id="11" xr3:uid="{630C32A8-0939-4949-9B7C-91F513D3407A}" name="総数／構成比" dataDxfId="240"/>
    <tableColumn id="12" xr3:uid="{3D232902-1400-4828-B4EA-3E671C860491}" name="個人／事業所数" dataCellStyle="桁区切り"/>
    <tableColumn id="13" xr3:uid="{B3B71FAF-EEF4-456B-B83A-CCAA7471EDD1}" name="個人／構成比" dataDxfId="239"/>
    <tableColumn id="14" xr3:uid="{4F5AD78A-57D0-4679-BAD9-00BAB65026CB}" name="法人／事業所数" dataCellStyle="桁区切り"/>
    <tableColumn id="15" xr3:uid="{69920B33-EBA2-4C05-8FE3-48C1819355D1}" name="法人／構成比" dataDxfId="238"/>
    <tableColumn id="16" xr3:uid="{26D8B2F3-B3D8-431D-ACCF-A308CAFB0F6D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B208079-FC43-4B6A-85BE-E0FB6563D866}" name="LTBL_07204" displayName="LTBL_07204" ref="B4:I20" totalsRowCount="1">
  <autoFilter ref="B4:I19" xr:uid="{6B208079-FC43-4B6A-85BE-E0FB6563D866}"/>
  <tableColumns count="8">
    <tableColumn id="9" xr3:uid="{F17B56F6-E26C-47C6-A0AF-64680F4DC389}" name="産業大分類" totalsRowLabel="合計" totalsRowDxfId="783"/>
    <tableColumn id="10" xr3:uid="{0086DB3A-01DE-4CF9-B311-9981270D4FCF}" name="総数／事業所数" totalsRowFunction="custom" totalsRowDxfId="782" dataCellStyle="桁区切り" totalsRowCellStyle="桁区切り">
      <totalsRowFormula>SUM(LTBL_07204[総数／事業所数])</totalsRowFormula>
    </tableColumn>
    <tableColumn id="11" xr3:uid="{4A5F8FD3-47C5-4C4A-B410-DB2ECEB4E42D}" name="総数／構成比" dataDxfId="781"/>
    <tableColumn id="12" xr3:uid="{98B44D6E-EC0C-43E1-AE52-1017D2315437}" name="個人／事業所数" totalsRowFunction="sum" totalsRowDxfId="780" dataCellStyle="桁区切り" totalsRowCellStyle="桁区切り"/>
    <tableColumn id="13" xr3:uid="{DA74A0D9-32FD-4E3C-80E6-2FEA46921F8F}" name="個人／構成比" dataDxfId="779"/>
    <tableColumn id="14" xr3:uid="{0F8F0E58-6C4D-4B1B-8C02-104577DC5E1A}" name="法人／事業所数" totalsRowFunction="sum" totalsRowDxfId="778" dataCellStyle="桁区切り" totalsRowCellStyle="桁区切り"/>
    <tableColumn id="15" xr3:uid="{6D787FEF-4FAB-4242-9E6C-EA6BD9606A59}" name="法人／構成比" dataDxfId="777"/>
    <tableColumn id="16" xr3:uid="{84E9A2C1-BA9C-4BD1-9C57-6ECA17AEF1BF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E289A741-4E36-4343-A0EC-DF307FAD1C82}" name="LTBL_07501" displayName="LTBL_07501" ref="B4:I20" totalsRowCount="1">
  <autoFilter ref="B4:I19" xr:uid="{E289A741-4E36-4343-A0EC-DF307FAD1C82}"/>
  <tableColumns count="8">
    <tableColumn id="9" xr3:uid="{BB1623F2-F026-4371-9ADA-C6AB156B86E5}" name="産業大分類" totalsRowLabel="合計" totalsRowDxfId="237"/>
    <tableColumn id="10" xr3:uid="{FF3E6CA5-5970-482B-9B88-0043DC5E4FA8}" name="総数／事業所数" totalsRowFunction="custom" totalsRowDxfId="236" dataCellStyle="桁区切り" totalsRowCellStyle="桁区切り">
      <totalsRowFormula>SUM(LTBL_07501[総数／事業所数])</totalsRowFormula>
    </tableColumn>
    <tableColumn id="11" xr3:uid="{39C1C369-2EAD-47BF-88D9-7D7ED6D556B2}" name="総数／構成比" dataDxfId="235"/>
    <tableColumn id="12" xr3:uid="{C7DDB2D9-3719-4AC4-AC84-211313C30CC1}" name="個人／事業所数" totalsRowFunction="sum" totalsRowDxfId="234" dataCellStyle="桁区切り" totalsRowCellStyle="桁区切り"/>
    <tableColumn id="13" xr3:uid="{D227FDED-BD0C-444B-8276-A01EFE1C6C76}" name="個人／構成比" dataDxfId="233"/>
    <tableColumn id="14" xr3:uid="{5AC9131B-3E57-413D-9B04-99A761291AD7}" name="法人／事業所数" totalsRowFunction="sum" totalsRowDxfId="232" dataCellStyle="桁区切り" totalsRowCellStyle="桁区切り"/>
    <tableColumn id="15" xr3:uid="{B31D01B2-5474-4725-8B67-BB0DA6896C39}" name="法人／構成比" dataDxfId="231"/>
    <tableColumn id="16" xr3:uid="{10075516-5B32-4BF5-BDAB-E211BFD2F305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9FB04EF-8308-4FCB-94E5-7142CB90FEE7}" name="M_TABLE_07501" displayName="M_TABLE_07501" ref="B23:I44" totalsRowShown="0">
  <autoFilter ref="B23:I44" xr:uid="{09FB04EF-8308-4FCB-94E5-7142CB90FEE7}"/>
  <tableColumns count="8">
    <tableColumn id="9" xr3:uid="{5C1E8F68-BBB1-469E-B2F2-49D4C71808EA}" name="産業中分類上位２０"/>
    <tableColumn id="10" xr3:uid="{F2D29599-EE37-403B-9881-E4F2269BA363}" name="総数／事業所数" dataCellStyle="桁区切り"/>
    <tableColumn id="11" xr3:uid="{BBA9DEE5-E309-4662-A679-28AF7D5003D4}" name="総数／構成比" dataDxfId="229"/>
    <tableColumn id="12" xr3:uid="{AF4D36F5-42D7-4779-B736-DC2DD720FEBD}" name="個人／事業所数" dataCellStyle="桁区切り"/>
    <tableColumn id="13" xr3:uid="{D110A957-54BE-4EC4-9EAA-94D5C54BC6B4}" name="個人／構成比" dataDxfId="228"/>
    <tableColumn id="14" xr3:uid="{3031D64F-5B39-4F80-B076-A9FA6E9DE188}" name="法人／事業所数" dataCellStyle="桁区切り"/>
    <tableColumn id="15" xr3:uid="{205CED17-2D0D-4F57-8F86-3AD37FE1243F}" name="法人／構成比" dataDxfId="227"/>
    <tableColumn id="16" xr3:uid="{398D6735-C8E4-4B44-BC73-412C58480396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BAA62E5E-67D2-4DB1-935F-5FC3E24D1A5E}" name="S_TABLE_07501" displayName="S_TABLE_07501" ref="B47:I68" totalsRowShown="0">
  <autoFilter ref="B47:I68" xr:uid="{BAA62E5E-67D2-4DB1-935F-5FC3E24D1A5E}"/>
  <tableColumns count="8">
    <tableColumn id="9" xr3:uid="{81BC8E97-DA23-411C-96B1-13D66F677DE8}" name="産業小分類上位２０"/>
    <tableColumn id="10" xr3:uid="{5AC90A48-5E50-4F20-8819-730B3ED72A8A}" name="総数／事業所数" dataCellStyle="桁区切り"/>
    <tableColumn id="11" xr3:uid="{4ACD9DF2-1E7E-4C2A-86B6-E5B87027BB78}" name="総数／構成比" dataDxfId="226"/>
    <tableColumn id="12" xr3:uid="{3C22BE34-A115-445B-BDCD-B9BDB3D201F1}" name="個人／事業所数" dataCellStyle="桁区切り"/>
    <tableColumn id="13" xr3:uid="{ABE7272F-3BB3-4883-8CA5-0DC8BFAF6AB4}" name="個人／構成比" dataDxfId="225"/>
    <tableColumn id="14" xr3:uid="{9DB82927-BF1C-4C46-9F0F-CB88267407AB}" name="法人／事業所数" dataCellStyle="桁区切り"/>
    <tableColumn id="15" xr3:uid="{61BD58D2-0AF6-4B45-BE60-795543FDF2B6}" name="法人／構成比" dataDxfId="224"/>
    <tableColumn id="16" xr3:uid="{581AF665-848E-413C-ABE3-A626D5295ACF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FF5347E2-47AD-49BB-A7E5-FCA80E32F1A7}" name="LTBL_07502" displayName="LTBL_07502" ref="B4:I20" totalsRowCount="1">
  <autoFilter ref="B4:I19" xr:uid="{FF5347E2-47AD-49BB-A7E5-FCA80E32F1A7}"/>
  <tableColumns count="8">
    <tableColumn id="9" xr3:uid="{571F9987-167E-4329-AE3C-20D33FBDCD4B}" name="産業大分類" totalsRowLabel="合計" totalsRowDxfId="223"/>
    <tableColumn id="10" xr3:uid="{52532F2C-8EDB-4CFB-B1AB-089AEA863C53}" name="総数／事業所数" totalsRowFunction="custom" totalsRowDxfId="222" dataCellStyle="桁区切り" totalsRowCellStyle="桁区切り">
      <totalsRowFormula>SUM(LTBL_07502[総数／事業所数])</totalsRowFormula>
    </tableColumn>
    <tableColumn id="11" xr3:uid="{6BFFB350-81D1-4F89-8D5E-CFFE8DEC776E}" name="総数／構成比" dataDxfId="221"/>
    <tableColumn id="12" xr3:uid="{EE878FF7-395B-4B68-937D-254D20383E78}" name="個人／事業所数" totalsRowFunction="sum" totalsRowDxfId="220" dataCellStyle="桁区切り" totalsRowCellStyle="桁区切り"/>
    <tableColumn id="13" xr3:uid="{1524FB02-8FFB-4A39-A5B3-1A010D7E7292}" name="個人／構成比" dataDxfId="219"/>
    <tableColumn id="14" xr3:uid="{BF0BD97C-5C6A-46A9-A94D-7C53BBE83418}" name="法人／事業所数" totalsRowFunction="sum" totalsRowDxfId="218" dataCellStyle="桁区切り" totalsRowCellStyle="桁区切り"/>
    <tableColumn id="15" xr3:uid="{12CCC1D4-4256-4E8E-B8E6-3FFC8BBB665C}" name="法人／構成比" dataDxfId="217"/>
    <tableColumn id="16" xr3:uid="{F16195FC-4D43-4EB2-9994-07563F16343A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7D40B455-BAF9-4819-80B4-5197A5B4C9E6}" name="M_TABLE_07502" displayName="M_TABLE_07502" ref="B23:I54" totalsRowShown="0">
  <autoFilter ref="B23:I54" xr:uid="{7D40B455-BAF9-4819-80B4-5197A5B4C9E6}"/>
  <tableColumns count="8">
    <tableColumn id="9" xr3:uid="{1A732D28-32DE-4D5A-8EBC-50230C584F31}" name="産業中分類上位２０"/>
    <tableColumn id="10" xr3:uid="{298578C0-4C7D-4F85-B7DA-5DC3DD36F290}" name="総数／事業所数" dataCellStyle="桁区切り"/>
    <tableColumn id="11" xr3:uid="{45203A1A-3D5E-4A5D-B574-FCBE3176B3CE}" name="総数／構成比" dataDxfId="215"/>
    <tableColumn id="12" xr3:uid="{673E776F-E852-4779-A3C1-4EA91D4CBF01}" name="個人／事業所数" dataCellStyle="桁区切り"/>
    <tableColumn id="13" xr3:uid="{BC3578E8-D617-4A05-83A1-89F1C2BDCC64}" name="個人／構成比" dataDxfId="214"/>
    <tableColumn id="14" xr3:uid="{949B9B7E-9259-433E-BD7F-041AC852763F}" name="法人／事業所数" dataCellStyle="桁区切り"/>
    <tableColumn id="15" xr3:uid="{08D92AEC-8CE4-45C1-BAF9-F626569DECD4}" name="法人／構成比" dataDxfId="213"/>
    <tableColumn id="16" xr3:uid="{E22617EA-8B76-488F-853D-A4DE53C207EB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926DEF9D-215F-4C7D-BE29-B0DF1030B8CB}" name="S_TABLE_07502" displayName="S_TABLE_07502" ref="B57:I80" totalsRowShown="0">
  <autoFilter ref="B57:I80" xr:uid="{926DEF9D-215F-4C7D-BE29-B0DF1030B8CB}"/>
  <tableColumns count="8">
    <tableColumn id="9" xr3:uid="{D9784F2A-6D3A-4EC4-BC0A-17D4F4E8FE72}" name="産業小分類上位２０"/>
    <tableColumn id="10" xr3:uid="{9A00D560-C418-407F-969D-090311752A68}" name="総数／事業所数" dataCellStyle="桁区切り"/>
    <tableColumn id="11" xr3:uid="{51CF7217-B75A-4692-8DD8-4CAFD62152D7}" name="総数／構成比" dataDxfId="212"/>
    <tableColumn id="12" xr3:uid="{557DC388-6ABE-4930-8B49-9971C2F20403}" name="個人／事業所数" dataCellStyle="桁区切り"/>
    <tableColumn id="13" xr3:uid="{591C5754-94E7-44E1-8026-7324A5D7A1C0}" name="個人／構成比" dataDxfId="211"/>
    <tableColumn id="14" xr3:uid="{32CCAACA-3736-4745-95D2-D8500890D3A0}" name="法人／事業所数" dataCellStyle="桁区切り"/>
    <tableColumn id="15" xr3:uid="{B868958A-FB08-4BF0-B4AC-5940F3B62D7F}" name="法人／構成比" dataDxfId="210"/>
    <tableColumn id="16" xr3:uid="{A41CA305-2735-41FA-AC4A-A9BE95F48278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73C4E2B9-A563-4E8A-8C69-89A60CFCD8E1}" name="LTBL_07503" displayName="LTBL_07503" ref="B4:I20" totalsRowCount="1">
  <autoFilter ref="B4:I19" xr:uid="{73C4E2B9-A563-4E8A-8C69-89A60CFCD8E1}"/>
  <tableColumns count="8">
    <tableColumn id="9" xr3:uid="{7C6EB7BD-DF63-4DBF-B23C-C616B007A711}" name="産業大分類" totalsRowLabel="合計" totalsRowDxfId="209"/>
    <tableColumn id="10" xr3:uid="{645613C8-9EAB-42EB-BA00-2892E5C69B63}" name="総数／事業所数" totalsRowFunction="custom" totalsRowDxfId="208" dataCellStyle="桁区切り" totalsRowCellStyle="桁区切り">
      <totalsRowFormula>SUM(LTBL_07503[総数／事業所数])</totalsRowFormula>
    </tableColumn>
    <tableColumn id="11" xr3:uid="{58455CEE-BC41-47B9-A122-3DA5F6A81B78}" name="総数／構成比" dataDxfId="207"/>
    <tableColumn id="12" xr3:uid="{F4BB0B68-9730-4310-BCBC-3B65F0CF7CF3}" name="個人／事業所数" totalsRowFunction="sum" totalsRowDxfId="206" dataCellStyle="桁区切り" totalsRowCellStyle="桁区切り"/>
    <tableColumn id="13" xr3:uid="{22A23045-9EDF-4C77-8529-1827F1734D66}" name="個人／構成比" dataDxfId="205"/>
    <tableColumn id="14" xr3:uid="{CCA917FD-2642-4C46-AD2E-38711BFFE892}" name="法人／事業所数" totalsRowFunction="sum" totalsRowDxfId="204" dataCellStyle="桁区切り" totalsRowCellStyle="桁区切り"/>
    <tableColumn id="15" xr3:uid="{4E95BAFC-C0A0-4CB7-9ECC-938893BCE8E3}" name="法人／構成比" dataDxfId="203"/>
    <tableColumn id="16" xr3:uid="{C6018D48-6591-4BA2-B36C-D743876EC368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9F49CF68-9CC7-4741-924B-2BE51E6D7AE0}" name="M_TABLE_07503" displayName="M_TABLE_07503" ref="B23:I66" totalsRowShown="0">
  <autoFilter ref="B23:I66" xr:uid="{9F49CF68-9CC7-4741-924B-2BE51E6D7AE0}"/>
  <tableColumns count="8">
    <tableColumn id="9" xr3:uid="{8D731103-1C0E-4C44-B45A-360D2DB76EFC}" name="産業中分類上位２０"/>
    <tableColumn id="10" xr3:uid="{F8B89E99-EEBF-4E34-A84E-D14FC7805120}" name="総数／事業所数" dataCellStyle="桁区切り"/>
    <tableColumn id="11" xr3:uid="{17EA6E2F-240C-4F78-9772-632E1935A34E}" name="総数／構成比" dataDxfId="201"/>
    <tableColumn id="12" xr3:uid="{D661038D-DF37-4CB5-B373-924EEE2763C9}" name="個人／事業所数" dataCellStyle="桁区切り"/>
    <tableColumn id="13" xr3:uid="{748C69D4-C207-452C-971E-1E9409B8F11C}" name="個人／構成比" dataDxfId="200"/>
    <tableColumn id="14" xr3:uid="{F6005888-C15B-435B-9441-D734907BA777}" name="法人／事業所数" dataCellStyle="桁区切り"/>
    <tableColumn id="15" xr3:uid="{FA087038-91F1-49CA-AD6F-97BE90AB0489}" name="法人／構成比" dataDxfId="199"/>
    <tableColumn id="16" xr3:uid="{C3CADE9F-8AAB-489A-A711-96CA66EBED63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59C3DA58-E764-4B2B-A09C-86ED313E06C4}" name="S_TABLE_07503" displayName="S_TABLE_07503" ref="B69:I100" totalsRowShown="0">
  <autoFilter ref="B69:I100" xr:uid="{59C3DA58-E764-4B2B-A09C-86ED313E06C4}"/>
  <tableColumns count="8">
    <tableColumn id="9" xr3:uid="{7856747C-662A-4B30-88B9-EA7821DF192C}" name="産業小分類上位２０"/>
    <tableColumn id="10" xr3:uid="{85E66D5E-37F3-446A-A66C-A528BE20FD12}" name="総数／事業所数" dataCellStyle="桁区切り"/>
    <tableColumn id="11" xr3:uid="{AAEA5485-353C-4B27-87F3-7D217C8D9CDA}" name="総数／構成比" dataDxfId="198"/>
    <tableColumn id="12" xr3:uid="{E87EC64E-228A-4D8E-A8B6-BE3BD817BE25}" name="個人／事業所数" dataCellStyle="桁区切り"/>
    <tableColumn id="13" xr3:uid="{5A1F20A3-3AF4-4FED-A819-DCC2557EE1B4}" name="個人／構成比" dataDxfId="197"/>
    <tableColumn id="14" xr3:uid="{9F4DBF46-5C32-4929-961A-6A31CD3A9CC8}" name="法人／事業所数" dataCellStyle="桁区切り"/>
    <tableColumn id="15" xr3:uid="{327B5DFD-68ED-41A8-BD7F-6FFFF3D5FDFC}" name="法人／構成比" dataDxfId="196"/>
    <tableColumn id="16" xr3:uid="{3AF9B7B0-302E-4686-87C7-22A9C25C45BE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7A92C976-EBEF-4908-94DE-58E3E660B377}" name="LTBL_07504" displayName="LTBL_07504" ref="B4:I20" totalsRowCount="1">
  <autoFilter ref="B4:I19" xr:uid="{7A92C976-EBEF-4908-94DE-58E3E660B377}"/>
  <tableColumns count="8">
    <tableColumn id="9" xr3:uid="{49AAE307-F93D-4515-A7FA-3D503F6C1309}" name="産業大分類" totalsRowLabel="合計" totalsRowDxfId="195"/>
    <tableColumn id="10" xr3:uid="{33CB16FC-8178-4BA2-B140-CF0DB410350C}" name="総数／事業所数" totalsRowFunction="custom" totalsRowDxfId="194" dataCellStyle="桁区切り" totalsRowCellStyle="桁区切り">
      <totalsRowFormula>SUM(LTBL_07504[総数／事業所数])</totalsRowFormula>
    </tableColumn>
    <tableColumn id="11" xr3:uid="{8D30738D-887D-4F02-9447-37B03D1235FF}" name="総数／構成比" dataDxfId="193"/>
    <tableColumn id="12" xr3:uid="{779E8B17-B99A-4894-B899-FE01A24C86F8}" name="個人／事業所数" totalsRowFunction="sum" totalsRowDxfId="192" dataCellStyle="桁区切り" totalsRowCellStyle="桁区切り"/>
    <tableColumn id="13" xr3:uid="{058EF7AC-C0F7-4800-9134-3FD9C66096C0}" name="個人／構成比" dataDxfId="191"/>
    <tableColumn id="14" xr3:uid="{A37580A9-F66B-471E-8365-3286270BF06E}" name="法人／事業所数" totalsRowFunction="sum" totalsRowDxfId="190" dataCellStyle="桁区切り" totalsRowCellStyle="桁区切り"/>
    <tableColumn id="15" xr3:uid="{F971249C-AD79-482A-A302-EBE0B13AE31C}" name="法人／構成比" dataDxfId="189"/>
    <tableColumn id="16" xr3:uid="{B6EC6FB2-89C0-4AAE-96D2-FB654CEE81C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0318D93-5337-4BB4-A7DF-C1542E8EA9AF}" name="M_TABLE_07204" displayName="M_TABLE_07204" ref="B23:I43" totalsRowShown="0">
  <autoFilter ref="B23:I43" xr:uid="{70318D93-5337-4BB4-A7DF-C1542E8EA9AF}"/>
  <tableColumns count="8">
    <tableColumn id="9" xr3:uid="{F34CC4F6-A7D9-4AE8-8797-7EFB46F2FBE0}" name="産業中分類上位２０"/>
    <tableColumn id="10" xr3:uid="{26C30FBC-A731-45CE-AAA9-5DA46ACE42BE}" name="総数／事業所数" dataCellStyle="桁区切り"/>
    <tableColumn id="11" xr3:uid="{68E3C473-37A8-460F-9588-06EF61B33606}" name="総数／構成比" dataDxfId="775"/>
    <tableColumn id="12" xr3:uid="{47CFFE18-D709-48C3-A7ED-5F319001444D}" name="個人／事業所数" dataCellStyle="桁区切り"/>
    <tableColumn id="13" xr3:uid="{847A4EA2-1194-4889-A6D8-7C6EF94B2B27}" name="個人／構成比" dataDxfId="774"/>
    <tableColumn id="14" xr3:uid="{65F97BE8-2622-4B9C-BE08-8A9116CE26E3}" name="法人／事業所数" dataCellStyle="桁区切り"/>
    <tableColumn id="15" xr3:uid="{A83211DA-9505-4DB0-94CD-CA83FA0B452F}" name="法人／構成比" dataDxfId="773"/>
    <tableColumn id="16" xr3:uid="{77E557E2-8959-41CC-B773-ED4190A4F69D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F96BF6B6-F957-4A84-9A6D-BA6CC85AAB98}" name="M_TABLE_07504" displayName="M_TABLE_07504" ref="B23:I44" totalsRowShown="0">
  <autoFilter ref="B23:I44" xr:uid="{F96BF6B6-F957-4A84-9A6D-BA6CC85AAB98}"/>
  <tableColumns count="8">
    <tableColumn id="9" xr3:uid="{E08A0D06-06C8-4CC4-8874-21AF2DA9491A}" name="産業中分類上位２０"/>
    <tableColumn id="10" xr3:uid="{4170EEF8-1C55-436E-9391-0B330AB0DBB5}" name="総数／事業所数" dataCellStyle="桁区切り"/>
    <tableColumn id="11" xr3:uid="{A9A3007F-E988-4D94-9EFD-3B851215E722}" name="総数／構成比" dataDxfId="187"/>
    <tableColumn id="12" xr3:uid="{9F6E1955-1E4D-43ED-B77C-D60D32565E8F}" name="個人／事業所数" dataCellStyle="桁区切り"/>
    <tableColumn id="13" xr3:uid="{A9079CDD-CFF1-4325-B2AE-9CDADAC98673}" name="個人／構成比" dataDxfId="186"/>
    <tableColumn id="14" xr3:uid="{43385B43-71B4-45D9-8E8B-14E57717A9F9}" name="法人／事業所数" dataCellStyle="桁区切り"/>
    <tableColumn id="15" xr3:uid="{90A5AAC3-2E71-45C1-897B-3FCF5CCE0A8F}" name="法人／構成比" dataDxfId="185"/>
    <tableColumn id="16" xr3:uid="{BB9B369D-3269-4C76-AEA2-24ED3592BFD8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AAE40847-C7D1-4EB9-8F2E-0EBB7A40AE7B}" name="S_TABLE_07504" displayName="S_TABLE_07504" ref="B47:I72" totalsRowShown="0">
  <autoFilter ref="B47:I72" xr:uid="{AAE40847-C7D1-4EB9-8F2E-0EBB7A40AE7B}"/>
  <tableColumns count="8">
    <tableColumn id="9" xr3:uid="{EBC16845-EBDC-494E-B52C-866D51E73544}" name="産業小分類上位２０"/>
    <tableColumn id="10" xr3:uid="{8E1D9532-49A6-4CE6-9EF2-BFFCEA21BD02}" name="総数／事業所数" dataCellStyle="桁区切り"/>
    <tableColumn id="11" xr3:uid="{2D8E9E53-8333-434C-8928-AC04BB350484}" name="総数／構成比" dataDxfId="184"/>
    <tableColumn id="12" xr3:uid="{6DB96857-0E71-450F-8B65-DC7F77BE772F}" name="個人／事業所数" dataCellStyle="桁区切り"/>
    <tableColumn id="13" xr3:uid="{05051D7F-7C48-461B-AB40-E07F8341DFFE}" name="個人／構成比" dataDxfId="183"/>
    <tableColumn id="14" xr3:uid="{29959132-D8D3-4AE2-AA96-A285820BBEA1}" name="法人／事業所数" dataCellStyle="桁区切り"/>
    <tableColumn id="15" xr3:uid="{001C08F6-837B-472A-8F29-E6733A8101A8}" name="法人／構成比" dataDxfId="182"/>
    <tableColumn id="16" xr3:uid="{1A81C048-FBD8-422C-BD96-02D64FF3838D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53AA7CE-8B0A-4FAE-AF4A-2270818FBBD1}" name="LTBL_07505" displayName="LTBL_07505" ref="B4:I20" totalsRowCount="1">
  <autoFilter ref="B4:I19" xr:uid="{B53AA7CE-8B0A-4FAE-AF4A-2270818FBBD1}"/>
  <tableColumns count="8">
    <tableColumn id="9" xr3:uid="{B480697E-9B09-43A0-A079-CDCAE96D3074}" name="産業大分類" totalsRowLabel="合計" totalsRowDxfId="181"/>
    <tableColumn id="10" xr3:uid="{E0C0024F-C31F-4ACF-A7FC-8ADECD3B2AA2}" name="総数／事業所数" totalsRowFunction="custom" totalsRowDxfId="180" dataCellStyle="桁区切り" totalsRowCellStyle="桁区切り">
      <totalsRowFormula>SUM(LTBL_07505[総数／事業所数])</totalsRowFormula>
    </tableColumn>
    <tableColumn id="11" xr3:uid="{1B53F346-D7C6-4387-A853-097C46E84B20}" name="総数／構成比" dataDxfId="179"/>
    <tableColumn id="12" xr3:uid="{1F9AF7CF-B916-4B33-ABE5-E3371B72208E}" name="個人／事業所数" totalsRowFunction="sum" totalsRowDxfId="178" dataCellStyle="桁区切り" totalsRowCellStyle="桁区切り"/>
    <tableColumn id="13" xr3:uid="{340CBB8E-DC3F-40A9-9700-AE2CE54ED68E}" name="個人／構成比" dataDxfId="177"/>
    <tableColumn id="14" xr3:uid="{78A6CF56-49DB-46D5-ACFF-11C8308F85CD}" name="法人／事業所数" totalsRowFunction="sum" totalsRowDxfId="176" dataCellStyle="桁区切り" totalsRowCellStyle="桁区切り"/>
    <tableColumn id="15" xr3:uid="{24401B11-1EBE-48F8-8B6B-6DB08150696E}" name="法人／構成比" dataDxfId="175"/>
    <tableColumn id="16" xr3:uid="{B0E901EA-83A8-4C6F-ABE7-AAE7C8F69843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507BB21-ACEF-4D87-8D95-81E2AE4E1001}" name="M_TABLE_07505" displayName="M_TABLE_07505" ref="B23:I47" totalsRowShown="0">
  <autoFilter ref="B23:I47" xr:uid="{2507BB21-ACEF-4D87-8D95-81E2AE4E1001}"/>
  <tableColumns count="8">
    <tableColumn id="9" xr3:uid="{DD14F0D0-31DF-461F-8AB8-5CBF8F1738DA}" name="産業中分類上位２０"/>
    <tableColumn id="10" xr3:uid="{F228BB49-EFDF-43B4-99B0-6D8C39319A6A}" name="総数／事業所数" dataCellStyle="桁区切り"/>
    <tableColumn id="11" xr3:uid="{D2C8EFA1-06B1-4E13-A52E-355C429F21D3}" name="総数／構成比" dataDxfId="173"/>
    <tableColumn id="12" xr3:uid="{885A2E83-2850-4EE2-B8F6-1878498144D5}" name="個人／事業所数" dataCellStyle="桁区切り"/>
    <tableColumn id="13" xr3:uid="{61C183B5-20D9-4941-A647-D83624D0CA68}" name="個人／構成比" dataDxfId="172"/>
    <tableColumn id="14" xr3:uid="{345F5398-237B-4486-A513-F162AE59CA00}" name="法人／事業所数" dataCellStyle="桁区切り"/>
    <tableColumn id="15" xr3:uid="{18EC631D-43EF-446B-9329-9334F87A96E6}" name="法人／構成比" dataDxfId="171"/>
    <tableColumn id="16" xr3:uid="{C57C02EA-1438-4478-ACC4-7CA5E05045CA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AB080325-C9DC-4280-BE16-FCF509F64894}" name="S_TABLE_07505" displayName="S_TABLE_07505" ref="B50:I85" totalsRowShown="0">
  <autoFilter ref="B50:I85" xr:uid="{AB080325-C9DC-4280-BE16-FCF509F64894}"/>
  <tableColumns count="8">
    <tableColumn id="9" xr3:uid="{0FE7BB8C-5AAE-4855-B39D-6439A0783629}" name="産業小分類上位２０"/>
    <tableColumn id="10" xr3:uid="{DB5CAA6F-26B4-4044-993E-45FABCFC5BFD}" name="総数／事業所数" dataCellStyle="桁区切り"/>
    <tableColumn id="11" xr3:uid="{5A79982A-B878-4AF3-93C3-8A14A84F4CB0}" name="総数／構成比" dataDxfId="170"/>
    <tableColumn id="12" xr3:uid="{301CD4A8-5173-4EDE-937B-483E1A005365}" name="個人／事業所数" dataCellStyle="桁区切り"/>
    <tableColumn id="13" xr3:uid="{9FD57D75-5054-416C-BB69-E1241F774288}" name="個人／構成比" dataDxfId="169"/>
    <tableColumn id="14" xr3:uid="{2AA60A03-09FD-427E-8F73-19B5AC17D24C}" name="法人／事業所数" dataCellStyle="桁区切り"/>
    <tableColumn id="15" xr3:uid="{B50D637A-67FB-4B8E-B82A-900124E3146F}" name="法人／構成比" dataDxfId="168"/>
    <tableColumn id="16" xr3:uid="{EF88CD2F-AE37-48C2-9667-DB70F7D60590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71391E6F-CBE0-4251-985A-47699E85E688}" name="LTBL_07521" displayName="LTBL_07521" ref="B4:I20" totalsRowCount="1">
  <autoFilter ref="B4:I19" xr:uid="{71391E6F-CBE0-4251-985A-47699E85E688}"/>
  <tableColumns count="8">
    <tableColumn id="9" xr3:uid="{6F32B3EF-DCAA-47EB-881C-EAED5842AC80}" name="産業大分類" totalsRowLabel="合計" totalsRowDxfId="167"/>
    <tableColumn id="10" xr3:uid="{507A80EC-21A0-4C5A-9980-D04E0979AE7C}" name="総数／事業所数" totalsRowFunction="custom" totalsRowDxfId="166" dataCellStyle="桁区切り" totalsRowCellStyle="桁区切り">
      <totalsRowFormula>SUM(LTBL_07521[総数／事業所数])</totalsRowFormula>
    </tableColumn>
    <tableColumn id="11" xr3:uid="{EC308D45-FDFF-4BAE-8BCE-AA2EC382C141}" name="総数／構成比" dataDxfId="165"/>
    <tableColumn id="12" xr3:uid="{8CB535A8-1A3D-49ED-A4AA-DC6FFC1424E6}" name="個人／事業所数" totalsRowFunction="sum" totalsRowDxfId="164" dataCellStyle="桁区切り" totalsRowCellStyle="桁区切り"/>
    <tableColumn id="13" xr3:uid="{FF899263-18B2-4D74-95E1-7475DE1CEDA8}" name="個人／構成比" dataDxfId="163"/>
    <tableColumn id="14" xr3:uid="{B647A17E-C1B8-4478-BC0A-FD5A01F2FA04}" name="法人／事業所数" totalsRowFunction="sum" totalsRowDxfId="162" dataCellStyle="桁区切り" totalsRowCellStyle="桁区切り"/>
    <tableColumn id="15" xr3:uid="{11813F63-DC09-4622-B01C-BA8815C16D80}" name="法人／構成比" dataDxfId="161"/>
    <tableColumn id="16" xr3:uid="{08C9D3D6-7EF0-49A5-BF41-F4F116819379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A01FE0A6-347B-4108-92E3-FBCABFFB3130}" name="M_TABLE_07521" displayName="M_TABLE_07521" ref="B23:I43" totalsRowShown="0">
  <autoFilter ref="B23:I43" xr:uid="{A01FE0A6-347B-4108-92E3-FBCABFFB3130}"/>
  <tableColumns count="8">
    <tableColumn id="9" xr3:uid="{5C21F127-6D46-4F9B-8984-45CF14F5D7F5}" name="産業中分類上位２０"/>
    <tableColumn id="10" xr3:uid="{8D3D596C-BFF3-43A3-90AA-69D105A88360}" name="総数／事業所数" dataCellStyle="桁区切り"/>
    <tableColumn id="11" xr3:uid="{230F9944-919C-4F0F-BD81-21A1885499CC}" name="総数／構成比" dataDxfId="159"/>
    <tableColumn id="12" xr3:uid="{3DD37C39-98FC-4E4E-A606-E25380D4787B}" name="個人／事業所数" dataCellStyle="桁区切り"/>
    <tableColumn id="13" xr3:uid="{4DA1A05F-E7A1-4D65-B5AD-8B2187C57184}" name="個人／構成比" dataDxfId="158"/>
    <tableColumn id="14" xr3:uid="{434EF148-E975-4802-8B63-F8F9D3F21670}" name="法人／事業所数" dataCellStyle="桁区切り"/>
    <tableColumn id="15" xr3:uid="{390D9514-BA68-4E9C-B08C-E20C540381F1}" name="法人／構成比" dataDxfId="157"/>
    <tableColumn id="16" xr3:uid="{2ABEF225-53A4-4AB6-AEFA-67BE83AF5EE8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B6507811-3ED7-417E-9C6D-3928A9AFA502}" name="S_TABLE_07521" displayName="S_TABLE_07521" ref="B46:I66" totalsRowShown="0">
  <autoFilter ref="B46:I66" xr:uid="{B6507811-3ED7-417E-9C6D-3928A9AFA502}"/>
  <tableColumns count="8">
    <tableColumn id="9" xr3:uid="{31E60743-01B1-4F15-BB65-01603F9F8814}" name="産業小分類上位２０"/>
    <tableColumn id="10" xr3:uid="{6AE66D1C-5697-4CE0-8B1F-0BE8AB2ED9B6}" name="総数／事業所数" dataCellStyle="桁区切り"/>
    <tableColumn id="11" xr3:uid="{483A97BF-61E1-4044-BDD5-B5B4D68843F1}" name="総数／構成比" dataDxfId="156"/>
    <tableColumn id="12" xr3:uid="{40C614E9-07F1-43FC-A44C-607C3A37BDF4}" name="個人／事業所数" dataCellStyle="桁区切り"/>
    <tableColumn id="13" xr3:uid="{1129C1D1-3CF9-415A-B8E5-51945444B73F}" name="個人／構成比" dataDxfId="155"/>
    <tableColumn id="14" xr3:uid="{E35523F9-EB3A-420A-A81F-C3F2A0F677AA}" name="法人／事業所数" dataCellStyle="桁区切り"/>
    <tableColumn id="15" xr3:uid="{4F84BC4B-D608-472B-BFE2-887E7E87456D}" name="法人／構成比" dataDxfId="154"/>
    <tableColumn id="16" xr3:uid="{F6C1DE7D-320F-4005-AD2D-C7CE69A12EED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A299892F-25BC-4E95-B242-BE3870008EF0}" name="LTBL_07522" displayName="LTBL_07522" ref="B4:I20" totalsRowCount="1">
  <autoFilter ref="B4:I19" xr:uid="{A299892F-25BC-4E95-B242-BE3870008EF0}"/>
  <tableColumns count="8">
    <tableColumn id="9" xr3:uid="{C42CA534-FB3C-4B38-B32F-7EF54FAE2CD1}" name="産業大分類" totalsRowLabel="合計" totalsRowDxfId="153"/>
    <tableColumn id="10" xr3:uid="{436503BC-EC07-488A-866F-06275E862FCB}" name="総数／事業所数" totalsRowFunction="custom" totalsRowDxfId="152" dataCellStyle="桁区切り" totalsRowCellStyle="桁区切り">
      <totalsRowFormula>SUM(LTBL_07522[総数／事業所数])</totalsRowFormula>
    </tableColumn>
    <tableColumn id="11" xr3:uid="{9233B80E-05BF-4660-B8D7-904CF3F22093}" name="総数／構成比" dataDxfId="151"/>
    <tableColumn id="12" xr3:uid="{7073DD06-146F-4D0D-A2C1-0728334679D6}" name="個人／事業所数" totalsRowFunction="sum" totalsRowDxfId="150" dataCellStyle="桁区切り" totalsRowCellStyle="桁区切り"/>
    <tableColumn id="13" xr3:uid="{3A5D207A-37AC-413D-B949-08540F3D277B}" name="個人／構成比" dataDxfId="149"/>
    <tableColumn id="14" xr3:uid="{5BCD32C4-530C-43B2-88B2-D2C46A9CDE24}" name="法人／事業所数" totalsRowFunction="sum" totalsRowDxfId="148" dataCellStyle="桁区切り" totalsRowCellStyle="桁区切り"/>
    <tableColumn id="15" xr3:uid="{1AAC3450-6ADC-4F11-83F4-EAD6E1728BA1}" name="法人／構成比" dataDxfId="147"/>
    <tableColumn id="16" xr3:uid="{AF69FE06-ED62-4966-85AB-08A37D7E5B94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576696AD-FC33-4C6A-82CE-57D151099D41}" name="M_TABLE_07522" displayName="M_TABLE_07522" ref="B23:I44" totalsRowShown="0">
  <autoFilter ref="B23:I44" xr:uid="{576696AD-FC33-4C6A-82CE-57D151099D41}"/>
  <tableColumns count="8">
    <tableColumn id="9" xr3:uid="{1A2398EF-B9E1-4777-9763-3C08BB2044EF}" name="産業中分類上位２０"/>
    <tableColumn id="10" xr3:uid="{78F5A560-2F3B-4DD0-8ECF-517C892DEB35}" name="総数／事業所数" dataCellStyle="桁区切り"/>
    <tableColumn id="11" xr3:uid="{9CED55BA-3507-487C-A65C-F9CF74F4F99C}" name="総数／構成比" dataDxfId="145"/>
    <tableColumn id="12" xr3:uid="{B6BF8E29-7982-4675-9C92-59340A4367A1}" name="個人／事業所数" dataCellStyle="桁区切り"/>
    <tableColumn id="13" xr3:uid="{735CB1AE-98FF-4A03-9A1E-C7496707FA03}" name="個人／構成比" dataDxfId="144"/>
    <tableColumn id="14" xr3:uid="{87AACC28-3374-4BFA-A990-86B085C840B8}" name="法人／事業所数" dataCellStyle="桁区切り"/>
    <tableColumn id="15" xr3:uid="{388E0A9D-7BD9-4B39-87FB-485D0B8B3F6E}" name="法人／構成比" dataDxfId="143"/>
    <tableColumn id="16" xr3:uid="{26E42FD5-0614-489B-B45E-971E36ADBFFF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C57628F-0039-46B5-A0C6-A2FD7FAEC62A}" name="S_TABLE_07204" displayName="S_TABLE_07204" ref="B46:I66" totalsRowShown="0">
  <autoFilter ref="B46:I66" xr:uid="{3C57628F-0039-46B5-A0C6-A2FD7FAEC62A}"/>
  <tableColumns count="8">
    <tableColumn id="9" xr3:uid="{D3E371ED-0B56-4EB6-B7E3-E5BFA228F136}" name="産業小分類上位２０"/>
    <tableColumn id="10" xr3:uid="{7D08A118-5978-41EF-85AA-FFCD155B7721}" name="総数／事業所数" dataCellStyle="桁区切り"/>
    <tableColumn id="11" xr3:uid="{D5D38C17-6832-4F98-9E48-ACEF4D75277C}" name="総数／構成比" dataDxfId="772"/>
    <tableColumn id="12" xr3:uid="{E54E6321-DC93-4EAB-99AC-B99B04DCD95A}" name="個人／事業所数" dataCellStyle="桁区切り"/>
    <tableColumn id="13" xr3:uid="{C6B7DD1E-4FA4-4F11-9E32-3EF2C11A4432}" name="個人／構成比" dataDxfId="771"/>
    <tableColumn id="14" xr3:uid="{6338658E-0032-4385-AC25-5F2929FE5318}" name="法人／事業所数" dataCellStyle="桁区切り"/>
    <tableColumn id="15" xr3:uid="{57A0B92C-5852-442D-B51A-B269B4C48034}" name="法人／構成比" dataDxfId="770"/>
    <tableColumn id="16" xr3:uid="{58848948-3351-42CD-ABAE-5E88A0E4A935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E95ACBEA-71F2-473D-8AA9-22CCD4891AF9}" name="S_TABLE_07522" displayName="S_TABLE_07522" ref="B47:I71" totalsRowShown="0">
  <autoFilter ref="B47:I71" xr:uid="{E95ACBEA-71F2-473D-8AA9-22CCD4891AF9}"/>
  <tableColumns count="8">
    <tableColumn id="9" xr3:uid="{C4CCA3FB-74FC-45B3-9DAC-73DD9840A278}" name="産業小分類上位２０"/>
    <tableColumn id="10" xr3:uid="{771B72CF-E0E9-4D3A-9256-4875C13F8D03}" name="総数／事業所数" dataCellStyle="桁区切り"/>
    <tableColumn id="11" xr3:uid="{3475B088-EF2E-4A9A-BF8F-1DEACFC03CE1}" name="総数／構成比" dataDxfId="142"/>
    <tableColumn id="12" xr3:uid="{3929985E-ED02-4109-A8A2-355C3A69A4C1}" name="個人／事業所数" dataCellStyle="桁区切り"/>
    <tableColumn id="13" xr3:uid="{88269580-375F-4347-8403-389079A0E64B}" name="個人／構成比" dataDxfId="141"/>
    <tableColumn id="14" xr3:uid="{D6401DBA-FDDC-429E-A759-9C43E8CDC2AF}" name="法人／事業所数" dataCellStyle="桁区切り"/>
    <tableColumn id="15" xr3:uid="{8FC6643F-7B74-4354-A20C-CC72819C015F}" name="法人／構成比" dataDxfId="140"/>
    <tableColumn id="16" xr3:uid="{0BA8CA90-39A8-4325-8978-C3517BC539C1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49DEC996-A364-4993-AAD1-65F2B73A4F64}" name="LTBL_07541" displayName="LTBL_07541" ref="B4:I20" totalsRowCount="1">
  <autoFilter ref="B4:I19" xr:uid="{49DEC996-A364-4993-AAD1-65F2B73A4F64}"/>
  <tableColumns count="8">
    <tableColumn id="9" xr3:uid="{E8C739F0-355C-4B73-BE35-BB51F98DD851}" name="産業大分類" totalsRowLabel="合計" totalsRowDxfId="139"/>
    <tableColumn id="10" xr3:uid="{51715A88-DC3D-44C5-85A6-FF12D1286103}" name="総数／事業所数" totalsRowFunction="custom" totalsRowDxfId="138" dataCellStyle="桁区切り" totalsRowCellStyle="桁区切り">
      <totalsRowFormula>SUM(LTBL_07541[総数／事業所数])</totalsRowFormula>
    </tableColumn>
    <tableColumn id="11" xr3:uid="{85B82519-F6D8-4223-81AD-2E5B13D92B5C}" name="総数／構成比" dataDxfId="137"/>
    <tableColumn id="12" xr3:uid="{2B952CCD-86FA-4D37-B158-DF23E83710C5}" name="個人／事業所数" totalsRowFunction="sum" totalsRowDxfId="136" dataCellStyle="桁区切り" totalsRowCellStyle="桁区切り"/>
    <tableColumn id="13" xr3:uid="{0783C2FB-F2DB-44E4-9A7C-CE7542E8CA28}" name="個人／構成比" dataDxfId="135"/>
    <tableColumn id="14" xr3:uid="{2228B6BA-8743-4425-A069-416D94442E63}" name="法人／事業所数" totalsRowFunction="sum" totalsRowDxfId="134" dataCellStyle="桁区切り" totalsRowCellStyle="桁区切り"/>
    <tableColumn id="15" xr3:uid="{90F2D19C-C26D-4079-9750-7EC397A8E305}" name="法人／構成比" dataDxfId="133"/>
    <tableColumn id="16" xr3:uid="{5303CFFB-EBE0-4C1C-8106-575CCC4685E2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FED4F3E-890E-4149-8C7A-0CC0BE90460C}" name="M_TABLE_07541" displayName="M_TABLE_07541" ref="B23:I56" totalsRowShown="0">
  <autoFilter ref="B23:I56" xr:uid="{0FED4F3E-890E-4149-8C7A-0CC0BE90460C}"/>
  <tableColumns count="8">
    <tableColumn id="9" xr3:uid="{E864975C-940D-43BF-8C37-DC79EECA6D7A}" name="産業中分類上位２０"/>
    <tableColumn id="10" xr3:uid="{79FEB0A1-A584-400A-95A5-40BC2DE15B32}" name="総数／事業所数" dataCellStyle="桁区切り"/>
    <tableColumn id="11" xr3:uid="{72B70480-21EA-46B1-BDAB-5BB7B3E209E0}" name="総数／構成比" dataDxfId="131"/>
    <tableColumn id="12" xr3:uid="{9592E728-4D46-4A66-8FCA-FF251A5291DE}" name="個人／事業所数" dataCellStyle="桁区切り"/>
    <tableColumn id="13" xr3:uid="{9EAB5554-FEA0-4F8A-A43D-51A9445B4C89}" name="個人／構成比" dataDxfId="130"/>
    <tableColumn id="14" xr3:uid="{6CB832E7-3207-477A-B7AA-EA318F9B298D}" name="法人／事業所数" dataCellStyle="桁区切り"/>
    <tableColumn id="15" xr3:uid="{C5B6AA45-76E6-4E28-9D8F-A7D05C739762}" name="法人／構成比" dataDxfId="129"/>
    <tableColumn id="16" xr3:uid="{56D0FAFC-B6F1-447A-9555-C16C1E929FEE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86A9475C-C18F-490E-92A8-C490AF6B7EBF}" name="S_TABLE_07541" displayName="S_TABLE_07541" ref="B59:I83" totalsRowShown="0">
  <autoFilter ref="B59:I83" xr:uid="{86A9475C-C18F-490E-92A8-C490AF6B7EBF}"/>
  <tableColumns count="8">
    <tableColumn id="9" xr3:uid="{98822CD8-20C7-4A69-8C49-0643C416B914}" name="産業小分類上位２０"/>
    <tableColumn id="10" xr3:uid="{ECA84547-34AE-4DF0-A6C2-6BD550BCCE77}" name="総数／事業所数" dataCellStyle="桁区切り"/>
    <tableColumn id="11" xr3:uid="{E8999709-3452-4661-8179-499691F8DA05}" name="総数／構成比" dataDxfId="128"/>
    <tableColumn id="12" xr3:uid="{7E6F9E6E-61D0-4919-9E5D-9353CA13949C}" name="個人／事業所数" dataCellStyle="桁区切り"/>
    <tableColumn id="13" xr3:uid="{5CA7064A-8484-4C93-99FE-6AAC8AA97208}" name="個人／構成比" dataDxfId="127"/>
    <tableColumn id="14" xr3:uid="{74F9F6E6-32F5-4D51-BEED-5E38C44107B9}" name="法人／事業所数" dataCellStyle="桁区切り"/>
    <tableColumn id="15" xr3:uid="{E64DD21C-B8BE-4864-B8AD-1E66CEB85580}" name="法人／構成比" dataDxfId="126"/>
    <tableColumn id="16" xr3:uid="{4766F673-52AF-4382-BE33-3B135E1862D4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5E0DC7A1-B961-4040-B1DC-7EB4EDFB8343}" name="LTBL_07542" displayName="LTBL_07542" ref="B4:I20" totalsRowCount="1">
  <autoFilter ref="B4:I19" xr:uid="{5E0DC7A1-B961-4040-B1DC-7EB4EDFB8343}"/>
  <tableColumns count="8">
    <tableColumn id="9" xr3:uid="{2369AE17-E8AB-41B7-8F72-A741CB09A245}" name="産業大分類" totalsRowLabel="合計" totalsRowDxfId="125"/>
    <tableColumn id="10" xr3:uid="{00197179-E618-4E4A-B5AD-BADD9E23B9EC}" name="総数／事業所数" totalsRowFunction="custom" totalsRowDxfId="124" dataCellStyle="桁区切り" totalsRowCellStyle="桁区切り">
      <totalsRowFormula>SUM(LTBL_07542[総数／事業所数])</totalsRowFormula>
    </tableColumn>
    <tableColumn id="11" xr3:uid="{DD97EAD1-D813-4873-B207-3C43A8DA3767}" name="総数／構成比" dataDxfId="123"/>
    <tableColumn id="12" xr3:uid="{C25DB727-5826-4ADA-B8DF-2E83FEB42461}" name="個人／事業所数" totalsRowFunction="sum" totalsRowDxfId="122" dataCellStyle="桁区切り" totalsRowCellStyle="桁区切り"/>
    <tableColumn id="13" xr3:uid="{4C5BF2B7-D17F-4A59-AC26-BC326D88A164}" name="個人／構成比" dataDxfId="121"/>
    <tableColumn id="14" xr3:uid="{A7C7A8F7-8961-4813-9B9B-4201477D8DEC}" name="法人／事業所数" totalsRowFunction="sum" totalsRowDxfId="120" dataCellStyle="桁区切り" totalsRowCellStyle="桁区切り"/>
    <tableColumn id="15" xr3:uid="{05087BBB-A28B-4359-98BE-0244E0292FD5}" name="法人／構成比" dataDxfId="119"/>
    <tableColumn id="16" xr3:uid="{BBCC2EDD-9472-4BD4-87FC-6A021B5F438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AB3DE01F-505B-4F0C-A29D-360333A4F7F8}" name="M_TABLE_07542" displayName="M_TABLE_07542" ref="B23:I43" totalsRowShown="0">
  <autoFilter ref="B23:I43" xr:uid="{AB3DE01F-505B-4F0C-A29D-360333A4F7F8}"/>
  <tableColumns count="8">
    <tableColumn id="9" xr3:uid="{5C0DA3B5-99C4-4CCE-B448-FB6413D78C27}" name="産業中分類上位２０"/>
    <tableColumn id="10" xr3:uid="{1E41B53E-1BDD-4DEE-8C79-983A6D36C4FA}" name="総数／事業所数" dataCellStyle="桁区切り"/>
    <tableColumn id="11" xr3:uid="{69036D20-384B-40CA-80BB-B8BF2104655B}" name="総数／構成比" dataDxfId="117"/>
    <tableColumn id="12" xr3:uid="{C54A1C9A-BF10-4723-8496-C8867D03E548}" name="個人／事業所数" dataCellStyle="桁区切り"/>
    <tableColumn id="13" xr3:uid="{E9CA9040-B68B-4C7D-BC92-9DC5B9045002}" name="個人／構成比" dataDxfId="116"/>
    <tableColumn id="14" xr3:uid="{7DFD12F3-E0B6-442F-983D-8C206C61882C}" name="法人／事業所数" dataCellStyle="桁区切り"/>
    <tableColumn id="15" xr3:uid="{15A225F1-F95E-48C7-8528-E09EB484FC70}" name="法人／構成比" dataDxfId="115"/>
    <tableColumn id="16" xr3:uid="{7A317688-0F14-4387-B753-C4627F1D7AE3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A9BB026D-35AC-4053-8C3B-26DFB07C2CDD}" name="S_TABLE_07542" displayName="S_TABLE_07542" ref="B46:I70" totalsRowShown="0">
  <autoFilter ref="B46:I70" xr:uid="{A9BB026D-35AC-4053-8C3B-26DFB07C2CDD}"/>
  <tableColumns count="8">
    <tableColumn id="9" xr3:uid="{D0F56ED1-0A45-4A5A-B6A1-B7205464A7E3}" name="産業小分類上位２０"/>
    <tableColumn id="10" xr3:uid="{88D954A8-B10C-4145-B624-E81417748B2A}" name="総数／事業所数" dataCellStyle="桁区切り"/>
    <tableColumn id="11" xr3:uid="{63B19F79-86CB-4B4E-8B7E-3D32BD19F616}" name="総数／構成比" dataDxfId="114"/>
    <tableColumn id="12" xr3:uid="{C5C0C97C-5931-4FC9-BD2A-C1FA6891E0FC}" name="個人／事業所数" dataCellStyle="桁区切り"/>
    <tableColumn id="13" xr3:uid="{07D5A3E0-D53C-4B5E-A1DC-4D692D565EFA}" name="個人／構成比" dataDxfId="113"/>
    <tableColumn id="14" xr3:uid="{D1846A45-D06F-4494-9E3A-F10EA5291425}" name="法人／事業所数" dataCellStyle="桁区切り"/>
    <tableColumn id="15" xr3:uid="{51DCCDEC-BF01-458E-ADD3-5DC2B50CA906}" name="法人／構成比" dataDxfId="112"/>
    <tableColumn id="16" xr3:uid="{C259E9E5-0953-43A6-B9EB-32BAE737418C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EF1827A7-6955-41D9-B40A-74DB3D94D182}" name="LTBL_07543" displayName="LTBL_07543" ref="B4:I20" totalsRowCount="1">
  <autoFilter ref="B4:I19" xr:uid="{EF1827A7-6955-41D9-B40A-74DB3D94D182}"/>
  <tableColumns count="8">
    <tableColumn id="9" xr3:uid="{CEEB3310-B24D-44C3-8673-9921963ADEE8}" name="産業大分類" totalsRowLabel="合計" totalsRowDxfId="111"/>
    <tableColumn id="10" xr3:uid="{41E075FE-DD0E-4F06-9A1B-F084C13A44DE}" name="総数／事業所数" totalsRowFunction="custom" totalsRowDxfId="110" dataCellStyle="桁区切り" totalsRowCellStyle="桁区切り">
      <totalsRowFormula>SUM(LTBL_07543[総数／事業所数])</totalsRowFormula>
    </tableColumn>
    <tableColumn id="11" xr3:uid="{24BB5204-5963-42D5-BF82-8F1A3C183145}" name="総数／構成比" dataDxfId="109"/>
    <tableColumn id="12" xr3:uid="{6453750B-40A2-41EF-9333-F6F95D02D3F7}" name="個人／事業所数" totalsRowFunction="sum" totalsRowDxfId="108" dataCellStyle="桁区切り" totalsRowCellStyle="桁区切り"/>
    <tableColumn id="13" xr3:uid="{5D48BF3F-ACA5-4DA0-9287-E8C54FBE2749}" name="個人／構成比" dataDxfId="107"/>
    <tableColumn id="14" xr3:uid="{60E2F088-76DB-412E-9647-7B7C14CB87C2}" name="法人／事業所数" totalsRowFunction="sum" totalsRowDxfId="106" dataCellStyle="桁区切り" totalsRowCellStyle="桁区切り"/>
    <tableColumn id="15" xr3:uid="{FA9ABCE6-B8AA-4BB6-8570-949A97BE9C4F}" name="法人／構成比" dataDxfId="105"/>
    <tableColumn id="16" xr3:uid="{70F75A49-5E82-4CD6-AC5B-B7C9A4C238CB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E866823D-FFC9-4A24-9536-8B860BC42AC2}" name="M_TABLE_07543" displayName="M_TABLE_07543" ref="B23:I51" totalsRowShown="0">
  <autoFilter ref="B23:I51" xr:uid="{E866823D-FFC9-4A24-9536-8B860BC42AC2}"/>
  <tableColumns count="8">
    <tableColumn id="9" xr3:uid="{BCAF3E44-19E3-4E2D-B9EF-99D0B37E1469}" name="産業中分類上位２０"/>
    <tableColumn id="10" xr3:uid="{7A352AF6-468F-4F4D-B36F-38151B89A5DF}" name="総数／事業所数" dataCellStyle="桁区切り"/>
    <tableColumn id="11" xr3:uid="{4C9CBB95-8CA1-4954-8D5A-D9216D7B259F}" name="総数／構成比" dataDxfId="103"/>
    <tableColumn id="12" xr3:uid="{0948EFB6-FF4E-4E0D-9E6D-9E866E683C44}" name="個人／事業所数" dataCellStyle="桁区切り"/>
    <tableColumn id="13" xr3:uid="{0737E8B2-5C0E-4814-951D-8FEF26CDB037}" name="個人／構成比" dataDxfId="102"/>
    <tableColumn id="14" xr3:uid="{15A5A841-C2A8-48FA-8DFD-58544DF1039A}" name="法人／事業所数" dataCellStyle="桁区切り"/>
    <tableColumn id="15" xr3:uid="{56625C5D-5B1B-4D77-9282-F700442403AD}" name="法人／構成比" dataDxfId="101"/>
    <tableColumn id="16" xr3:uid="{4699618F-DCDB-44D7-BA0C-8ECC322A0906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BD1A36E5-68F6-4F6B-ACAE-BDE23F6E7706}" name="S_TABLE_07543" displayName="S_TABLE_07543" ref="B54:I97" totalsRowShown="0">
  <autoFilter ref="B54:I97" xr:uid="{BD1A36E5-68F6-4F6B-ACAE-BDE23F6E7706}"/>
  <tableColumns count="8">
    <tableColumn id="9" xr3:uid="{0F258C8A-AE39-476E-B146-70A7C61ED60F}" name="産業小分類上位２０"/>
    <tableColumn id="10" xr3:uid="{77854475-76D7-42C2-B47B-AC57EFCC9D89}" name="総数／事業所数" dataCellStyle="桁区切り"/>
    <tableColumn id="11" xr3:uid="{16EEC580-34AA-4AA0-A1E4-B1D5A986D4F2}" name="総数／構成比" dataDxfId="100"/>
    <tableColumn id="12" xr3:uid="{54B70D81-101B-409F-A66B-D1F598F3C25B}" name="個人／事業所数" dataCellStyle="桁区切り"/>
    <tableColumn id="13" xr3:uid="{894B85DD-0895-4133-98E2-AC78601D5860}" name="個人／構成比" dataDxfId="99"/>
    <tableColumn id="14" xr3:uid="{D34B1BC5-E5C8-46F6-81A7-124D410D0F47}" name="法人／事業所数" dataCellStyle="桁区切り"/>
    <tableColumn id="15" xr3:uid="{A87C71EA-6C88-442F-AF49-2CD9AB7A0AE2}" name="法人／構成比" dataDxfId="98"/>
    <tableColumn id="16" xr3:uid="{19A0F866-7A9E-48E3-8DE7-88682D102EFC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6178D3A-6AD2-46B2-A476-68430F0C5D37}" name="LTBL_07205" displayName="LTBL_07205" ref="B4:I20" totalsRowCount="1">
  <autoFilter ref="B4:I19" xr:uid="{66178D3A-6AD2-46B2-A476-68430F0C5D37}"/>
  <tableColumns count="8">
    <tableColumn id="9" xr3:uid="{82D96CB9-0D42-4361-AA4B-F23879C535B4}" name="産業大分類" totalsRowLabel="合計" totalsRowDxfId="769"/>
    <tableColumn id="10" xr3:uid="{5CA0EA1A-D8FD-4453-BEFF-8C4400B94F2D}" name="総数／事業所数" totalsRowFunction="custom" totalsRowDxfId="768" dataCellStyle="桁区切り" totalsRowCellStyle="桁区切り">
      <totalsRowFormula>SUM(LTBL_07205[総数／事業所数])</totalsRowFormula>
    </tableColumn>
    <tableColumn id="11" xr3:uid="{4D16C041-5A53-4E4D-90B5-653690010945}" name="総数／構成比" dataDxfId="767"/>
    <tableColumn id="12" xr3:uid="{11D008C6-DC66-482A-AD60-B22003D7A218}" name="個人／事業所数" totalsRowFunction="sum" totalsRowDxfId="766" dataCellStyle="桁区切り" totalsRowCellStyle="桁区切り"/>
    <tableColumn id="13" xr3:uid="{7C5914A5-DAC4-4858-9C06-5A88BF5BAAF7}" name="個人／構成比" dataDxfId="765"/>
    <tableColumn id="14" xr3:uid="{A844E7EF-2F85-4BEE-A428-180B94AFD61A}" name="法人／事業所数" totalsRowFunction="sum" totalsRowDxfId="764" dataCellStyle="桁区切り" totalsRowCellStyle="桁区切り"/>
    <tableColumn id="15" xr3:uid="{DA7C21E9-1596-457F-9530-7626D73AF7AC}" name="法人／構成比" dataDxfId="763"/>
    <tableColumn id="16" xr3:uid="{14C7B285-F274-4CB6-A4BA-30C0A2CEBE05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D5B6634E-4580-4246-A6EF-FD71267705CF}" name="LTBL_07544" displayName="LTBL_07544" ref="B4:I20" totalsRowCount="1">
  <autoFilter ref="B4:I19" xr:uid="{D5B6634E-4580-4246-A6EF-FD71267705CF}"/>
  <tableColumns count="8">
    <tableColumn id="9" xr3:uid="{C7F828C3-437A-429B-8D00-69AAE76AD132}" name="産業大分類" totalsRowLabel="合計" totalsRowDxfId="97"/>
    <tableColumn id="10" xr3:uid="{12417961-F1DE-4582-9848-09A5E89E742B}" name="総数／事業所数" totalsRowFunction="custom" totalsRowDxfId="96" dataCellStyle="桁区切り" totalsRowCellStyle="桁区切り">
      <totalsRowFormula>SUM(LTBL_07544[総数／事業所数])</totalsRowFormula>
    </tableColumn>
    <tableColumn id="11" xr3:uid="{A3B93763-8B87-47DA-9792-E75DDEF0E6C9}" name="総数／構成比" dataDxfId="95"/>
    <tableColumn id="12" xr3:uid="{E9513066-449B-442F-8167-4B5A727C7359}" name="個人／事業所数" totalsRowFunction="sum" totalsRowDxfId="94" dataCellStyle="桁区切り" totalsRowCellStyle="桁区切り"/>
    <tableColumn id="13" xr3:uid="{6ECA448B-A021-4855-8352-2A2382581B73}" name="個人／構成比" dataDxfId="93"/>
    <tableColumn id="14" xr3:uid="{27C4BFB3-8870-4CCB-ADF6-DDFBD39634EF}" name="法人／事業所数" totalsRowFunction="sum" totalsRowDxfId="92" dataCellStyle="桁区切り" totalsRowCellStyle="桁区切り"/>
    <tableColumn id="15" xr3:uid="{99E848D2-D6A2-4092-958E-8F1A8F41C31D}" name="法人／構成比" dataDxfId="91"/>
    <tableColumn id="16" xr3:uid="{D08E6F21-E143-479A-9AD5-3E202AA9ACDC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D5700B9F-F8DC-4ACE-BDD3-5E461BC17325}" name="M_TABLE_07544" displayName="M_TABLE_07544" ref="B23:I42" totalsRowShown="0">
  <autoFilter ref="B23:I42" xr:uid="{D5700B9F-F8DC-4ACE-BDD3-5E461BC17325}"/>
  <tableColumns count="8">
    <tableColumn id="9" xr3:uid="{296AB97C-CCD5-4282-BE43-1C2257B33E1A}" name="産業中分類上位２０"/>
    <tableColumn id="10" xr3:uid="{A3075705-0A25-4A97-AB50-E792C12CC75F}" name="総数／事業所数" dataCellStyle="桁区切り"/>
    <tableColumn id="11" xr3:uid="{1D08034D-289B-48A4-A601-9B479A0372AA}" name="総数／構成比" dataDxfId="89"/>
    <tableColumn id="12" xr3:uid="{D102DA8D-9EA9-402B-A8FE-D087B0806A0F}" name="個人／事業所数" dataCellStyle="桁区切り"/>
    <tableColumn id="13" xr3:uid="{BF468728-AE06-4AD5-9824-C384339192B4}" name="個人／構成比" dataDxfId="88"/>
    <tableColumn id="14" xr3:uid="{9128DABA-DED5-4B12-99B8-1B99922B3382}" name="法人／事業所数" dataCellStyle="桁区切り"/>
    <tableColumn id="15" xr3:uid="{95D2B696-7304-494E-AFCF-B71A2BF8D499}" name="法人／構成比" dataDxfId="87"/>
    <tableColumn id="16" xr3:uid="{D1C4135E-EA83-4AE7-A43A-D81126A1DBAD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4D6EA9A1-39ED-4DFB-81A8-7460D01D7701}" name="S_TABLE_07544" displayName="S_TABLE_07544" ref="B45:I78" totalsRowShown="0">
  <autoFilter ref="B45:I78" xr:uid="{4D6EA9A1-39ED-4DFB-81A8-7460D01D7701}"/>
  <tableColumns count="8">
    <tableColumn id="9" xr3:uid="{AF70C6AF-57F3-4CE8-A523-3DC0E754949A}" name="産業小分類上位２０"/>
    <tableColumn id="10" xr3:uid="{FE6E641C-9084-417F-AFB4-570BCE32E9AD}" name="総数／事業所数" dataCellStyle="桁区切り"/>
    <tableColumn id="11" xr3:uid="{72939612-F3A2-4523-ABE0-DCE35C390F0A}" name="総数／構成比" dataDxfId="86"/>
    <tableColumn id="12" xr3:uid="{E29DB2C2-ED64-4C15-B4EC-4157F0303C4E}" name="個人／事業所数" dataCellStyle="桁区切り"/>
    <tableColumn id="13" xr3:uid="{F7E2423C-C15B-41E4-A54C-5BE4D89B8AFF}" name="個人／構成比" dataDxfId="85"/>
    <tableColumn id="14" xr3:uid="{AB4315BA-9B28-4564-AC94-08E31977D930}" name="法人／事業所数" dataCellStyle="桁区切り"/>
    <tableColumn id="15" xr3:uid="{BB82F677-7CB7-4E4E-B017-2ED009BCE38B}" name="法人／構成比" dataDxfId="84"/>
    <tableColumn id="16" xr3:uid="{38B1AF03-03EF-42CE-B920-858D6E20FA6C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5E78073F-7CC0-4DBF-9566-AFE6874B4ED4}" name="LTBL_07545" displayName="LTBL_07545" ref="B4:I20" totalsRowCount="1">
  <autoFilter ref="B4:I19" xr:uid="{5E78073F-7CC0-4DBF-9566-AFE6874B4ED4}"/>
  <tableColumns count="8">
    <tableColumn id="9" xr3:uid="{06EC5058-6A46-44D8-B4AB-EA90F2F9281F}" name="産業大分類" totalsRowLabel="合計" totalsRowDxfId="83"/>
    <tableColumn id="10" xr3:uid="{118B3C3B-003B-4462-B952-D6D38FA6AFC9}" name="総数／事業所数" totalsRowFunction="custom" totalsRowDxfId="82" dataCellStyle="桁区切り" totalsRowCellStyle="桁区切り">
      <totalsRowFormula>SUM(LTBL_07545[総数／事業所数])</totalsRowFormula>
    </tableColumn>
    <tableColumn id="11" xr3:uid="{95E611EA-3674-4EE7-A460-51CAE3292B90}" name="総数／構成比" dataDxfId="81"/>
    <tableColumn id="12" xr3:uid="{7A70D2DF-AF0B-49B7-914D-17EC5CE338F5}" name="個人／事業所数" totalsRowFunction="sum" totalsRowDxfId="80" dataCellStyle="桁区切り" totalsRowCellStyle="桁区切り"/>
    <tableColumn id="13" xr3:uid="{04434A07-E0A8-41A4-AD10-70B3ECB37940}" name="個人／構成比" dataDxfId="79"/>
    <tableColumn id="14" xr3:uid="{9068C9CC-A530-46D1-BF86-FEAE7DB356D8}" name="法人／事業所数" totalsRowFunction="sum" totalsRowDxfId="78" dataCellStyle="桁区切り" totalsRowCellStyle="桁区切り"/>
    <tableColumn id="15" xr3:uid="{BCE52BD7-A754-42AA-983E-7B5725D92D93}" name="法人／構成比" dataDxfId="77"/>
    <tableColumn id="16" xr3:uid="{6DCCFB3E-8493-405F-B879-04BDE1DE2F78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7774A0E6-E2AB-4578-88DD-5EBA65ACE65F}" name="M_TABLE_07545" displayName="M_TABLE_07545" ref="B23:I29" totalsRowShown="0">
  <autoFilter ref="B23:I29" xr:uid="{7774A0E6-E2AB-4578-88DD-5EBA65ACE65F}"/>
  <tableColumns count="8">
    <tableColumn id="9" xr3:uid="{1E18466A-79AD-441F-B745-42827BD0909D}" name="産業中分類上位２０"/>
    <tableColumn id="10" xr3:uid="{22EF53CB-9C19-4D92-A42A-C9AE42C64142}" name="総数／事業所数" dataCellStyle="桁区切り"/>
    <tableColumn id="11" xr3:uid="{96F8FAAD-2775-45FF-843F-578CB7B80115}" name="総数／構成比" dataDxfId="75"/>
    <tableColumn id="12" xr3:uid="{A2C2113C-8059-45A0-9F7B-22611E4F4240}" name="個人／事業所数" dataCellStyle="桁区切り"/>
    <tableColumn id="13" xr3:uid="{0ECC0E65-1194-4562-BC74-0B60BDEDD9C7}" name="個人／構成比" dataDxfId="74"/>
    <tableColumn id="14" xr3:uid="{CA1029DE-FA55-4E63-96DA-11B2B8804CCB}" name="法人／事業所数" dataCellStyle="桁区切り"/>
    <tableColumn id="15" xr3:uid="{7268F4F9-27DC-4BCD-99F0-F913C7247783}" name="法人／構成比" dataDxfId="73"/>
    <tableColumn id="16" xr3:uid="{EA8CCD05-6CAC-480D-A7F8-EC5F7C8CCB22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450B324A-7D78-4457-ADCE-C1F3AD456AAE}" name="S_TABLE_07545" displayName="S_TABLE_07545" ref="B32:I40" totalsRowShown="0">
  <autoFilter ref="B32:I40" xr:uid="{450B324A-7D78-4457-ADCE-C1F3AD456AAE}"/>
  <tableColumns count="8">
    <tableColumn id="9" xr3:uid="{04D2426C-1A14-470A-B1ED-7D8AE6EDFFDA}" name="産業小分類上位２０"/>
    <tableColumn id="10" xr3:uid="{D23D6EE6-C1DF-49FC-9F0B-5D8528F1CC4E}" name="総数／事業所数" dataCellStyle="桁区切り"/>
    <tableColumn id="11" xr3:uid="{97517B40-E4A6-4B34-9F81-8FFD94BFF3B2}" name="総数／構成比" dataDxfId="72"/>
    <tableColumn id="12" xr3:uid="{8CFA89B4-7D06-4E77-8D19-3B1E4002317F}" name="個人／事業所数" dataCellStyle="桁区切り"/>
    <tableColumn id="13" xr3:uid="{5F6CDB51-DD9D-4B58-A9B1-123E329A6DD0}" name="個人／構成比" dataDxfId="71"/>
    <tableColumn id="14" xr3:uid="{82D0C896-2915-4325-917F-8D5EB7442C7C}" name="法人／事業所数" dataCellStyle="桁区切り"/>
    <tableColumn id="15" xr3:uid="{880B40D9-9249-4987-A81F-28CD7D3A6227}" name="法人／構成比" dataDxfId="70"/>
    <tableColumn id="16" xr3:uid="{20322EDB-069E-48B5-833C-91A5C9CFEAA1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6660B295-E65A-4AF7-978E-C2DD42B08587}" name="LTBL_07546" displayName="LTBL_07546" ref="B4:I20" totalsRowCount="1">
  <autoFilter ref="B4:I19" xr:uid="{6660B295-E65A-4AF7-978E-C2DD42B08587}"/>
  <tableColumns count="8">
    <tableColumn id="9" xr3:uid="{95B6C0F1-5754-4A7E-A223-7FC01BC58495}" name="産業大分類" totalsRowLabel="合計" totalsRowDxfId="69"/>
    <tableColumn id="10" xr3:uid="{6CF53729-F6A2-44F0-A105-3AF21D44F81F}" name="総数／事業所数" totalsRowFunction="custom" totalsRowDxfId="68" dataCellStyle="桁区切り" totalsRowCellStyle="桁区切り">
      <totalsRowFormula>SUM(LTBL_07546[総数／事業所数])</totalsRowFormula>
    </tableColumn>
    <tableColumn id="11" xr3:uid="{D8C53771-D251-42DF-B079-CC1542CEDF6B}" name="総数／構成比" dataDxfId="67"/>
    <tableColumn id="12" xr3:uid="{0D578508-9D61-434B-8E2F-4E56FB6ACBDA}" name="個人／事業所数" totalsRowFunction="sum" totalsRowDxfId="66" dataCellStyle="桁区切り" totalsRowCellStyle="桁区切り"/>
    <tableColumn id="13" xr3:uid="{A09B8BB2-275B-474A-9F5F-6B9E127E288B}" name="個人／構成比" dataDxfId="65"/>
    <tableColumn id="14" xr3:uid="{335346AD-58A8-4E68-88DA-FE5A6117FFC1}" name="法人／事業所数" totalsRowFunction="sum" totalsRowDxfId="64" dataCellStyle="桁区切り" totalsRowCellStyle="桁区切り"/>
    <tableColumn id="15" xr3:uid="{5BFD1B31-79C1-4284-9130-A1275FC78524}" name="法人／構成比" dataDxfId="63"/>
    <tableColumn id="16" xr3:uid="{B1880C30-1C99-4B79-8C00-EDEE7A017904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7F5146BA-3D86-4DFA-9FDB-59CE47EDC403}" name="M_TABLE_07546" displayName="M_TABLE_07546" ref="B23:I26" totalsRowShown="0">
  <autoFilter ref="B23:I26" xr:uid="{7F5146BA-3D86-4DFA-9FDB-59CE47EDC403}"/>
  <tableColumns count="8">
    <tableColumn id="9" xr3:uid="{CAAAEB20-9FDC-4642-8C41-EE9C382A4E0B}" name="産業中分類上位２０"/>
    <tableColumn id="10" xr3:uid="{0052E877-4CFF-4529-9D8B-B0E5A94C0CFE}" name="総数／事業所数" dataCellStyle="桁区切り"/>
    <tableColumn id="11" xr3:uid="{CE0CC3FC-635F-4210-97A6-4977BF7A7A49}" name="総数／構成比" dataDxfId="61"/>
    <tableColumn id="12" xr3:uid="{596AE5D4-0974-4A14-B204-C48F0791F16D}" name="個人／事業所数" dataCellStyle="桁区切り"/>
    <tableColumn id="13" xr3:uid="{3DCAD1C7-B017-4091-8F2F-D8A5725601A0}" name="個人／構成比" dataDxfId="60"/>
    <tableColumn id="14" xr3:uid="{AA84483E-45E2-4C99-BB66-3C5245FA6FAD}" name="法人／事業所数" dataCellStyle="桁区切り"/>
    <tableColumn id="15" xr3:uid="{F579748D-BFC4-45FB-9332-7AA5354907D5}" name="法人／構成比" dataDxfId="59"/>
    <tableColumn id="16" xr3:uid="{65373302-2E42-4BA0-ABAF-1387E0F94532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9754CDBE-4832-4EBC-8207-C968C29D0644}" name="S_TABLE_07546" displayName="S_TABLE_07546" ref="B29:I32" totalsRowShown="0">
  <autoFilter ref="B29:I32" xr:uid="{9754CDBE-4832-4EBC-8207-C968C29D0644}"/>
  <tableColumns count="8">
    <tableColumn id="9" xr3:uid="{061CE803-909F-44CE-ADEB-E4F3B5A43785}" name="産業小分類上位２０"/>
    <tableColumn id="10" xr3:uid="{4C84BC12-1B3D-4315-918E-CDD9B5C36D5F}" name="総数／事業所数" dataCellStyle="桁区切り"/>
    <tableColumn id="11" xr3:uid="{2A9C472E-95E9-4964-AC38-E09B375B6977}" name="総数／構成比" dataDxfId="58"/>
    <tableColumn id="12" xr3:uid="{776DE64C-8BFF-449C-9285-DC197A9E7BBB}" name="個人／事業所数" dataCellStyle="桁区切り"/>
    <tableColumn id="13" xr3:uid="{E30D24BF-8926-4D64-ABC5-7877DAFF90A3}" name="個人／構成比" dataDxfId="57"/>
    <tableColumn id="14" xr3:uid="{DF7272CA-5471-4E78-AD0B-CD9D9B60B09F}" name="法人／事業所数" dataCellStyle="桁区切り"/>
    <tableColumn id="15" xr3:uid="{6E99023B-B887-4144-A5EC-3E91CFF6665E}" name="法人／構成比" dataDxfId="56"/>
    <tableColumn id="16" xr3:uid="{FC499B49-4B14-45C6-957A-46015D8EE83D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2195FDC8-B300-4C8E-839B-4DCC6F310501}" name="LTBL_07547" displayName="LTBL_07547" ref="B4:I20" totalsRowCount="1">
  <autoFilter ref="B4:I19" xr:uid="{2195FDC8-B300-4C8E-839B-4DCC6F310501}"/>
  <tableColumns count="8">
    <tableColumn id="9" xr3:uid="{4CA573A8-E46D-437C-8A04-0447C4873071}" name="産業大分類" totalsRowLabel="合計" totalsRowDxfId="55"/>
    <tableColumn id="10" xr3:uid="{F2CBE3EF-F688-43C5-A773-19315AF1ABD5}" name="総数／事業所数" totalsRowFunction="custom" totalsRowDxfId="54" dataCellStyle="桁区切り" totalsRowCellStyle="桁区切り">
      <totalsRowFormula>SUM(LTBL_07547[総数／事業所数])</totalsRowFormula>
    </tableColumn>
    <tableColumn id="11" xr3:uid="{23C595D4-3410-49F9-9234-792BDDF58813}" name="総数／構成比" dataDxfId="53"/>
    <tableColumn id="12" xr3:uid="{D7FEB118-B834-4192-8879-E2DF091E0758}" name="個人／事業所数" totalsRowFunction="sum" totalsRowDxfId="52" dataCellStyle="桁区切り" totalsRowCellStyle="桁区切り"/>
    <tableColumn id="13" xr3:uid="{1C976586-DAD0-48C2-9B8D-016FA46B037A}" name="個人／構成比" dataDxfId="51"/>
    <tableColumn id="14" xr3:uid="{F502D2CD-78B4-4C76-927F-B2546BA78761}" name="法人／事業所数" totalsRowFunction="sum" totalsRowDxfId="50" dataCellStyle="桁区切り" totalsRowCellStyle="桁区切り"/>
    <tableColumn id="15" xr3:uid="{7F4668B7-36F1-4E0E-ADB7-1DC44986C616}" name="法人／構成比" dataDxfId="49"/>
    <tableColumn id="16" xr3:uid="{5985AAAE-1DFB-49FF-B5AE-5026334366C2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3B0095B-BB54-4005-814C-3E91AAB48798}" name="M_TABLE_07205" displayName="M_TABLE_07205" ref="B23:I44" totalsRowShown="0">
  <autoFilter ref="B23:I44" xr:uid="{C3B0095B-BB54-4005-814C-3E91AAB48798}"/>
  <tableColumns count="8">
    <tableColumn id="9" xr3:uid="{B6CB38CE-C59C-4D1D-A3EE-5E63AE95C83E}" name="産業中分類上位２０"/>
    <tableColumn id="10" xr3:uid="{07811919-AD35-4AA4-8AB0-1E7C4E7D7C8A}" name="総数／事業所数" dataCellStyle="桁区切り"/>
    <tableColumn id="11" xr3:uid="{0A42A52E-3907-4ABD-B58B-18CFE018A1FE}" name="総数／構成比" dataDxfId="761"/>
    <tableColumn id="12" xr3:uid="{42B90108-756D-4EC8-B1AC-72E29A59F00C}" name="個人／事業所数" dataCellStyle="桁区切り"/>
    <tableColumn id="13" xr3:uid="{A5844B46-39CA-4AD5-A4B7-D437CB37D23A}" name="個人／構成比" dataDxfId="760"/>
    <tableColumn id="14" xr3:uid="{29688CF9-CC1E-47EB-B83E-E4895A35D2F0}" name="法人／事業所数" dataCellStyle="桁区切り"/>
    <tableColumn id="15" xr3:uid="{DD57739D-2ACD-43C1-99F4-EBFD041A0136}" name="法人／構成比" dataDxfId="759"/>
    <tableColumn id="16" xr3:uid="{F59B0A94-8A24-47AE-AA50-508F0D9AB2C0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DB00A3F-2EE7-4AB9-911D-D39A05FEDD5A}" name="M_TABLE_07547" displayName="M_TABLE_07547" ref="B23:I43" totalsRowShown="0">
  <autoFilter ref="B23:I43" xr:uid="{0DB00A3F-2EE7-4AB9-911D-D39A05FEDD5A}"/>
  <tableColumns count="8">
    <tableColumn id="9" xr3:uid="{68C7A026-457E-4FAB-AA01-42595D051CD9}" name="産業中分類上位２０"/>
    <tableColumn id="10" xr3:uid="{5990C4BE-8886-47D8-9F32-317E592D8332}" name="総数／事業所数" dataCellStyle="桁区切り"/>
    <tableColumn id="11" xr3:uid="{7D5D0C06-C32C-4AC4-AAB8-8DE4E05D0E1E}" name="総数／構成比" dataDxfId="47"/>
    <tableColumn id="12" xr3:uid="{39D3A742-06EA-4E22-B286-443A44A0A3E3}" name="個人／事業所数" dataCellStyle="桁区切り"/>
    <tableColumn id="13" xr3:uid="{A89C1EA0-553E-4DC5-8776-D91E7C8DDEA1}" name="個人／構成比" dataDxfId="46"/>
    <tableColumn id="14" xr3:uid="{1F907C15-7511-4F79-AA00-FF295464DCD4}" name="法人／事業所数" dataCellStyle="桁区切り"/>
    <tableColumn id="15" xr3:uid="{3640F1F8-9447-46E6-BBC4-D3BF33336D3A}" name="法人／構成比" dataDxfId="45"/>
    <tableColumn id="16" xr3:uid="{714C8BA1-22FC-4797-8BC9-BADCBA10B913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7B6C81C3-E432-48EF-8337-C6B9FE2A1117}" name="S_TABLE_07547" displayName="S_TABLE_07547" ref="B46:I79" totalsRowShown="0">
  <autoFilter ref="B46:I79" xr:uid="{7B6C81C3-E432-48EF-8337-C6B9FE2A1117}"/>
  <tableColumns count="8">
    <tableColumn id="9" xr3:uid="{B207DB98-E63F-4725-BA91-A157E74A32F0}" name="産業小分類上位２０"/>
    <tableColumn id="10" xr3:uid="{7CEE6F6A-CFA3-4BCA-BDA7-949EC0F8C83F}" name="総数／事業所数" dataCellStyle="桁区切り"/>
    <tableColumn id="11" xr3:uid="{F648FB2B-FB89-4A45-9895-9B5DA77955CB}" name="総数／構成比" dataDxfId="44"/>
    <tableColumn id="12" xr3:uid="{2821E59C-B1B1-41BB-8A60-10D6607E40D0}" name="個人／事業所数" dataCellStyle="桁区切り"/>
    <tableColumn id="13" xr3:uid="{5395B7DC-198D-4EEE-AD40-3F90FCE45CF3}" name="個人／構成比" dataDxfId="43"/>
    <tableColumn id="14" xr3:uid="{E60B7EB9-D243-498C-A6F3-9DCBB03032D2}" name="法人／事業所数" dataCellStyle="桁区切り"/>
    <tableColumn id="15" xr3:uid="{33FB1A4A-5DD2-4CF2-AF74-E47A146BBC7F}" name="法人／構成比" dataDxfId="42"/>
    <tableColumn id="16" xr3:uid="{EAE8669B-0B07-41D6-8DA7-4EBF95415925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EE7F3ED-4434-4928-9E36-E789CAFE4D40}" name="LTBL_07548" displayName="LTBL_07548" ref="B4:I20" totalsRowCount="1">
  <autoFilter ref="B4:I19" xr:uid="{0EE7F3ED-4434-4928-9E36-E789CAFE4D40}"/>
  <tableColumns count="8">
    <tableColumn id="9" xr3:uid="{7731D9C4-33FB-4318-97B4-B92F65D69B69}" name="産業大分類" totalsRowLabel="合計" totalsRowDxfId="41"/>
    <tableColumn id="10" xr3:uid="{943C7920-E4DF-441A-A5A7-A881C3866466}" name="総数／事業所数" totalsRowFunction="custom" totalsRowDxfId="40" dataCellStyle="桁区切り" totalsRowCellStyle="桁区切り">
      <totalsRowFormula>SUM(LTBL_07548[総数／事業所数])</totalsRowFormula>
    </tableColumn>
    <tableColumn id="11" xr3:uid="{DC50F484-F5A2-486B-BDBF-A87AC752F200}" name="総数／構成比" dataDxfId="39"/>
    <tableColumn id="12" xr3:uid="{D096A107-0055-4E8C-80DE-1F62F2268FA7}" name="個人／事業所数" totalsRowFunction="sum" totalsRowDxfId="38" dataCellStyle="桁区切り" totalsRowCellStyle="桁区切り"/>
    <tableColumn id="13" xr3:uid="{57D449F3-06FF-4FAE-B515-D171170F3CCD}" name="個人／構成比" dataDxfId="37"/>
    <tableColumn id="14" xr3:uid="{7A58D057-90DB-412F-B830-CA9C5065C287}" name="法人／事業所数" totalsRowFunction="sum" totalsRowDxfId="36" dataCellStyle="桁区切り" totalsRowCellStyle="桁区切り"/>
    <tableColumn id="15" xr3:uid="{F35996AC-F136-4E3A-A734-061C1B2AB26D}" name="法人／構成比" dataDxfId="35"/>
    <tableColumn id="16" xr3:uid="{D3E0F248-F75A-43C6-968E-016FBFCC7676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CD264796-4CDB-4B07-AB77-5F5818487786}" name="M_TABLE_07548" displayName="M_TABLE_07548" ref="B23:I32" totalsRowShown="0">
  <autoFilter ref="B23:I32" xr:uid="{CD264796-4CDB-4B07-AB77-5F5818487786}"/>
  <tableColumns count="8">
    <tableColumn id="9" xr3:uid="{3505ED48-0F2F-4944-87EA-4AD0FEE5E89B}" name="産業中分類上位２０"/>
    <tableColumn id="10" xr3:uid="{62FC49D1-D0E6-4DE3-B998-5C54A39151C0}" name="総数／事業所数" dataCellStyle="桁区切り"/>
    <tableColumn id="11" xr3:uid="{275C27AA-3F41-4820-9E61-68A419CBB2E2}" name="総数／構成比" dataDxfId="33"/>
    <tableColumn id="12" xr3:uid="{D49751C6-8260-4D26-91E8-62556F712F94}" name="個人／事業所数" dataCellStyle="桁区切り"/>
    <tableColumn id="13" xr3:uid="{19749D03-5583-4D57-912C-95B6E76D2608}" name="個人／構成比" dataDxfId="32"/>
    <tableColumn id="14" xr3:uid="{24FDE548-B0EF-4E7A-992B-1C42F54A2EB2}" name="法人／事業所数" dataCellStyle="桁区切り"/>
    <tableColumn id="15" xr3:uid="{2E7D26EC-77E8-4560-BADE-913DD2D030C1}" name="法人／構成比" dataDxfId="31"/>
    <tableColumn id="16" xr3:uid="{A2AF215B-8ED7-4C36-A655-A723925D416B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B9F87EC1-8CEB-4AF7-BDFE-68D2F4ABFC57}" name="S_TABLE_07548" displayName="S_TABLE_07548" ref="B35:I46" totalsRowShown="0">
  <autoFilter ref="B35:I46" xr:uid="{B9F87EC1-8CEB-4AF7-BDFE-68D2F4ABFC57}"/>
  <tableColumns count="8">
    <tableColumn id="9" xr3:uid="{E2B4A46E-CD8F-41F7-8D73-A5ADCB96AEC0}" name="産業小分類上位２０"/>
    <tableColumn id="10" xr3:uid="{4165AD67-DD97-4A07-B1B8-43F55FB7676C}" name="総数／事業所数" dataCellStyle="桁区切り"/>
    <tableColumn id="11" xr3:uid="{EAB95A51-C248-4E73-A04A-437CF9A4D796}" name="総数／構成比" dataDxfId="30"/>
    <tableColumn id="12" xr3:uid="{4293158C-A7E1-48A0-8858-4400593EE0AA}" name="個人／事業所数" dataCellStyle="桁区切り"/>
    <tableColumn id="13" xr3:uid="{F57FC9EF-BC9E-493E-8389-87D6CE8805B0}" name="個人／構成比" dataDxfId="29"/>
    <tableColumn id="14" xr3:uid="{6D068E81-ACA5-4116-8983-F1BD8A07E3EA}" name="法人／事業所数" dataCellStyle="桁区切り"/>
    <tableColumn id="15" xr3:uid="{D74E1BC7-0C73-4665-A9C5-293CBA8FF47E}" name="法人／構成比" dataDxfId="28"/>
    <tableColumn id="16" xr3:uid="{94525206-EBBE-434B-9B06-BDFD86E86D0D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61EF791F-A381-4F23-BE27-D9C98B75BDF7}" name="LTBL_07561" displayName="LTBL_07561" ref="B4:I20" totalsRowCount="1">
  <autoFilter ref="B4:I19" xr:uid="{61EF791F-A381-4F23-BE27-D9C98B75BDF7}"/>
  <tableColumns count="8">
    <tableColumn id="9" xr3:uid="{B05BCDF7-F039-4102-8892-72BC569E50C5}" name="産業大分類" totalsRowLabel="合計" totalsRowDxfId="27"/>
    <tableColumn id="10" xr3:uid="{8C3FE318-93EA-401E-A557-83A5E1D01A0C}" name="総数／事業所数" totalsRowFunction="custom" totalsRowDxfId="26" dataCellStyle="桁区切り" totalsRowCellStyle="桁区切り">
      <totalsRowFormula>SUM(LTBL_07561[総数／事業所数])</totalsRowFormula>
    </tableColumn>
    <tableColumn id="11" xr3:uid="{731D0C19-2EF7-407A-97C0-CC0B8A6535BF}" name="総数／構成比" dataDxfId="25"/>
    <tableColumn id="12" xr3:uid="{09E08277-7FD7-43CC-B3BE-C24BC58485BF}" name="個人／事業所数" totalsRowFunction="sum" totalsRowDxfId="24" dataCellStyle="桁区切り" totalsRowCellStyle="桁区切り"/>
    <tableColumn id="13" xr3:uid="{1531DB23-8EA1-490F-9B16-526293FE92CC}" name="個人／構成比" dataDxfId="23"/>
    <tableColumn id="14" xr3:uid="{FD858949-3EB6-4B28-B933-C890A3DDBAF4}" name="法人／事業所数" totalsRowFunction="sum" totalsRowDxfId="22" dataCellStyle="桁区切り" totalsRowCellStyle="桁区切り"/>
    <tableColumn id="15" xr3:uid="{C83395D2-BA35-4E2F-90BA-3A183E7B8E47}" name="法人／構成比" dataDxfId="21"/>
    <tableColumn id="16" xr3:uid="{4A88F35A-287A-4AF8-9285-B2442D72E994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64D4CE0B-CF24-4A7F-8385-E37249AE9176}" name="M_TABLE_07561" displayName="M_TABLE_07561" ref="B23:I44" totalsRowShown="0">
  <autoFilter ref="B23:I44" xr:uid="{64D4CE0B-CF24-4A7F-8385-E37249AE9176}"/>
  <tableColumns count="8">
    <tableColumn id="9" xr3:uid="{513EA87B-62DE-4166-8D46-1B0FE038BEDE}" name="産業中分類上位２０"/>
    <tableColumn id="10" xr3:uid="{8820F42E-7F5C-43E3-9AA5-FBFEE6F63935}" name="総数／事業所数" dataCellStyle="桁区切り"/>
    <tableColumn id="11" xr3:uid="{A98BC58A-3E0A-4386-BC58-17C1B89F554C}" name="総数／構成比" dataDxfId="19"/>
    <tableColumn id="12" xr3:uid="{AD024FF9-3037-4A64-9CD2-4816591787AB}" name="個人／事業所数" dataCellStyle="桁区切り"/>
    <tableColumn id="13" xr3:uid="{0EAB8AAA-A082-4A40-AD6C-B69A1C47184E}" name="個人／構成比" dataDxfId="18"/>
    <tableColumn id="14" xr3:uid="{4B7992E9-856B-42F2-97EF-BDE8B8334E27}" name="法人／事業所数" dataCellStyle="桁区切り"/>
    <tableColumn id="15" xr3:uid="{3EA25267-E857-47F4-905D-9A665682C1CF}" name="法人／構成比" dataDxfId="17"/>
    <tableColumn id="16" xr3:uid="{1157A655-F788-4363-B419-93C7ED96DFAD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AA33608E-5DEC-4E6A-8075-CDD3383C6E6C}" name="S_TABLE_07561" displayName="S_TABLE_07561" ref="B47:I85" totalsRowShown="0">
  <autoFilter ref="B47:I85" xr:uid="{AA33608E-5DEC-4E6A-8075-CDD3383C6E6C}"/>
  <tableColumns count="8">
    <tableColumn id="9" xr3:uid="{ED19C338-F500-4652-ADAE-0E1AD1B462A9}" name="産業小分類上位２０"/>
    <tableColumn id="10" xr3:uid="{BFE2D9B3-CFD5-48E1-AC66-0934AE8FF934}" name="総数／事業所数" dataCellStyle="桁区切り"/>
    <tableColumn id="11" xr3:uid="{806DB0B6-852B-4619-931B-42EF4B62F957}" name="総数／構成比" dataDxfId="16"/>
    <tableColumn id="12" xr3:uid="{41C23955-BB2E-4C84-9554-07C0F05FD8A2}" name="個人／事業所数" dataCellStyle="桁区切り"/>
    <tableColumn id="13" xr3:uid="{0C7F60E5-41E4-454B-A86F-D565DEADAF06}" name="個人／構成比" dataDxfId="15"/>
    <tableColumn id="14" xr3:uid="{3BF4E5E0-0ED3-437A-B78C-830D200F7E1E}" name="法人／事業所数" dataCellStyle="桁区切り"/>
    <tableColumn id="15" xr3:uid="{F19EA1AB-FC4B-45DB-AFA1-FD696C93D873}" name="法人／構成比" dataDxfId="14"/>
    <tableColumn id="16" xr3:uid="{87BA0884-F165-4E32-A0D0-A38681765BB3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B991A1B3-7553-4BAA-BC31-C5E883813321}" name="LTBL_07564" displayName="LTBL_07564" ref="B4:I20" totalsRowCount="1">
  <autoFilter ref="B4:I19" xr:uid="{B991A1B3-7553-4BAA-BC31-C5E883813321}"/>
  <tableColumns count="8">
    <tableColumn id="9" xr3:uid="{F347B8A6-17B4-4B91-8951-D1AB11CA56B5}" name="産業大分類" totalsRowLabel="合計" totalsRowDxfId="13"/>
    <tableColumn id="10" xr3:uid="{716FAAE6-3CEB-49C7-9E39-E7EB9DC2F1AB}" name="総数／事業所数" totalsRowFunction="custom" totalsRowDxfId="12" dataCellStyle="桁区切り" totalsRowCellStyle="桁区切り">
      <totalsRowFormula>SUM(LTBL_07564[総数／事業所数])</totalsRowFormula>
    </tableColumn>
    <tableColumn id="11" xr3:uid="{499AE2D5-CD0B-4222-95EE-ED872208FDB2}" name="総数／構成比" dataDxfId="11"/>
    <tableColumn id="12" xr3:uid="{CAFCB292-3773-4460-ACA4-0E9856E39469}" name="個人／事業所数" totalsRowFunction="sum" totalsRowDxfId="10" dataCellStyle="桁区切り" totalsRowCellStyle="桁区切り"/>
    <tableColumn id="13" xr3:uid="{271143EA-FDCB-422A-A354-AF49E67FE245}" name="個人／構成比" dataDxfId="9"/>
    <tableColumn id="14" xr3:uid="{80CE06B0-38C5-42F9-A17B-3933B4D57765}" name="法人／事業所数" totalsRowFunction="sum" totalsRowDxfId="8" dataCellStyle="桁区切り" totalsRowCellStyle="桁区切り"/>
    <tableColumn id="15" xr3:uid="{E2F3C786-7D00-4629-B9C6-C6D6BFC8F2C8}" name="法人／構成比" dataDxfId="7"/>
    <tableColumn id="16" xr3:uid="{D53AC386-51EC-4493-9BF3-C5D6081D1D68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65825642-20E0-430C-80D4-C4DB5ACB41A9}" name="M_TABLE_07564" displayName="M_TABLE_07564" ref="B23:I38" totalsRowShown="0">
  <autoFilter ref="B23:I38" xr:uid="{65825642-20E0-430C-80D4-C4DB5ACB41A9}"/>
  <tableColumns count="8">
    <tableColumn id="9" xr3:uid="{33392C8F-A87C-438C-8DE3-C6E5BD1FBB7E}" name="産業中分類上位２０"/>
    <tableColumn id="10" xr3:uid="{2A145DBC-B7DA-4560-9FCD-370D7E822AE2}" name="総数／事業所数" dataCellStyle="桁区切り"/>
    <tableColumn id="11" xr3:uid="{86FDEA90-CB96-49E4-9040-8040107450CF}" name="総数／構成比" dataDxfId="5"/>
    <tableColumn id="12" xr3:uid="{06D1B2F8-ACA2-4D32-B7BA-211FE9C06E01}" name="個人／事業所数" dataCellStyle="桁区切り"/>
    <tableColumn id="13" xr3:uid="{CB5CDC00-4C62-4573-BA08-8AF24C361914}" name="個人／構成比" dataDxfId="4"/>
    <tableColumn id="14" xr3:uid="{10977D7D-6CDF-4685-9359-7ABED0457EFB}" name="法人／事業所数" dataCellStyle="桁区切り"/>
    <tableColumn id="15" xr3:uid="{3F66C722-23E4-4CA8-B3F0-185D6F261A34}" name="法人／構成比" dataDxfId="3"/>
    <tableColumn id="16" xr3:uid="{EA4C7004-62EA-4E2C-AF46-FFA5B0732AAE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6BF03BC-C630-4882-90D7-DAB74E943EAC}" name="S_TABLE_07205" displayName="S_TABLE_07205" ref="B47:I69" totalsRowShown="0">
  <autoFilter ref="B47:I69" xr:uid="{96BF03BC-C630-4882-90D7-DAB74E943EAC}"/>
  <tableColumns count="8">
    <tableColumn id="9" xr3:uid="{DBE4C4C4-663C-4704-9CD6-0FF83F610A5D}" name="産業小分類上位２０"/>
    <tableColumn id="10" xr3:uid="{9441D3B4-EB3C-4018-BAA0-9FBA42080706}" name="総数／事業所数" dataCellStyle="桁区切り"/>
    <tableColumn id="11" xr3:uid="{4C8F4860-4FB4-40FB-86A5-57BD8717BCCD}" name="総数／構成比" dataDxfId="758"/>
    <tableColumn id="12" xr3:uid="{EBADBAD6-E6B7-40FF-8491-1F6D9EDDAF9E}" name="個人／事業所数" dataCellStyle="桁区切り"/>
    <tableColumn id="13" xr3:uid="{6B7592AB-7293-4331-AD2C-CA5D882ABB83}" name="個人／構成比" dataDxfId="757"/>
    <tableColumn id="14" xr3:uid="{8EDB7BF7-B591-4A46-ABEA-CBFA05AC4065}" name="法人／事業所数" dataCellStyle="桁区切り"/>
    <tableColumn id="15" xr3:uid="{B3BC2724-363A-4808-962D-1BD7FA756400}" name="法人／構成比" dataDxfId="756"/>
    <tableColumn id="16" xr3:uid="{23C43807-EF59-4B95-89FB-58054DF9D390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BD08091C-F86F-4733-884C-E046A643012E}" name="S_TABLE_07564" displayName="S_TABLE_07564" ref="B41:I61" totalsRowShown="0">
  <autoFilter ref="B41:I61" xr:uid="{BD08091C-F86F-4733-884C-E046A643012E}"/>
  <tableColumns count="8">
    <tableColumn id="9" xr3:uid="{5A69CE19-8D4B-44CB-90B4-F994AEFCC74A}" name="産業小分類上位２０"/>
    <tableColumn id="10" xr3:uid="{B9D4B687-7EFC-4D42-BB95-DDDAC5D610DA}" name="総数／事業所数" dataCellStyle="桁区切り"/>
    <tableColumn id="11" xr3:uid="{833E2A7B-C740-4500-A9A8-0C03C07B0F11}" name="総数／構成比" dataDxfId="2"/>
    <tableColumn id="12" xr3:uid="{9FEB358D-A648-4072-8158-69C839E351FB}" name="個人／事業所数" dataCellStyle="桁区切り"/>
    <tableColumn id="13" xr3:uid="{4AC36CC3-C471-4898-B111-E334F18901D3}" name="個人／構成比" dataDxfId="1"/>
    <tableColumn id="14" xr3:uid="{67606190-0B8E-423E-88F0-F81AB47F9A65}" name="法人／事業所数" dataCellStyle="桁区切り"/>
    <tableColumn id="15" xr3:uid="{5FE878BD-E7DE-4224-B3C0-56178B12A01B}" name="法人／構成比" dataDxfId="0"/>
    <tableColumn id="16" xr3:uid="{67AE6B6E-870C-4516-B961-6ECBAB9CDFB4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3037CC5-77F2-4C96-83F2-2FA58D87DFFB}" name="LTBL_07207" displayName="LTBL_07207" ref="B4:I20" totalsRowCount="1">
  <autoFilter ref="B4:I19" xr:uid="{B3037CC5-77F2-4C96-83F2-2FA58D87DFFB}"/>
  <tableColumns count="8">
    <tableColumn id="9" xr3:uid="{FA1E3726-F1A1-405C-8FDF-3C1937E84834}" name="産業大分類" totalsRowLabel="合計" totalsRowDxfId="755"/>
    <tableColumn id="10" xr3:uid="{F23DE10A-C1FD-4EB5-BC47-BABA5BE84222}" name="総数／事業所数" totalsRowFunction="custom" totalsRowDxfId="754" dataCellStyle="桁区切り" totalsRowCellStyle="桁区切り">
      <totalsRowFormula>SUM(LTBL_07207[総数／事業所数])</totalsRowFormula>
    </tableColumn>
    <tableColumn id="11" xr3:uid="{ECDBE17E-44FC-4204-8DB7-82F3F5AB0A29}" name="総数／構成比" dataDxfId="753"/>
    <tableColumn id="12" xr3:uid="{6C65BF06-BDD4-4609-822D-09CE9F07EDE6}" name="個人／事業所数" totalsRowFunction="sum" totalsRowDxfId="752" dataCellStyle="桁区切り" totalsRowCellStyle="桁区切り"/>
    <tableColumn id="13" xr3:uid="{160970F4-959A-4763-9F8E-5092AB70F59C}" name="個人／構成比" dataDxfId="751"/>
    <tableColumn id="14" xr3:uid="{4AC85D7E-2320-4A95-97CC-33A974B93297}" name="法人／事業所数" totalsRowFunction="sum" totalsRowDxfId="750" dataCellStyle="桁区切り" totalsRowCellStyle="桁区切り"/>
    <tableColumn id="15" xr3:uid="{57E55E24-20EE-4DE5-915C-9A4D7110740E}" name="法人／構成比" dataDxfId="749"/>
    <tableColumn id="16" xr3:uid="{3D8C05A8-ECEB-4454-A504-F4FCFCB0EDD9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6D4971-44B1-4999-ACEC-1D8CF92271AC}" name="M_TABLE_07000" displayName="M_TABLE_07000" ref="B23:I43" totalsRowShown="0">
  <autoFilter ref="B23:I43" xr:uid="{096D4971-44B1-4999-ACEC-1D8CF92271AC}"/>
  <tableColumns count="8">
    <tableColumn id="9" xr3:uid="{0AC5D0CB-FCBD-4A7B-84B0-61B27A4B18A3}" name="産業中分類上位２０"/>
    <tableColumn id="10" xr3:uid="{1A62EA0A-BB67-4B14-B4D6-1FFA4359A87A}" name="総数／事業所数" dataCellStyle="桁区切り"/>
    <tableColumn id="11" xr3:uid="{940EFC14-AE58-44B9-B645-6C189673370C}" name="総数／構成比" dataDxfId="831"/>
    <tableColumn id="12" xr3:uid="{CB3A8CBE-2E89-473F-A207-85C733977BF7}" name="個人／事業所数" dataCellStyle="桁区切り"/>
    <tableColumn id="13" xr3:uid="{98DBF09F-D1BA-4291-88EC-F2FDFA4EB006}" name="個人／構成比" dataDxfId="830"/>
    <tableColumn id="14" xr3:uid="{428DE7CB-4883-4694-89E9-BD9DB25D9C70}" name="法人／事業所数" dataCellStyle="桁区切り"/>
    <tableColumn id="15" xr3:uid="{770BF0C2-9A31-49E5-ADF3-7C9A5824B19D}" name="法人／構成比" dataDxfId="829"/>
    <tableColumn id="16" xr3:uid="{F225F50A-6675-455D-81A4-2166F82D591D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78691A8-5435-4F03-A6ED-DD6CCE9653B8}" name="M_TABLE_07207" displayName="M_TABLE_07207" ref="B23:I43" totalsRowShown="0">
  <autoFilter ref="B23:I43" xr:uid="{278691A8-5435-4F03-A6ED-DD6CCE9653B8}"/>
  <tableColumns count="8">
    <tableColumn id="9" xr3:uid="{380C8A4D-E738-4C41-A677-10ACFF144BAF}" name="産業中分類上位２０"/>
    <tableColumn id="10" xr3:uid="{706636E0-C5DC-484D-8E23-17087F7CF241}" name="総数／事業所数" dataCellStyle="桁区切り"/>
    <tableColumn id="11" xr3:uid="{44EEA09E-B085-4B59-96A5-92423805D34A}" name="総数／構成比" dataDxfId="747"/>
    <tableColumn id="12" xr3:uid="{12D5819C-FACD-48DD-9102-ADA7D2518E5E}" name="個人／事業所数" dataCellStyle="桁区切り"/>
    <tableColumn id="13" xr3:uid="{CECD750B-2884-4381-8F53-83ED20B13480}" name="個人／構成比" dataDxfId="746"/>
    <tableColumn id="14" xr3:uid="{4DD3E66E-5176-41D9-86C7-E78CF16B1D72}" name="法人／事業所数" dataCellStyle="桁区切り"/>
    <tableColumn id="15" xr3:uid="{1A7269F0-989C-43DB-8C52-3D1FF5D20F2C}" name="法人／構成比" dataDxfId="745"/>
    <tableColumn id="16" xr3:uid="{FE7975A4-7A47-4E51-8990-E7D9D26544D1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3F8B362-92DE-4E68-802A-5880A24D8FF7}" name="S_TABLE_07207" displayName="S_TABLE_07207" ref="B46:I67" totalsRowShown="0">
  <autoFilter ref="B46:I67" xr:uid="{C3F8B362-92DE-4E68-802A-5880A24D8FF7}"/>
  <tableColumns count="8">
    <tableColumn id="9" xr3:uid="{A302ABE5-328C-48A4-B862-1316A7B420C4}" name="産業小分類上位２０"/>
    <tableColumn id="10" xr3:uid="{B3009EC1-C665-4DAA-8843-8CDC050A1330}" name="総数／事業所数" dataCellStyle="桁区切り"/>
    <tableColumn id="11" xr3:uid="{9F214F63-074B-406E-9D71-8CAE230ED077}" name="総数／構成比" dataDxfId="744"/>
    <tableColumn id="12" xr3:uid="{21D446C9-0D29-4211-98DF-1E4FE6E05CD4}" name="個人／事業所数" dataCellStyle="桁区切り"/>
    <tableColumn id="13" xr3:uid="{C05434D1-A8F6-4738-9397-6065002D87F8}" name="個人／構成比" dataDxfId="743"/>
    <tableColumn id="14" xr3:uid="{E2A13106-6824-4F28-8932-8FE0039F1E29}" name="法人／事業所数" dataCellStyle="桁区切り"/>
    <tableColumn id="15" xr3:uid="{DAFDB761-A1B9-4C00-894D-41D9C2C5670C}" name="法人／構成比" dataDxfId="742"/>
    <tableColumn id="16" xr3:uid="{19BF275C-43C5-411D-B7CD-6DF31E66C30C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82C1256-10DC-49BA-8B6F-4D85E335FD82}" name="LTBL_07208" displayName="LTBL_07208" ref="B4:I20" totalsRowCount="1">
  <autoFilter ref="B4:I19" xr:uid="{382C1256-10DC-49BA-8B6F-4D85E335FD82}"/>
  <tableColumns count="8">
    <tableColumn id="9" xr3:uid="{79AF6E61-D8D5-4470-9AFD-BEBFCEC57D89}" name="産業大分類" totalsRowLabel="合計" totalsRowDxfId="741"/>
    <tableColumn id="10" xr3:uid="{8FF6EA00-7F73-4998-A3E9-7EF82A1BEB15}" name="総数／事業所数" totalsRowFunction="custom" totalsRowDxfId="740" dataCellStyle="桁区切り" totalsRowCellStyle="桁区切り">
      <totalsRowFormula>SUM(LTBL_07208[総数／事業所数])</totalsRowFormula>
    </tableColumn>
    <tableColumn id="11" xr3:uid="{E67004E0-CA77-43C6-9C2C-CCE883B244BC}" name="総数／構成比" dataDxfId="739"/>
    <tableColumn id="12" xr3:uid="{2079B188-A583-4053-B66C-A93994F2F35A}" name="個人／事業所数" totalsRowFunction="sum" totalsRowDxfId="738" dataCellStyle="桁区切り" totalsRowCellStyle="桁区切り"/>
    <tableColumn id="13" xr3:uid="{10545E90-27E7-452A-8716-4F3F4FF4F7C6}" name="個人／構成比" dataDxfId="737"/>
    <tableColumn id="14" xr3:uid="{3995938B-03B1-4AA4-B0ED-73011771BF82}" name="法人／事業所数" totalsRowFunction="sum" totalsRowDxfId="736" dataCellStyle="桁区切り" totalsRowCellStyle="桁区切り"/>
    <tableColumn id="15" xr3:uid="{6C35B2B5-D91E-461D-BDBE-27A44A0A5619}" name="法人／構成比" dataDxfId="735"/>
    <tableColumn id="16" xr3:uid="{71D23F03-E8EA-40FC-A06F-35B0FC155684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11FA455-2ACE-40DD-A689-36C94272443D}" name="M_TABLE_07208" displayName="M_TABLE_07208" ref="B23:I43" totalsRowShown="0">
  <autoFilter ref="B23:I43" xr:uid="{F11FA455-2ACE-40DD-A689-36C94272443D}"/>
  <tableColumns count="8">
    <tableColumn id="9" xr3:uid="{553C8094-AE62-4CDA-A7B7-B81F942C787C}" name="産業中分類上位２０"/>
    <tableColumn id="10" xr3:uid="{26473F25-33C0-4A80-B31E-C79B24D21823}" name="総数／事業所数" dataCellStyle="桁区切り"/>
    <tableColumn id="11" xr3:uid="{69309ED7-A68D-4E26-9A2C-C5F75F429C8D}" name="総数／構成比" dataDxfId="733"/>
    <tableColumn id="12" xr3:uid="{E93CEB67-3F6F-4081-A107-51A342FF72A5}" name="個人／事業所数" dataCellStyle="桁区切り"/>
    <tableColumn id="13" xr3:uid="{56E05A8F-2829-46E1-8817-6E106FD794C6}" name="個人／構成比" dataDxfId="732"/>
    <tableColumn id="14" xr3:uid="{39A6DFDD-7514-409F-A94B-9B536F0E63D4}" name="法人／事業所数" dataCellStyle="桁区切り"/>
    <tableColumn id="15" xr3:uid="{7E4401FF-4843-443F-A2B4-1E85EA092A77}" name="法人／構成比" dataDxfId="731"/>
    <tableColumn id="16" xr3:uid="{FA1BF86B-1D5B-4C62-9D9C-9F70D34DB617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1AB1AE9-E94F-4AA7-82B3-232AF4B72D19}" name="S_TABLE_07208" displayName="S_TABLE_07208" ref="B46:I66" totalsRowShown="0">
  <autoFilter ref="B46:I66" xr:uid="{D1AB1AE9-E94F-4AA7-82B3-232AF4B72D19}"/>
  <tableColumns count="8">
    <tableColumn id="9" xr3:uid="{95289595-3C15-48D1-B832-B1CD6C545C84}" name="産業小分類上位２０"/>
    <tableColumn id="10" xr3:uid="{A41B3961-D1E8-4B34-9A85-90352D1F7C9B}" name="総数／事業所数" dataCellStyle="桁区切り"/>
    <tableColumn id="11" xr3:uid="{F970EE8B-44D8-4A67-93D6-935FB533AC72}" name="総数／構成比" dataDxfId="730"/>
    <tableColumn id="12" xr3:uid="{4B14B9A4-E9B0-4C5E-9426-0A9AF352C4A0}" name="個人／事業所数" dataCellStyle="桁区切り"/>
    <tableColumn id="13" xr3:uid="{DC76AB89-8FCA-4575-AFC3-C925E6217127}" name="個人／構成比" dataDxfId="729"/>
    <tableColumn id="14" xr3:uid="{716A822E-DCCF-4195-9795-7DFBEA503BDF}" name="法人／事業所数" dataCellStyle="桁区切り"/>
    <tableColumn id="15" xr3:uid="{5BC7815B-B8BF-4DEB-8B1F-7260C49951E0}" name="法人／構成比" dataDxfId="728"/>
    <tableColumn id="16" xr3:uid="{3512FB5B-8DE7-4499-B617-1F4D3A48C716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B8EE711-B950-4337-BBF0-03E09D980B55}" name="LTBL_07209" displayName="LTBL_07209" ref="B4:I20" totalsRowCount="1">
  <autoFilter ref="B4:I19" xr:uid="{3B8EE711-B950-4337-BBF0-03E09D980B55}"/>
  <tableColumns count="8">
    <tableColumn id="9" xr3:uid="{2DC0743A-62E7-453A-A451-7FBE4AE4B829}" name="産業大分類" totalsRowLabel="合計" totalsRowDxfId="727"/>
    <tableColumn id="10" xr3:uid="{6D52BD89-5B6B-402E-A899-455357798A96}" name="総数／事業所数" totalsRowFunction="custom" totalsRowDxfId="726" dataCellStyle="桁区切り" totalsRowCellStyle="桁区切り">
      <totalsRowFormula>SUM(LTBL_07209[総数／事業所数])</totalsRowFormula>
    </tableColumn>
    <tableColumn id="11" xr3:uid="{4232B275-01DE-4341-B5A7-BE26B9C41E40}" name="総数／構成比" dataDxfId="725"/>
    <tableColumn id="12" xr3:uid="{7D5457D8-29EF-4BF5-8C90-614167789E24}" name="個人／事業所数" totalsRowFunction="sum" totalsRowDxfId="724" dataCellStyle="桁区切り" totalsRowCellStyle="桁区切り"/>
    <tableColumn id="13" xr3:uid="{61C6FD91-1B23-4D4D-9231-566B80500B13}" name="個人／構成比" dataDxfId="723"/>
    <tableColumn id="14" xr3:uid="{B77072CA-FE05-4633-A72B-7C6C19EF7BB0}" name="法人／事業所数" totalsRowFunction="sum" totalsRowDxfId="722" dataCellStyle="桁区切り" totalsRowCellStyle="桁区切り"/>
    <tableColumn id="15" xr3:uid="{21C0CC08-5A35-4148-AC98-C808952BF801}" name="法人／構成比" dataDxfId="721"/>
    <tableColumn id="16" xr3:uid="{CF7F37D4-AA03-4E35-AED6-C3E5ADE874F3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C79D62E-94D7-4408-AEE7-51ED595DF835}" name="M_TABLE_07209" displayName="M_TABLE_07209" ref="B23:I43" totalsRowShown="0">
  <autoFilter ref="B23:I43" xr:uid="{EC79D62E-94D7-4408-AEE7-51ED595DF835}"/>
  <tableColumns count="8">
    <tableColumn id="9" xr3:uid="{05C7BCD6-699F-43E3-9C65-BE9DD7D79C6B}" name="産業中分類上位２０"/>
    <tableColumn id="10" xr3:uid="{DDC5F4F9-C297-48CF-ABCA-5D3455CB8596}" name="総数／事業所数" dataCellStyle="桁区切り"/>
    <tableColumn id="11" xr3:uid="{7C4D0744-8889-4763-9073-709D0DAAE0EF}" name="総数／構成比" dataDxfId="719"/>
    <tableColumn id="12" xr3:uid="{3CD43A8B-F6CE-4FD6-B553-36724A75A221}" name="個人／事業所数" dataCellStyle="桁区切り"/>
    <tableColumn id="13" xr3:uid="{58F33EC6-E66F-4060-B876-5DF10E808356}" name="個人／構成比" dataDxfId="718"/>
    <tableColumn id="14" xr3:uid="{C6549C58-95D8-47F6-987E-1684CB221C55}" name="法人／事業所数" dataCellStyle="桁区切り"/>
    <tableColumn id="15" xr3:uid="{6CE80002-6E5B-4CE0-AFE0-BAE1CFEFB866}" name="法人／構成比" dataDxfId="717"/>
    <tableColumn id="16" xr3:uid="{3787D29A-B7E9-4B60-B579-9A75D70BD2F9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C1B1B361-9EBC-44B0-A467-446741BF0131}" name="S_TABLE_07209" displayName="S_TABLE_07209" ref="B46:I67" totalsRowShown="0">
  <autoFilter ref="B46:I67" xr:uid="{C1B1B361-9EBC-44B0-A467-446741BF0131}"/>
  <tableColumns count="8">
    <tableColumn id="9" xr3:uid="{8D978508-833A-4728-8ABE-331BE10836D9}" name="産業小分類上位２０"/>
    <tableColumn id="10" xr3:uid="{BCDB38DD-9035-4372-846B-75A1E861F40A}" name="総数／事業所数" dataCellStyle="桁区切り"/>
    <tableColumn id="11" xr3:uid="{BDD09C20-AEB7-42F5-B8A1-6F7974F82B1C}" name="総数／構成比" dataDxfId="716"/>
    <tableColumn id="12" xr3:uid="{58A6A032-A6F0-4E90-9798-F815D67A5DB8}" name="個人／事業所数" dataCellStyle="桁区切り"/>
    <tableColumn id="13" xr3:uid="{00C28242-9F60-4411-A43D-0F9F76C6979A}" name="個人／構成比" dataDxfId="715"/>
    <tableColumn id="14" xr3:uid="{30ABCCE1-87BE-4FC5-ACE6-4D6C79AC82C3}" name="法人／事業所数" dataCellStyle="桁区切り"/>
    <tableColumn id="15" xr3:uid="{217F1F39-5F91-48F4-BCD5-F85AC1EAE46C}" name="法人／構成比" dataDxfId="714"/>
    <tableColumn id="16" xr3:uid="{AA1F83BA-65F5-4012-95D0-47D9B22EECA2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15CF27B-7AD0-4CE1-BE7E-F74B5D0C0B05}" name="LTBL_07210" displayName="LTBL_07210" ref="B4:I20" totalsRowCount="1">
  <autoFilter ref="B4:I19" xr:uid="{915CF27B-7AD0-4CE1-BE7E-F74B5D0C0B05}"/>
  <tableColumns count="8">
    <tableColumn id="9" xr3:uid="{340D904E-1FA9-4DCD-8324-33D509ECC5B1}" name="産業大分類" totalsRowLabel="合計" totalsRowDxfId="713"/>
    <tableColumn id="10" xr3:uid="{51D5367A-046E-4050-ABBF-433E48E4C897}" name="総数／事業所数" totalsRowFunction="custom" totalsRowDxfId="712" dataCellStyle="桁区切り" totalsRowCellStyle="桁区切り">
      <totalsRowFormula>SUM(LTBL_07210[総数／事業所数])</totalsRowFormula>
    </tableColumn>
    <tableColumn id="11" xr3:uid="{BF778807-0269-4F55-9104-37490FF19324}" name="総数／構成比" dataDxfId="711"/>
    <tableColumn id="12" xr3:uid="{D7969314-97BF-4FC7-9576-23FA755EC832}" name="個人／事業所数" totalsRowFunction="sum" totalsRowDxfId="710" dataCellStyle="桁区切り" totalsRowCellStyle="桁区切り"/>
    <tableColumn id="13" xr3:uid="{C998C557-5BDE-412F-8951-0A7F645BBF12}" name="個人／構成比" dataDxfId="709"/>
    <tableColumn id="14" xr3:uid="{36CCE09E-6DFF-420B-981F-807F1681C02B}" name="法人／事業所数" totalsRowFunction="sum" totalsRowDxfId="708" dataCellStyle="桁区切り" totalsRowCellStyle="桁区切り"/>
    <tableColumn id="15" xr3:uid="{FDEE6592-66E7-4153-9C30-F8B8A5BDECAA}" name="法人／構成比" dataDxfId="707"/>
    <tableColumn id="16" xr3:uid="{4EF054D5-7CCF-460D-9211-91498B865041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B3D5152-D628-4583-A303-72489B885A8F}" name="M_TABLE_07210" displayName="M_TABLE_07210" ref="B23:I44" totalsRowShown="0">
  <autoFilter ref="B23:I44" xr:uid="{0B3D5152-D628-4583-A303-72489B885A8F}"/>
  <tableColumns count="8">
    <tableColumn id="9" xr3:uid="{2100FF87-200F-48AB-92A3-EAC03512D3CD}" name="産業中分類上位２０"/>
    <tableColumn id="10" xr3:uid="{BD02CE0C-7339-4286-B113-E9F7F2B1B821}" name="総数／事業所数" dataCellStyle="桁区切り"/>
    <tableColumn id="11" xr3:uid="{D4119C7B-2504-43E9-9B00-815A9A3680B4}" name="総数／構成比" dataDxfId="705"/>
    <tableColumn id="12" xr3:uid="{8DE4B390-93DB-44FA-8739-D564B0125FBF}" name="個人／事業所数" dataCellStyle="桁区切り"/>
    <tableColumn id="13" xr3:uid="{5F76CC2C-6ADF-4DEF-88FC-4DB32B08B119}" name="個人／構成比" dataDxfId="704"/>
    <tableColumn id="14" xr3:uid="{0D737FE7-2122-498B-A7D5-07CF9A952F1A}" name="法人／事業所数" dataCellStyle="桁区切り"/>
    <tableColumn id="15" xr3:uid="{AB4143DB-D10F-4C98-9895-91AA6A8E967D}" name="法人／構成比" dataDxfId="703"/>
    <tableColumn id="16" xr3:uid="{F6248C7E-4BB1-4199-B9F5-18DBC49DEBB0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CA7F40-85EC-4D46-8A96-52371CE7C9A8}" name="S_TABLE_07000" displayName="S_TABLE_07000" ref="B46:I66" totalsRowShown="0">
  <autoFilter ref="B46:I66" xr:uid="{AECA7F40-85EC-4D46-8A96-52371CE7C9A8}"/>
  <tableColumns count="8">
    <tableColumn id="9" xr3:uid="{FBFF21E6-D8C0-4D92-A513-95B50921D687}" name="産業小分類上位２０"/>
    <tableColumn id="10" xr3:uid="{BA36BC22-4580-406D-8D02-D84AF60FD055}" name="総数／事業所数" dataCellStyle="桁区切り"/>
    <tableColumn id="11" xr3:uid="{460BCBC1-753B-4722-B87F-5A2E05257B69}" name="総数／構成比" dataDxfId="828"/>
    <tableColumn id="12" xr3:uid="{9A943D06-7DD9-4FA7-9AFA-237CB0D4F76B}" name="個人／事業所数" dataCellStyle="桁区切り"/>
    <tableColumn id="13" xr3:uid="{D2AC8771-DFD6-4B10-807E-8C96C748B60A}" name="個人／構成比" dataDxfId="827"/>
    <tableColumn id="14" xr3:uid="{B40D3E4B-D34F-468A-944E-70714FB4789F}" name="法人／事業所数" dataCellStyle="桁区切り"/>
    <tableColumn id="15" xr3:uid="{8D9F6F47-D972-430A-873F-9A32FB3DCDFC}" name="法人／構成比" dataDxfId="826"/>
    <tableColumn id="16" xr3:uid="{A986084D-B4C7-44C6-B4F2-DFEA470B6370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F942948F-9A41-4211-A2AC-C1DCF4E748E6}" name="S_TABLE_07210" displayName="S_TABLE_07210" ref="B47:I67" totalsRowShown="0">
  <autoFilter ref="B47:I67" xr:uid="{F942948F-9A41-4211-A2AC-C1DCF4E748E6}"/>
  <tableColumns count="8">
    <tableColumn id="9" xr3:uid="{7AC5730C-5246-4AB1-A337-A68AE6096140}" name="産業小分類上位２０"/>
    <tableColumn id="10" xr3:uid="{578FE8E4-7274-4E72-9299-606C439139FE}" name="総数／事業所数" dataCellStyle="桁区切り"/>
    <tableColumn id="11" xr3:uid="{35FCFEAD-49DC-4BBB-A569-D18CA2BAC0E9}" name="総数／構成比" dataDxfId="702"/>
    <tableColumn id="12" xr3:uid="{DB0C0512-D78E-49D8-A548-6A6D7C3F7CBB}" name="個人／事業所数" dataCellStyle="桁区切り"/>
    <tableColumn id="13" xr3:uid="{1D713069-241D-453E-9EC0-824BF4AE7695}" name="個人／構成比" dataDxfId="701"/>
    <tableColumn id="14" xr3:uid="{52A7831B-FBAB-40C4-9D2D-BD16161397B6}" name="法人／事業所数" dataCellStyle="桁区切り"/>
    <tableColumn id="15" xr3:uid="{D91FBF68-4AB3-48E5-A110-EC272DB4F9BD}" name="法人／構成比" dataDxfId="700"/>
    <tableColumn id="16" xr3:uid="{01F12245-28AD-4C86-AF7A-DE56F7BA29F5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E64B722-B068-4814-A718-6670067D13B0}" name="LTBL_07211" displayName="LTBL_07211" ref="B4:I20" totalsRowCount="1">
  <autoFilter ref="B4:I19" xr:uid="{3E64B722-B068-4814-A718-6670067D13B0}"/>
  <tableColumns count="8">
    <tableColumn id="9" xr3:uid="{0424B814-C7FA-4AD0-99D2-F92D23E71637}" name="産業大分類" totalsRowLabel="合計" totalsRowDxfId="699"/>
    <tableColumn id="10" xr3:uid="{E8BE183A-8796-47AF-8393-6CC59967FD0A}" name="総数／事業所数" totalsRowFunction="custom" totalsRowDxfId="698" dataCellStyle="桁区切り" totalsRowCellStyle="桁区切り">
      <totalsRowFormula>SUM(LTBL_07211[総数／事業所数])</totalsRowFormula>
    </tableColumn>
    <tableColumn id="11" xr3:uid="{11F0D81E-608D-4C72-8186-061732459654}" name="総数／構成比" dataDxfId="697"/>
    <tableColumn id="12" xr3:uid="{07515795-6168-457C-BCBB-2C1665BADC37}" name="個人／事業所数" totalsRowFunction="sum" totalsRowDxfId="696" dataCellStyle="桁区切り" totalsRowCellStyle="桁区切り"/>
    <tableColumn id="13" xr3:uid="{6870FC58-2D4B-4BA4-903A-A343D59962E5}" name="個人／構成比" dataDxfId="695"/>
    <tableColumn id="14" xr3:uid="{AF1F941B-C203-4EC3-BAB8-B6BB0359DCB2}" name="法人／事業所数" totalsRowFunction="sum" totalsRowDxfId="694" dataCellStyle="桁区切り" totalsRowCellStyle="桁区切り"/>
    <tableColumn id="15" xr3:uid="{5EE6FB51-0AC4-4E65-932F-D08F5803F7B3}" name="法人／構成比" dataDxfId="693"/>
    <tableColumn id="16" xr3:uid="{C94664FD-5F7D-436C-BB2A-71FBFAE3E201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F7FA294E-6867-4D90-B5F4-282FA7E95640}" name="M_TABLE_07211" displayName="M_TABLE_07211" ref="B23:I43" totalsRowShown="0">
  <autoFilter ref="B23:I43" xr:uid="{F7FA294E-6867-4D90-B5F4-282FA7E95640}"/>
  <tableColumns count="8">
    <tableColumn id="9" xr3:uid="{EAEF7DF1-DD85-4918-9654-D55EF656949F}" name="産業中分類上位２０"/>
    <tableColumn id="10" xr3:uid="{98199502-41AD-4D58-96E5-ECD607AAF3BF}" name="総数／事業所数" dataCellStyle="桁区切り"/>
    <tableColumn id="11" xr3:uid="{9ADE243C-A79F-4A8C-943F-D9B42BBDABEC}" name="総数／構成比" dataDxfId="691"/>
    <tableColumn id="12" xr3:uid="{F3F89B9B-C8A8-47B4-8FAD-11CC560998F8}" name="個人／事業所数" dataCellStyle="桁区切り"/>
    <tableColumn id="13" xr3:uid="{491AC503-25B9-4695-89B5-85B7F4D22504}" name="個人／構成比" dataDxfId="690"/>
    <tableColumn id="14" xr3:uid="{E9FAAC1D-9CFF-4DD5-873C-38E04CA24290}" name="法人／事業所数" dataCellStyle="桁区切り"/>
    <tableColumn id="15" xr3:uid="{2DE4880C-91DB-4632-BA4F-944F2352CCD9}" name="法人／構成比" dataDxfId="689"/>
    <tableColumn id="16" xr3:uid="{978208D8-C8ED-464A-BE50-82517CE9EEB6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4EC6940-F43A-4E5C-B1A2-B17A19E67453}" name="S_TABLE_07211" displayName="S_TABLE_07211" ref="B46:I67" totalsRowShown="0">
  <autoFilter ref="B46:I67" xr:uid="{44EC6940-F43A-4E5C-B1A2-B17A19E67453}"/>
  <tableColumns count="8">
    <tableColumn id="9" xr3:uid="{891937E4-7379-4681-AA18-8428791FA8AA}" name="産業小分類上位２０"/>
    <tableColumn id="10" xr3:uid="{7866E582-A2C4-47B4-989B-4FA96FEF999A}" name="総数／事業所数" dataCellStyle="桁区切り"/>
    <tableColumn id="11" xr3:uid="{283B4C38-DB9A-487A-8F70-341171915D9D}" name="総数／構成比" dataDxfId="688"/>
    <tableColumn id="12" xr3:uid="{D0E05A76-D901-441B-8DB1-F6394199798F}" name="個人／事業所数" dataCellStyle="桁区切り"/>
    <tableColumn id="13" xr3:uid="{10A3A4F6-2ED5-4DD7-80CF-F18770706DDD}" name="個人／構成比" dataDxfId="687"/>
    <tableColumn id="14" xr3:uid="{B7928CA3-CEE8-40C0-83D2-B031D47AACCD}" name="法人／事業所数" dataCellStyle="桁区切り"/>
    <tableColumn id="15" xr3:uid="{7B839132-2895-4CA2-A612-B11C510EA09E}" name="法人／構成比" dataDxfId="686"/>
    <tableColumn id="16" xr3:uid="{4FE72B79-622C-4F16-90A2-D81D935C32CC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2642B9A-CDBE-4D58-AC8E-E4E83A401AD6}" name="LTBL_07212" displayName="LTBL_07212" ref="B4:I20" totalsRowCount="1">
  <autoFilter ref="B4:I19" xr:uid="{A2642B9A-CDBE-4D58-AC8E-E4E83A401AD6}"/>
  <tableColumns count="8">
    <tableColumn id="9" xr3:uid="{F211E437-964F-44A9-B842-4F7855E0F2C6}" name="産業大分類" totalsRowLabel="合計" totalsRowDxfId="685"/>
    <tableColumn id="10" xr3:uid="{B0298F9E-1A15-4CFD-9B95-3C6C7E17A98B}" name="総数／事業所数" totalsRowFunction="custom" totalsRowDxfId="684" dataCellStyle="桁区切り" totalsRowCellStyle="桁区切り">
      <totalsRowFormula>SUM(LTBL_07212[総数／事業所数])</totalsRowFormula>
    </tableColumn>
    <tableColumn id="11" xr3:uid="{7CF94B22-DD4B-45B7-B130-125DF3BE7DC7}" name="総数／構成比" dataDxfId="683"/>
    <tableColumn id="12" xr3:uid="{F2436CA0-2EA5-43EE-BB18-793718A1F965}" name="個人／事業所数" totalsRowFunction="sum" totalsRowDxfId="682" dataCellStyle="桁区切り" totalsRowCellStyle="桁区切り"/>
    <tableColumn id="13" xr3:uid="{1EC426A7-5A51-41E9-9948-EFEDC08D83A6}" name="個人／構成比" dataDxfId="681"/>
    <tableColumn id="14" xr3:uid="{5883F440-188B-4955-A860-D979840B40D5}" name="法人／事業所数" totalsRowFunction="sum" totalsRowDxfId="680" dataCellStyle="桁区切り" totalsRowCellStyle="桁区切り"/>
    <tableColumn id="15" xr3:uid="{5725EBB7-D4FC-4343-9BD8-910205BC7AFB}" name="法人／構成比" dataDxfId="679"/>
    <tableColumn id="16" xr3:uid="{D34E7853-88FD-4C37-869D-60D05D79A50E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0025AD8-5D44-4F3B-B379-2AAC0AF815C3}" name="M_TABLE_07212" displayName="M_TABLE_07212" ref="B23:I43" totalsRowShown="0">
  <autoFilter ref="B23:I43" xr:uid="{50025AD8-5D44-4F3B-B379-2AAC0AF815C3}"/>
  <tableColumns count="8">
    <tableColumn id="9" xr3:uid="{48A2F6C6-4678-49A2-8313-0DFA95AB1184}" name="産業中分類上位２０"/>
    <tableColumn id="10" xr3:uid="{60F53F8E-4EF0-4471-A29B-80B5329F801E}" name="総数／事業所数" dataCellStyle="桁区切り"/>
    <tableColumn id="11" xr3:uid="{A54B9FC6-1899-486F-B464-658902D7C247}" name="総数／構成比" dataDxfId="677"/>
    <tableColumn id="12" xr3:uid="{12902986-0E3F-4C84-8C80-018D6C893CF7}" name="個人／事業所数" dataCellStyle="桁区切り"/>
    <tableColumn id="13" xr3:uid="{DB760904-E160-44BE-A450-FBCD1670C1FB}" name="個人／構成比" dataDxfId="676"/>
    <tableColumn id="14" xr3:uid="{DBC649BF-1FC2-45DA-8F94-48C30664B9BF}" name="法人／事業所数" dataCellStyle="桁区切り"/>
    <tableColumn id="15" xr3:uid="{B0C2EF9A-5B8E-4CC2-AD8F-8CF16A1CC0B6}" name="法人／構成比" dataDxfId="675"/>
    <tableColumn id="16" xr3:uid="{119B4F91-C5EF-4F1E-9461-DCA8B83F740E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F704A42-BA13-4E80-A7E9-737E9ECB9959}" name="S_TABLE_07212" displayName="S_TABLE_07212" ref="B46:I67" totalsRowShown="0">
  <autoFilter ref="B46:I67" xr:uid="{9F704A42-BA13-4E80-A7E9-737E9ECB9959}"/>
  <tableColumns count="8">
    <tableColumn id="9" xr3:uid="{28C82383-0C3F-4401-9FEB-5776D47CA65B}" name="産業小分類上位２０"/>
    <tableColumn id="10" xr3:uid="{720D97B3-1A67-4486-A923-0D62856995D1}" name="総数／事業所数" dataCellStyle="桁区切り"/>
    <tableColumn id="11" xr3:uid="{F1BA67FB-5194-40A8-B626-E355172CAF72}" name="総数／構成比" dataDxfId="674"/>
    <tableColumn id="12" xr3:uid="{496C3AC4-E7BB-450F-A86A-A36CB72926CE}" name="個人／事業所数" dataCellStyle="桁区切り"/>
    <tableColumn id="13" xr3:uid="{C0A21DB3-02B7-4BF2-BD9A-1CC59E0C63DA}" name="個人／構成比" dataDxfId="673"/>
    <tableColumn id="14" xr3:uid="{893386B4-6192-4176-9F52-C3B4A4D57F8B}" name="法人／事業所数" dataCellStyle="桁区切り"/>
    <tableColumn id="15" xr3:uid="{B3511A07-6DA8-48B6-8BC4-03D75716808C}" name="法人／構成比" dataDxfId="672"/>
    <tableColumn id="16" xr3:uid="{592122E0-015F-49B5-8A57-9665ECD59FC8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46628E61-0011-4B36-B2FA-3363397E7C84}" name="LTBL_07213" displayName="LTBL_07213" ref="B4:I20" totalsRowCount="1">
  <autoFilter ref="B4:I19" xr:uid="{46628E61-0011-4B36-B2FA-3363397E7C84}"/>
  <tableColumns count="8">
    <tableColumn id="9" xr3:uid="{EA3E3455-B878-428A-8BFF-5CCA2AC505BC}" name="産業大分類" totalsRowLabel="合計" totalsRowDxfId="671"/>
    <tableColumn id="10" xr3:uid="{9DB1F3B7-8346-4568-ABE5-3033A99387D3}" name="総数／事業所数" totalsRowFunction="custom" totalsRowDxfId="670" dataCellStyle="桁区切り" totalsRowCellStyle="桁区切り">
      <totalsRowFormula>SUM(LTBL_07213[総数／事業所数])</totalsRowFormula>
    </tableColumn>
    <tableColumn id="11" xr3:uid="{B81E9CB5-A5F2-4788-A96A-B55873EAE760}" name="総数／構成比" dataDxfId="669"/>
    <tableColumn id="12" xr3:uid="{6AEF609F-0111-4CF7-BB5C-F9F121C919EE}" name="個人／事業所数" totalsRowFunction="sum" totalsRowDxfId="668" dataCellStyle="桁区切り" totalsRowCellStyle="桁区切り"/>
    <tableColumn id="13" xr3:uid="{4EE43B6F-A8C6-4AA1-94BF-8A0D08516149}" name="個人／構成比" dataDxfId="667"/>
    <tableColumn id="14" xr3:uid="{90526B2D-A7C3-46C3-842A-D51A3B80BAE0}" name="法人／事業所数" totalsRowFunction="sum" totalsRowDxfId="666" dataCellStyle="桁区切り" totalsRowCellStyle="桁区切り"/>
    <tableColumn id="15" xr3:uid="{DFD9C8E7-2886-46AE-943E-6E661CAADD8C}" name="法人／構成比" dataDxfId="665"/>
    <tableColumn id="16" xr3:uid="{60AD481A-AB16-4460-9EFE-44A3875A2A85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A50A127-92FF-4601-8E5C-2D315A5F8E60}" name="M_TABLE_07213" displayName="M_TABLE_07213" ref="B23:I43" totalsRowShown="0">
  <autoFilter ref="B23:I43" xr:uid="{3A50A127-92FF-4601-8E5C-2D315A5F8E60}"/>
  <tableColumns count="8">
    <tableColumn id="9" xr3:uid="{48CC58F0-54AC-43A1-94E1-05EC5766F1BD}" name="産業中分類上位２０"/>
    <tableColumn id="10" xr3:uid="{5CE96AC6-DC8C-4F8E-B1C0-A6398807ACA9}" name="総数／事業所数" dataCellStyle="桁区切り"/>
    <tableColumn id="11" xr3:uid="{ACB4EC94-0B02-4A41-AA27-A63AD5147842}" name="総数／構成比" dataDxfId="663"/>
    <tableColumn id="12" xr3:uid="{2A8D1FC2-93A7-4D2D-A325-2FABCA289DB9}" name="個人／事業所数" dataCellStyle="桁区切り"/>
    <tableColumn id="13" xr3:uid="{975846C2-2464-436F-8B40-7F8852FEA64E}" name="個人／構成比" dataDxfId="662"/>
    <tableColumn id="14" xr3:uid="{B52D3307-D0CC-40C9-8344-C843E66C92AC}" name="法人／事業所数" dataCellStyle="桁区切り"/>
    <tableColumn id="15" xr3:uid="{75E1F4E4-1498-4C5D-BCF4-62A77B252C76}" name="法人／構成比" dataDxfId="661"/>
    <tableColumn id="16" xr3:uid="{838F2E65-F342-402B-944F-2743A16793F2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09042F1-A8AA-4567-9208-B694F66AB17B}" name="S_TABLE_07213" displayName="S_TABLE_07213" ref="B46:I66" totalsRowShown="0">
  <autoFilter ref="B46:I66" xr:uid="{F09042F1-A8AA-4567-9208-B694F66AB17B}"/>
  <tableColumns count="8">
    <tableColumn id="9" xr3:uid="{48DE781B-5383-47F8-AD10-9BEB16E5D78F}" name="産業小分類上位２０"/>
    <tableColumn id="10" xr3:uid="{BC42D94C-95CD-480D-B8DF-9F0D4C5D9047}" name="総数／事業所数" dataCellStyle="桁区切り"/>
    <tableColumn id="11" xr3:uid="{ECF668CA-99A8-4513-8800-144A3C9BE32F}" name="総数／構成比" dataDxfId="660"/>
    <tableColumn id="12" xr3:uid="{9DFF2B97-BC4F-47DF-AD2A-159E4894C9BB}" name="個人／事業所数" dataCellStyle="桁区切り"/>
    <tableColumn id="13" xr3:uid="{81AEE92A-D06C-4578-A237-BE072A71CCF1}" name="個人／構成比" dataDxfId="659"/>
    <tableColumn id="14" xr3:uid="{C45E508A-BC89-4D81-B301-F26A0B28C31E}" name="法人／事業所数" dataCellStyle="桁区切り"/>
    <tableColumn id="15" xr3:uid="{0F13F721-F9C4-463F-890D-0098210C8C96}" name="法人／構成比" dataDxfId="658"/>
    <tableColumn id="16" xr3:uid="{A471AF62-EB70-43CA-BFB4-BB2EFB9974F6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EAA686-8834-430D-B95F-F87085BE6855}" name="LTBL_07201" displayName="LTBL_07201" ref="B4:I20" totalsRowCount="1">
  <autoFilter ref="B4:I19" xr:uid="{77EAA686-8834-430D-B95F-F87085BE6855}"/>
  <tableColumns count="8">
    <tableColumn id="9" xr3:uid="{89F64CEF-EA24-4A01-9460-31A00C1C77BE}" name="産業大分類" totalsRowLabel="合計" totalsRowDxfId="825"/>
    <tableColumn id="10" xr3:uid="{CD6D427F-95C4-4F57-8B3B-FE62C480C167}" name="総数／事業所数" totalsRowFunction="custom" totalsRowDxfId="824" dataCellStyle="桁区切り" totalsRowCellStyle="桁区切り">
      <totalsRowFormula>SUM(LTBL_07201[総数／事業所数])</totalsRowFormula>
    </tableColumn>
    <tableColumn id="11" xr3:uid="{928073AF-60E7-49C1-9E2C-135147DC8A08}" name="総数／構成比" dataDxfId="823"/>
    <tableColumn id="12" xr3:uid="{0FCA764A-A61F-48E8-BD01-00565D24D19B}" name="個人／事業所数" totalsRowFunction="sum" totalsRowDxfId="822" dataCellStyle="桁区切り" totalsRowCellStyle="桁区切り"/>
    <tableColumn id="13" xr3:uid="{7FF5D7DD-25A6-4408-AC46-940700DBE655}" name="個人／構成比" dataDxfId="821"/>
    <tableColumn id="14" xr3:uid="{B809B621-B595-4B4D-AAFC-988BE101C216}" name="法人／事業所数" totalsRowFunction="sum" totalsRowDxfId="820" dataCellStyle="桁区切り" totalsRowCellStyle="桁区切り"/>
    <tableColumn id="15" xr3:uid="{4E8E2524-14B4-403D-9E6E-E61F315729FD}" name="法人／構成比" dataDxfId="819"/>
    <tableColumn id="16" xr3:uid="{DF487936-FB6C-4313-89BB-2FE872D9F925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CBA512-1081-41D7-9FA3-379C21192D5D}" name="LTBL_07214" displayName="LTBL_07214" ref="B4:I20" totalsRowCount="1">
  <autoFilter ref="B4:I19" xr:uid="{57CBA512-1081-41D7-9FA3-379C21192D5D}"/>
  <tableColumns count="8">
    <tableColumn id="9" xr3:uid="{FEEB60D0-22D3-4249-AF82-9A500D6A0D5B}" name="産業大分類" totalsRowLabel="合計" totalsRowDxfId="657"/>
    <tableColumn id="10" xr3:uid="{33045ACE-BFD9-4050-A527-A1BADE5078EC}" name="総数／事業所数" totalsRowFunction="custom" totalsRowDxfId="656" dataCellStyle="桁区切り" totalsRowCellStyle="桁区切り">
      <totalsRowFormula>SUM(LTBL_07214[総数／事業所数])</totalsRowFormula>
    </tableColumn>
    <tableColumn id="11" xr3:uid="{4DCA7299-2C79-407D-97CD-7A11FAB09BAD}" name="総数／構成比" dataDxfId="655"/>
    <tableColumn id="12" xr3:uid="{773C4ED8-71DD-4079-B0F1-96E673066EF7}" name="個人／事業所数" totalsRowFunction="sum" totalsRowDxfId="654" dataCellStyle="桁区切り" totalsRowCellStyle="桁区切り"/>
    <tableColumn id="13" xr3:uid="{57526BDE-7C89-41A4-B125-B219FB066CE7}" name="個人／構成比" dataDxfId="653"/>
    <tableColumn id="14" xr3:uid="{45FC8D62-AE62-42E3-8B7D-F76B23609C72}" name="法人／事業所数" totalsRowFunction="sum" totalsRowDxfId="652" dataCellStyle="桁区切り" totalsRowCellStyle="桁区切り"/>
    <tableColumn id="15" xr3:uid="{A95ED276-3E3C-40A2-B49C-7C1DC2BCD5E9}" name="法人／構成比" dataDxfId="651"/>
    <tableColumn id="16" xr3:uid="{C698EBA9-6C9A-4144-9FFC-19B1DD92D518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E588E25-067F-451F-AD23-A82D2E565BAC}" name="M_TABLE_07214" displayName="M_TABLE_07214" ref="B23:I43" totalsRowShown="0">
  <autoFilter ref="B23:I43" xr:uid="{1E588E25-067F-451F-AD23-A82D2E565BAC}"/>
  <tableColumns count="8">
    <tableColumn id="9" xr3:uid="{343270E4-7EE0-4A35-ADB0-BE186AE70A11}" name="産業中分類上位２０"/>
    <tableColumn id="10" xr3:uid="{C8C91F4D-0406-468F-96F1-23F666EBA7A0}" name="総数／事業所数" dataCellStyle="桁区切り"/>
    <tableColumn id="11" xr3:uid="{00EDA3F2-2823-4002-B8D0-E546D60699B0}" name="総数／構成比" dataDxfId="649"/>
    <tableColumn id="12" xr3:uid="{23126EB3-CD0A-4B33-B76E-8831A702B4D4}" name="個人／事業所数" dataCellStyle="桁区切り"/>
    <tableColumn id="13" xr3:uid="{DA2ABB7C-9F32-41F5-B178-3DD6764D27DC}" name="個人／構成比" dataDxfId="648"/>
    <tableColumn id="14" xr3:uid="{02EA99BD-5E40-49F9-9504-6CE7F12FECA5}" name="法人／事業所数" dataCellStyle="桁区切り"/>
    <tableColumn id="15" xr3:uid="{880D7934-6B9C-4533-B733-AD55C22A759D}" name="法人／構成比" dataDxfId="647"/>
    <tableColumn id="16" xr3:uid="{BBBA24BE-8890-4489-9FAD-654E3E937DFF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3A1B200-07DD-4B06-BF8D-1BA3E3A76015}" name="S_TABLE_07214" displayName="S_TABLE_07214" ref="B46:I68" totalsRowShown="0">
  <autoFilter ref="B46:I68" xr:uid="{93A1B200-07DD-4B06-BF8D-1BA3E3A76015}"/>
  <tableColumns count="8">
    <tableColumn id="9" xr3:uid="{D299D745-9F77-4D73-8F15-B2D08BD6BD5E}" name="産業小分類上位２０"/>
    <tableColumn id="10" xr3:uid="{5C46E089-5B5C-4DD5-BF94-B2F9598273B2}" name="総数／事業所数" dataCellStyle="桁区切り"/>
    <tableColumn id="11" xr3:uid="{2364883E-060A-4E78-8257-CDA78BAA6198}" name="総数／構成比" dataDxfId="646"/>
    <tableColumn id="12" xr3:uid="{F92ABB23-E962-4904-A950-B876908FE9CA}" name="個人／事業所数" dataCellStyle="桁区切り"/>
    <tableColumn id="13" xr3:uid="{2F7C108B-0295-4652-B130-EC11A4696829}" name="個人／構成比" dataDxfId="645"/>
    <tableColumn id="14" xr3:uid="{0EABBD48-FD06-4E6A-8F6D-A743B3F8F7D9}" name="法人／事業所数" dataCellStyle="桁区切り"/>
    <tableColumn id="15" xr3:uid="{E8204D88-3300-4513-BABD-F3B4D0D5E994}" name="法人／構成比" dataDxfId="644"/>
    <tableColumn id="16" xr3:uid="{90431CB9-353A-4A01-A42C-9A5A1ACE3C2A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4BB692BA-A271-407F-826C-7AD9205D1ACA}" name="LTBL_07301" displayName="LTBL_07301" ref="B4:I20" totalsRowCount="1">
  <autoFilter ref="B4:I19" xr:uid="{4BB692BA-A271-407F-826C-7AD9205D1ACA}"/>
  <tableColumns count="8">
    <tableColumn id="9" xr3:uid="{9EB8EB10-A0E7-4AA7-B3A2-13D64A43F0B3}" name="産業大分類" totalsRowLabel="合計" totalsRowDxfId="643"/>
    <tableColumn id="10" xr3:uid="{99EF189F-9C18-4EF1-8D8B-45B47FE1221E}" name="総数／事業所数" totalsRowFunction="custom" totalsRowDxfId="642" dataCellStyle="桁区切り" totalsRowCellStyle="桁区切り">
      <totalsRowFormula>SUM(LTBL_07301[総数／事業所数])</totalsRowFormula>
    </tableColumn>
    <tableColumn id="11" xr3:uid="{455B54D0-1B51-4F1B-B397-4BA015D100D8}" name="総数／構成比" dataDxfId="641"/>
    <tableColumn id="12" xr3:uid="{C2B89656-8D47-4BAE-BF47-E3E4BDF6A2F0}" name="個人／事業所数" totalsRowFunction="sum" totalsRowDxfId="640" dataCellStyle="桁区切り" totalsRowCellStyle="桁区切り"/>
    <tableColumn id="13" xr3:uid="{2071CB4E-2169-47B2-8229-63E8A1BE5C5C}" name="個人／構成比" dataDxfId="639"/>
    <tableColumn id="14" xr3:uid="{19994383-B1F8-4455-AA24-303469AAE224}" name="法人／事業所数" totalsRowFunction="sum" totalsRowDxfId="638" dataCellStyle="桁区切り" totalsRowCellStyle="桁区切り"/>
    <tableColumn id="15" xr3:uid="{BE5088B3-9150-4585-9B54-3E759381F3F5}" name="法人／構成比" dataDxfId="637"/>
    <tableColumn id="16" xr3:uid="{1D19A393-9F10-4600-A641-DA65389135E2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9CCAD896-156A-4EA5-A5AA-CAD52CBD9ACA}" name="M_TABLE_07301" displayName="M_TABLE_07301" ref="B23:I45" totalsRowShown="0">
  <autoFilter ref="B23:I45" xr:uid="{9CCAD896-156A-4EA5-A5AA-CAD52CBD9ACA}"/>
  <tableColumns count="8">
    <tableColumn id="9" xr3:uid="{8363A07A-DC96-4FD7-93CE-CD7005580C2C}" name="産業中分類上位２０"/>
    <tableColumn id="10" xr3:uid="{F8463898-2658-4D48-8097-3A2F8F7F39D3}" name="総数／事業所数" dataCellStyle="桁区切り"/>
    <tableColumn id="11" xr3:uid="{1748ED2E-6E43-4065-8FC7-BAFFF5CBB701}" name="総数／構成比" dataDxfId="635"/>
    <tableColumn id="12" xr3:uid="{80351782-862A-4D1C-90BD-644C08D1D618}" name="個人／事業所数" dataCellStyle="桁区切り"/>
    <tableColumn id="13" xr3:uid="{B17E7ACB-5051-4FEE-923E-AB7B3F6E1F67}" name="個人／構成比" dataDxfId="634"/>
    <tableColumn id="14" xr3:uid="{92268818-45E0-42FD-A825-BCC488573D3A}" name="法人／事業所数" dataCellStyle="桁区切り"/>
    <tableColumn id="15" xr3:uid="{4C0F57C0-142B-480F-A3AB-E02E42C275A1}" name="法人／構成比" dataDxfId="633"/>
    <tableColumn id="16" xr3:uid="{9C455A3B-3E50-4E08-A0C9-363752BFC6B2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5C4E09E-0A94-4D80-8BC0-9AE481F1F42C}" name="S_TABLE_07301" displayName="S_TABLE_07301" ref="B48:I80" totalsRowShown="0">
  <autoFilter ref="B48:I80" xr:uid="{B5C4E09E-0A94-4D80-8BC0-9AE481F1F42C}"/>
  <tableColumns count="8">
    <tableColumn id="9" xr3:uid="{551C0009-9EBC-4A27-9F18-85ADCA4BFC74}" name="産業小分類上位２０"/>
    <tableColumn id="10" xr3:uid="{F339EAA2-48A8-467C-8420-9851774D6767}" name="総数／事業所数" dataCellStyle="桁区切り"/>
    <tableColumn id="11" xr3:uid="{1FAC7AC2-BDC2-47A9-B027-682CE4C04513}" name="総数／構成比" dataDxfId="632"/>
    <tableColumn id="12" xr3:uid="{05DC5EB1-DEE1-41E8-AC09-3EBC619E5AB3}" name="個人／事業所数" dataCellStyle="桁区切り"/>
    <tableColumn id="13" xr3:uid="{C17F03FA-216C-4654-989C-644DFC6EEA82}" name="個人／構成比" dataDxfId="631"/>
    <tableColumn id="14" xr3:uid="{15840E68-C8E5-4FCE-9FA1-DED08F74B4E2}" name="法人／事業所数" dataCellStyle="桁区切り"/>
    <tableColumn id="15" xr3:uid="{949E0927-73E4-41E0-A40F-919C24EC2B53}" name="法人／構成比" dataDxfId="630"/>
    <tableColumn id="16" xr3:uid="{9918779F-87F0-4CE7-9F8C-98524E3CA9A7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6F6F510-A281-43DA-BEEA-492F607918C1}" name="LTBL_07303" displayName="LTBL_07303" ref="B4:I20" totalsRowCount="1">
  <autoFilter ref="B4:I19" xr:uid="{B6F6F510-A281-43DA-BEEA-492F607918C1}"/>
  <tableColumns count="8">
    <tableColumn id="9" xr3:uid="{6145317E-D283-4A01-B472-165A6BB9FF32}" name="産業大分類" totalsRowLabel="合計" totalsRowDxfId="629"/>
    <tableColumn id="10" xr3:uid="{6EDA8340-16FC-40EA-BC84-25D8B44A350F}" name="総数／事業所数" totalsRowFunction="custom" totalsRowDxfId="628" dataCellStyle="桁区切り" totalsRowCellStyle="桁区切り">
      <totalsRowFormula>SUM(LTBL_07303[総数／事業所数])</totalsRowFormula>
    </tableColumn>
    <tableColumn id="11" xr3:uid="{994F3DFE-C5D9-47A0-88EE-755FF3FFF902}" name="総数／構成比" dataDxfId="627"/>
    <tableColumn id="12" xr3:uid="{0DDB6251-B90A-473E-AE2B-C5B769002E4F}" name="個人／事業所数" totalsRowFunction="sum" totalsRowDxfId="626" dataCellStyle="桁区切り" totalsRowCellStyle="桁区切り"/>
    <tableColumn id="13" xr3:uid="{BBA33999-3E69-4223-B61D-5EE3DCE3B7AD}" name="個人／構成比" dataDxfId="625"/>
    <tableColumn id="14" xr3:uid="{22F92CED-15FD-4CC3-A3BD-E24993DAEB9A}" name="法人／事業所数" totalsRowFunction="sum" totalsRowDxfId="624" dataCellStyle="桁区切り" totalsRowCellStyle="桁区切り"/>
    <tableColumn id="15" xr3:uid="{A5DA350C-756B-4C2B-9E96-56419F1A8779}" name="法人／構成比" dataDxfId="623"/>
    <tableColumn id="16" xr3:uid="{371FE07A-F2B4-4FFD-BDE9-3403CD2FA5BC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B46C8CE-049C-4A3D-9AE5-E6AF5D732230}" name="M_TABLE_07303" displayName="M_TABLE_07303" ref="B23:I47" totalsRowShown="0">
  <autoFilter ref="B23:I47" xr:uid="{1B46C8CE-049C-4A3D-9AE5-E6AF5D732230}"/>
  <tableColumns count="8">
    <tableColumn id="9" xr3:uid="{4FD7E3D7-A18A-46EB-98B4-C7E688BCC0B7}" name="産業中分類上位２０"/>
    <tableColumn id="10" xr3:uid="{13993308-F355-4C4A-9671-A0CF9696E977}" name="総数／事業所数" dataCellStyle="桁区切り"/>
    <tableColumn id="11" xr3:uid="{95AFE3DD-F9E4-4650-B438-BF06EC07BBD0}" name="総数／構成比" dataDxfId="621"/>
    <tableColumn id="12" xr3:uid="{79363823-C034-4470-9E4C-69B1CCA7CA92}" name="個人／事業所数" dataCellStyle="桁区切り"/>
    <tableColumn id="13" xr3:uid="{5559570D-C576-4FDF-9C46-023323F976E1}" name="個人／構成比" dataDxfId="620"/>
    <tableColumn id="14" xr3:uid="{C197B61B-6917-4610-BA19-60AF8857459F}" name="法人／事業所数" dataCellStyle="桁区切り"/>
    <tableColumn id="15" xr3:uid="{2720C945-E2A6-4893-84B8-7BEB6F1466DC}" name="法人／構成比" dataDxfId="619"/>
    <tableColumn id="16" xr3:uid="{CD7FB3D9-A53B-4AB2-9CEB-46E9FD09E6BA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85492C3-8633-4270-A2D1-2D20D3C868D5}" name="S_TABLE_07303" displayName="S_TABLE_07303" ref="B50:I73" totalsRowShown="0">
  <autoFilter ref="B50:I73" xr:uid="{A85492C3-8633-4270-A2D1-2D20D3C868D5}"/>
  <tableColumns count="8">
    <tableColumn id="9" xr3:uid="{D2F5785F-76E6-4A36-9846-E55A1421D432}" name="産業小分類上位２０"/>
    <tableColumn id="10" xr3:uid="{05AF23BA-CB0C-4115-927B-8835545F4CE1}" name="総数／事業所数" dataCellStyle="桁区切り"/>
    <tableColumn id="11" xr3:uid="{D1DC5F02-F19A-41B1-AFB3-F032DB0D38A4}" name="総数／構成比" dataDxfId="618"/>
    <tableColumn id="12" xr3:uid="{9EF5EE2F-19A0-41A7-8CD5-D8A3712B91FB}" name="個人／事業所数" dataCellStyle="桁区切り"/>
    <tableColumn id="13" xr3:uid="{4275B880-FA15-4E41-B8DD-9776735FD142}" name="個人／構成比" dataDxfId="617"/>
    <tableColumn id="14" xr3:uid="{A9E868A5-3AB6-4205-B208-A50862052AF4}" name="法人／事業所数" dataCellStyle="桁区切り"/>
    <tableColumn id="15" xr3:uid="{D5EF8A3D-36B6-47B9-A0A6-2E09E6CB9344}" name="法人／構成比" dataDxfId="616"/>
    <tableColumn id="16" xr3:uid="{20547BAC-4A37-4196-867D-65B343E01A54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84087B4-0B7A-4E86-939C-C73DC814EDEB}" name="LTBL_07308" displayName="LTBL_07308" ref="B4:I20" totalsRowCount="1">
  <autoFilter ref="B4:I19" xr:uid="{384087B4-0B7A-4E86-939C-C73DC814EDEB}"/>
  <tableColumns count="8">
    <tableColumn id="9" xr3:uid="{FBAE94D4-CBF3-4995-B4F4-09EAD8B0D58F}" name="産業大分類" totalsRowLabel="合計" totalsRowDxfId="615"/>
    <tableColumn id="10" xr3:uid="{55FFA69E-3A66-4024-ABCB-8564EF5CB1EE}" name="総数／事業所数" totalsRowFunction="custom" totalsRowDxfId="614" dataCellStyle="桁区切り" totalsRowCellStyle="桁区切り">
      <totalsRowFormula>SUM(LTBL_07308[総数／事業所数])</totalsRowFormula>
    </tableColumn>
    <tableColumn id="11" xr3:uid="{AED4E51B-B811-4BBF-B273-4F669DAE9856}" name="総数／構成比" dataDxfId="613"/>
    <tableColumn id="12" xr3:uid="{A99AB41B-FE62-495D-B8F8-379444566307}" name="個人／事業所数" totalsRowFunction="sum" totalsRowDxfId="612" dataCellStyle="桁区切り" totalsRowCellStyle="桁区切り"/>
    <tableColumn id="13" xr3:uid="{D410EA36-F82D-4865-9376-F56722FD768E}" name="個人／構成比" dataDxfId="611"/>
    <tableColumn id="14" xr3:uid="{617DA1E2-2FF5-4BD7-BFC1-2707558911FF}" name="法人／事業所数" totalsRowFunction="sum" totalsRowDxfId="610" dataCellStyle="桁区切り" totalsRowCellStyle="桁区切り"/>
    <tableColumn id="15" xr3:uid="{8B4F47E4-17FA-4079-802F-E3CACA754F33}" name="法人／構成比" dataDxfId="609"/>
    <tableColumn id="16" xr3:uid="{1FD9DBC3-3DB5-4C80-897E-7B7FA7745EA0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DCCD0D-BAF9-42E2-A658-C8B63223CAC9}" name="M_TABLE_07201" displayName="M_TABLE_07201" ref="B23:I43" totalsRowShown="0">
  <autoFilter ref="B23:I43" xr:uid="{19DCCD0D-BAF9-42E2-A658-C8B63223CAC9}"/>
  <tableColumns count="8">
    <tableColumn id="9" xr3:uid="{EE15FB27-7BFF-4641-96C9-485E4DC03D3A}" name="産業中分類上位２０"/>
    <tableColumn id="10" xr3:uid="{41F94680-3A3A-4138-A9D7-29FA8D6327A8}" name="総数／事業所数" dataCellStyle="桁区切り"/>
    <tableColumn id="11" xr3:uid="{CAE22D4D-7517-42BF-8065-FCE9ACC7082F}" name="総数／構成比" dataDxfId="817"/>
    <tableColumn id="12" xr3:uid="{C2CCE993-BDF4-41A5-A429-9A759B6871E6}" name="個人／事業所数" dataCellStyle="桁区切り"/>
    <tableColumn id="13" xr3:uid="{FE8713EE-50A2-4BD7-BF01-C51DBAA0C60C}" name="個人／構成比" dataDxfId="816"/>
    <tableColumn id="14" xr3:uid="{5100336E-9669-474E-856D-F9AC5FF3F6C3}" name="法人／事業所数" dataCellStyle="桁区切り"/>
    <tableColumn id="15" xr3:uid="{EF62DBC5-4B8B-4060-B601-B3E1318381CC}" name="法人／構成比" dataDxfId="815"/>
    <tableColumn id="16" xr3:uid="{948C6C65-11BC-435A-AFFB-75108BCBB2B7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7AFFE06-2988-441D-B725-89E6877345B3}" name="M_TABLE_07308" displayName="M_TABLE_07308" ref="B23:I43" totalsRowShown="0">
  <autoFilter ref="B23:I43" xr:uid="{37AFFE06-2988-441D-B725-89E6877345B3}"/>
  <tableColumns count="8">
    <tableColumn id="9" xr3:uid="{E191EE96-94E3-4C8E-9913-99BD18193B36}" name="産業中分類上位２０"/>
    <tableColumn id="10" xr3:uid="{CC3C1CCF-BF8F-4112-8725-0BF960DB2622}" name="総数／事業所数" dataCellStyle="桁区切り"/>
    <tableColumn id="11" xr3:uid="{3A290F3D-DEDD-43FA-8E16-2ECFA97A1337}" name="総数／構成比" dataDxfId="607"/>
    <tableColumn id="12" xr3:uid="{F6DDE084-B15A-4494-9B0C-2D12FA82534B}" name="個人／事業所数" dataCellStyle="桁区切り"/>
    <tableColumn id="13" xr3:uid="{4D8AF8BB-F2D7-4571-8AC2-76F7CEF45673}" name="個人／構成比" dataDxfId="606"/>
    <tableColumn id="14" xr3:uid="{91C3FEAB-3922-43BF-BB40-FB35A156E384}" name="法人／事業所数" dataCellStyle="桁区切り"/>
    <tableColumn id="15" xr3:uid="{93C74EC9-EFEE-433D-B040-FBFBAB755563}" name="法人／構成比" dataDxfId="605"/>
    <tableColumn id="16" xr3:uid="{6549F379-B532-4EDF-9EA4-5C5430478BBE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F39998C-BD18-4CF8-A9A5-04794DB754B0}" name="S_TABLE_07308" displayName="S_TABLE_07308" ref="B46:I73" totalsRowShown="0">
  <autoFilter ref="B46:I73" xr:uid="{AF39998C-BD18-4CF8-A9A5-04794DB754B0}"/>
  <tableColumns count="8">
    <tableColumn id="9" xr3:uid="{EC39F081-FC78-4BCF-81CB-22BEB6C6407A}" name="産業小分類上位２０"/>
    <tableColumn id="10" xr3:uid="{C3316302-93B3-49B3-B445-BC06B1D560EF}" name="総数／事業所数" dataCellStyle="桁区切り"/>
    <tableColumn id="11" xr3:uid="{5C00F47A-319A-4A87-BDC4-669810FA1EAD}" name="総数／構成比" dataDxfId="604"/>
    <tableColumn id="12" xr3:uid="{C5052087-0B25-42BA-B8FE-81D0D91A194F}" name="個人／事業所数" dataCellStyle="桁区切り"/>
    <tableColumn id="13" xr3:uid="{9FDE1BDA-39B3-4C5B-BBEB-F421D41C00A5}" name="個人／構成比" dataDxfId="603"/>
    <tableColumn id="14" xr3:uid="{2A39DB52-D181-4DCC-9792-32197125B4D3}" name="法人／事業所数" dataCellStyle="桁区切り"/>
    <tableColumn id="15" xr3:uid="{AFD4F866-B1B5-47C3-AC94-3E1FE9967193}" name="法人／構成比" dataDxfId="602"/>
    <tableColumn id="16" xr3:uid="{8A429E13-271F-4104-A167-DE09E22C189D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3DF5E1C-958F-4A53-A369-63C550768F8E}" name="LTBL_07322" displayName="LTBL_07322" ref="B4:I20" totalsRowCount="1">
  <autoFilter ref="B4:I19" xr:uid="{83DF5E1C-958F-4A53-A369-63C550768F8E}"/>
  <tableColumns count="8">
    <tableColumn id="9" xr3:uid="{481989D9-AC34-4670-8D08-053465162820}" name="産業大分類" totalsRowLabel="合計" totalsRowDxfId="601"/>
    <tableColumn id="10" xr3:uid="{2215431C-EB09-46B8-A946-661D6F334A1E}" name="総数／事業所数" totalsRowFunction="custom" totalsRowDxfId="600" dataCellStyle="桁区切り" totalsRowCellStyle="桁区切り">
      <totalsRowFormula>SUM(LTBL_07322[総数／事業所数])</totalsRowFormula>
    </tableColumn>
    <tableColumn id="11" xr3:uid="{AE6A10B5-E195-4A27-ACDF-CA66913795C0}" name="総数／構成比" dataDxfId="599"/>
    <tableColumn id="12" xr3:uid="{5BD8358A-1E53-4AFA-B46C-0B7DB549F43A}" name="個人／事業所数" totalsRowFunction="sum" totalsRowDxfId="598" dataCellStyle="桁区切り" totalsRowCellStyle="桁区切り"/>
    <tableColumn id="13" xr3:uid="{92FF3F3F-6129-4232-99B8-CC161DFD588D}" name="個人／構成比" dataDxfId="597"/>
    <tableColumn id="14" xr3:uid="{B0A5E2AF-88CF-4CFC-9015-A0C337949CAA}" name="法人／事業所数" totalsRowFunction="sum" totalsRowDxfId="596" dataCellStyle="桁区切り" totalsRowCellStyle="桁区切り"/>
    <tableColumn id="15" xr3:uid="{F25F7802-A938-4FB9-A071-6DFE6CA4FAD5}" name="法人／構成比" dataDxfId="595"/>
    <tableColumn id="16" xr3:uid="{2240A61F-07BD-44B6-BC00-357A5097590E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EA44454-7F26-4CED-9DE2-A7F1EE09C58B}" name="M_TABLE_07322" displayName="M_TABLE_07322" ref="B23:I60" totalsRowShown="0">
  <autoFilter ref="B23:I60" xr:uid="{CEA44454-7F26-4CED-9DE2-A7F1EE09C58B}"/>
  <tableColumns count="8">
    <tableColumn id="9" xr3:uid="{B899DB19-A7EA-478D-958D-1000904B4588}" name="産業中分類上位２０"/>
    <tableColumn id="10" xr3:uid="{5E817C3F-6A4A-44A0-B022-E6DF9300860E}" name="総数／事業所数" dataCellStyle="桁区切り"/>
    <tableColumn id="11" xr3:uid="{F98B8031-5439-4ACC-9DA2-A5B3B3D98989}" name="総数／構成比" dataDxfId="593"/>
    <tableColumn id="12" xr3:uid="{7621A2C1-40F9-4C19-AF8F-315A7D683724}" name="個人／事業所数" dataCellStyle="桁区切り"/>
    <tableColumn id="13" xr3:uid="{3C75EC63-6F27-4C36-9E48-3FEA041AA240}" name="個人／構成比" dataDxfId="592"/>
    <tableColumn id="14" xr3:uid="{DB327F23-B9C3-4394-9D5E-2518F12BBA39}" name="法人／事業所数" dataCellStyle="桁区切り"/>
    <tableColumn id="15" xr3:uid="{8B2A5B14-4142-4A41-A587-FFAE9F07C0AE}" name="法人／構成比" dataDxfId="591"/>
    <tableColumn id="16" xr3:uid="{2BFC0247-77F3-4959-8D52-BDEB0BA86162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D68C2E4-3B62-4FF5-8833-58C851B65B93}" name="S_TABLE_07322" displayName="S_TABLE_07322" ref="B63:I92" totalsRowShown="0">
  <autoFilter ref="B63:I92" xr:uid="{3D68C2E4-3B62-4FF5-8833-58C851B65B93}"/>
  <tableColumns count="8">
    <tableColumn id="9" xr3:uid="{24D0166D-76C5-476D-8E2F-82332FD21BE0}" name="産業小分類上位２０"/>
    <tableColumn id="10" xr3:uid="{1098064D-59B6-4E88-8017-82CB9281099E}" name="総数／事業所数" dataCellStyle="桁区切り"/>
    <tableColumn id="11" xr3:uid="{1E92A3CD-D65F-406B-BEE0-2317AA4EEC94}" name="総数／構成比" dataDxfId="590"/>
    <tableColumn id="12" xr3:uid="{264EC14E-5251-42EA-832D-C94841113356}" name="個人／事業所数" dataCellStyle="桁区切り"/>
    <tableColumn id="13" xr3:uid="{49E0B204-0C2E-49D7-8535-73A7DD0B2EEC}" name="個人／構成比" dataDxfId="589"/>
    <tableColumn id="14" xr3:uid="{E0D71C7C-EE52-42FF-8B66-AE6A20FABAA4}" name="法人／事業所数" dataCellStyle="桁区切り"/>
    <tableColumn id="15" xr3:uid="{D9A750E7-9648-46EA-B075-A9DBF56B4181}" name="法人／構成比" dataDxfId="588"/>
    <tableColumn id="16" xr3:uid="{98F5E01A-FC34-474C-A86C-B7596C1598E9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A669297B-92FF-44BE-BF43-3F9D5929F976}" name="LTBL_07342" displayName="LTBL_07342" ref="B4:I20" totalsRowCount="1">
  <autoFilter ref="B4:I19" xr:uid="{A669297B-92FF-44BE-BF43-3F9D5929F976}"/>
  <tableColumns count="8">
    <tableColumn id="9" xr3:uid="{6E45C908-D018-4D9D-AE31-FE8EB866D269}" name="産業大分類" totalsRowLabel="合計" totalsRowDxfId="587"/>
    <tableColumn id="10" xr3:uid="{7787B99E-639E-4733-9588-660830BEDA2A}" name="総数／事業所数" totalsRowFunction="custom" totalsRowDxfId="586" dataCellStyle="桁区切り" totalsRowCellStyle="桁区切り">
      <totalsRowFormula>SUM(LTBL_07342[総数／事業所数])</totalsRowFormula>
    </tableColumn>
    <tableColumn id="11" xr3:uid="{7D3D5A0C-6F0D-45D3-B0C5-8ABB607813DA}" name="総数／構成比" dataDxfId="585"/>
    <tableColumn id="12" xr3:uid="{56A98E35-ECA3-4AE7-8ACF-C3465A966EEF}" name="個人／事業所数" totalsRowFunction="sum" totalsRowDxfId="584" dataCellStyle="桁区切り" totalsRowCellStyle="桁区切り"/>
    <tableColumn id="13" xr3:uid="{41B9F834-0113-4A24-BDAB-C4886D76D053}" name="個人／構成比" dataDxfId="583"/>
    <tableColumn id="14" xr3:uid="{FFBBA76D-9BDB-4A68-B285-123A78F78F01}" name="法人／事業所数" totalsRowFunction="sum" totalsRowDxfId="582" dataCellStyle="桁区切り" totalsRowCellStyle="桁区切り"/>
    <tableColumn id="15" xr3:uid="{293D39E7-4EC4-4756-BEE0-CCBE689E3580}" name="法人／構成比" dataDxfId="581"/>
    <tableColumn id="16" xr3:uid="{711A4B3E-FE37-4391-9241-63C0A6D99A12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35A16C17-332D-4FA2-8F72-8E38946F4F87}" name="M_TABLE_07342" displayName="M_TABLE_07342" ref="B23:I43" totalsRowShown="0">
  <autoFilter ref="B23:I43" xr:uid="{35A16C17-332D-4FA2-8F72-8E38946F4F87}"/>
  <tableColumns count="8">
    <tableColumn id="9" xr3:uid="{F7F9C28C-4C2D-4CD9-B614-C4C58D750A11}" name="産業中分類上位２０"/>
    <tableColumn id="10" xr3:uid="{ABA12FC4-D2D7-481D-9C8D-F24549207945}" name="総数／事業所数" dataCellStyle="桁区切り"/>
    <tableColumn id="11" xr3:uid="{2881ADCB-203A-46D5-9CAB-41C0DE637F2B}" name="総数／構成比" dataDxfId="579"/>
    <tableColumn id="12" xr3:uid="{9D6E6A1F-74A6-4062-8263-1C2302BDDEF8}" name="個人／事業所数" dataCellStyle="桁区切り"/>
    <tableColumn id="13" xr3:uid="{B98F3D87-3F50-44E6-8CEF-A9A4F828A360}" name="個人／構成比" dataDxfId="578"/>
    <tableColumn id="14" xr3:uid="{F5E8C4E7-8A3F-44FC-9A85-D241634C0E5F}" name="法人／事業所数" dataCellStyle="桁区切り"/>
    <tableColumn id="15" xr3:uid="{73272E5A-605F-4AED-8F61-5D6B8E2C852F}" name="法人／構成比" dataDxfId="577"/>
    <tableColumn id="16" xr3:uid="{8EDDE61C-F38E-4AE2-9BED-A285022C84A2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9AB5D6D-319B-4A7B-8876-5E63701D3935}" name="S_TABLE_07342" displayName="S_TABLE_07342" ref="B46:I75" totalsRowShown="0">
  <autoFilter ref="B46:I75" xr:uid="{59AB5D6D-319B-4A7B-8876-5E63701D3935}"/>
  <tableColumns count="8">
    <tableColumn id="9" xr3:uid="{062105C6-C5B2-4D31-907F-B328218DE486}" name="産業小分類上位２０"/>
    <tableColumn id="10" xr3:uid="{02EE57F4-2938-4E4C-B228-03E3A8CC3A1C}" name="総数／事業所数" dataCellStyle="桁区切り"/>
    <tableColumn id="11" xr3:uid="{3ADC407C-A73E-4B05-B128-3238E817933D}" name="総数／構成比" dataDxfId="576"/>
    <tableColumn id="12" xr3:uid="{1D465E08-D0FF-4407-8DAC-C49FA7192E8D}" name="個人／事業所数" dataCellStyle="桁区切り"/>
    <tableColumn id="13" xr3:uid="{E2CCD9B2-6DCC-472F-9B3E-6FCC00B6B844}" name="個人／構成比" dataDxfId="575"/>
    <tableColumn id="14" xr3:uid="{69F488F4-8F58-4C12-8BD9-C7DE09809023}" name="法人／事業所数" dataCellStyle="桁区切り"/>
    <tableColumn id="15" xr3:uid="{552491D7-1897-42F6-A6CF-CE77CFF5415F}" name="法人／構成比" dataDxfId="574"/>
    <tableColumn id="16" xr3:uid="{043EEECE-1A75-4CCA-BF36-360C257AC738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C8AE94B6-DC37-4E8E-BCD9-4AE3D7AC80CE}" name="LTBL_07344" displayName="LTBL_07344" ref="B4:I20" totalsRowCount="1">
  <autoFilter ref="B4:I19" xr:uid="{C8AE94B6-DC37-4E8E-BCD9-4AE3D7AC80CE}"/>
  <tableColumns count="8">
    <tableColumn id="9" xr3:uid="{D820033B-4B1A-43D9-ADA5-4FD4CE8A8E67}" name="産業大分類" totalsRowLabel="合計" totalsRowDxfId="573"/>
    <tableColumn id="10" xr3:uid="{1EE74193-9B85-414A-8EBC-D76F65673979}" name="総数／事業所数" totalsRowFunction="custom" totalsRowDxfId="572" dataCellStyle="桁区切り" totalsRowCellStyle="桁区切り">
      <totalsRowFormula>SUM(LTBL_07344[総数／事業所数])</totalsRowFormula>
    </tableColumn>
    <tableColumn id="11" xr3:uid="{DAF8F926-DDB5-4984-ABD6-08BAAB995186}" name="総数／構成比" dataDxfId="571"/>
    <tableColumn id="12" xr3:uid="{9DD9DF88-55F8-4999-A297-6B9415C78085}" name="個人／事業所数" totalsRowFunction="sum" totalsRowDxfId="570" dataCellStyle="桁区切り" totalsRowCellStyle="桁区切り"/>
    <tableColumn id="13" xr3:uid="{A293EC1F-9B7E-44A9-AEB8-627DD126873B}" name="個人／構成比" dataDxfId="569"/>
    <tableColumn id="14" xr3:uid="{D384131A-3B7B-45B6-9E44-4B97C673969D}" name="法人／事業所数" totalsRowFunction="sum" totalsRowDxfId="568" dataCellStyle="桁区切り" totalsRowCellStyle="桁区切り"/>
    <tableColumn id="15" xr3:uid="{92F791CB-47A5-42FF-AF39-628A6C5BFE9A}" name="法人／構成比" dataDxfId="567"/>
    <tableColumn id="16" xr3:uid="{1F74576F-6E4B-4F9E-9327-EB415BD14841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B194D4A3-67A0-42F5-A715-4BCF2C037A2A}" name="M_TABLE_07344" displayName="M_TABLE_07344" ref="B23:I61" totalsRowShown="0">
  <autoFilter ref="B23:I61" xr:uid="{B194D4A3-67A0-42F5-A715-4BCF2C037A2A}"/>
  <tableColumns count="8">
    <tableColumn id="9" xr3:uid="{8E48E035-2B2A-4854-AD6E-CB74A24C5A21}" name="産業中分類上位２０"/>
    <tableColumn id="10" xr3:uid="{4D130BB5-A277-4C75-AF65-6A48F938A7B6}" name="総数／事業所数" dataCellStyle="桁区切り"/>
    <tableColumn id="11" xr3:uid="{7956EB3D-DF3E-442D-8F78-09B453CA0BB1}" name="総数／構成比" dataDxfId="565"/>
    <tableColumn id="12" xr3:uid="{C3904A14-A35A-4530-89BD-9414D089E125}" name="個人／事業所数" dataCellStyle="桁区切り"/>
    <tableColumn id="13" xr3:uid="{5144B8F5-E94B-4ACC-A54F-B9B0EDF98FBB}" name="個人／構成比" dataDxfId="564"/>
    <tableColumn id="14" xr3:uid="{A86A6F45-92B3-4957-A115-4265575C8720}" name="法人／事業所数" dataCellStyle="桁区切り"/>
    <tableColumn id="15" xr3:uid="{CF8952E1-B345-4A5A-94C4-D5F13AFBCF60}" name="法人／構成比" dataDxfId="563"/>
    <tableColumn id="16" xr3:uid="{5D2D965F-B9FE-45D0-A248-89B6DD8452D9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AD60F1-A83E-4F7E-8B51-A45A7F1A03CE}" name="S_TABLE_07201" displayName="S_TABLE_07201" ref="B46:I67" totalsRowShown="0">
  <autoFilter ref="B46:I67" xr:uid="{33AD60F1-A83E-4F7E-8B51-A45A7F1A03CE}"/>
  <tableColumns count="8">
    <tableColumn id="9" xr3:uid="{9534BF4E-A6AF-4113-ACBD-DCFADC63338B}" name="産業小分類上位２０"/>
    <tableColumn id="10" xr3:uid="{8E0607D9-15CA-4025-B3D8-B16106E49F33}" name="総数／事業所数" dataCellStyle="桁区切り"/>
    <tableColumn id="11" xr3:uid="{3232321F-64B7-4AA0-A4AF-18DDEFD91F8E}" name="総数／構成比" dataDxfId="814"/>
    <tableColumn id="12" xr3:uid="{3C9AC079-559D-4046-92D7-A0DD937A5EBF}" name="個人／事業所数" dataCellStyle="桁区切り"/>
    <tableColumn id="13" xr3:uid="{8C5AE460-0736-4E33-A5B3-2864B05DEF82}" name="個人／構成比" dataDxfId="813"/>
    <tableColumn id="14" xr3:uid="{3ABA99C2-CCFA-470F-AE13-75078879B9F8}" name="法人／事業所数" dataCellStyle="桁区切り"/>
    <tableColumn id="15" xr3:uid="{D7FC9AE6-E06D-4ED3-B93A-F49A0BB2C725}" name="法人／構成比" dataDxfId="812"/>
    <tableColumn id="16" xr3:uid="{05209E16-2142-43A4-9082-474EC2AFB126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2ED7350-DFB6-46AA-9307-3EA56827B4AC}" name="S_TABLE_07344" displayName="S_TABLE_07344" ref="B64:I92" totalsRowShown="0">
  <autoFilter ref="B64:I92" xr:uid="{52ED7350-DFB6-46AA-9307-3EA56827B4AC}"/>
  <tableColumns count="8">
    <tableColumn id="9" xr3:uid="{F3DA2DE6-78FD-45ED-B965-BAB0FDCFAED8}" name="産業小分類上位２０"/>
    <tableColumn id="10" xr3:uid="{F3A93BC0-FE0A-4BF9-B665-E9A0CDCE97AE}" name="総数／事業所数" dataCellStyle="桁区切り"/>
    <tableColumn id="11" xr3:uid="{1E8D47ED-3DFB-4A8B-8CAD-553F384D5F34}" name="総数／構成比" dataDxfId="562"/>
    <tableColumn id="12" xr3:uid="{93BE459E-49B7-4A6F-A033-12B4085A4CD2}" name="個人／事業所数" dataCellStyle="桁区切り"/>
    <tableColumn id="13" xr3:uid="{196D3FA2-D91B-48ED-8AF9-F3E82EF52B5F}" name="個人／構成比" dataDxfId="561"/>
    <tableColumn id="14" xr3:uid="{85D77220-930B-4740-99B5-A6686A43D2CE}" name="法人／事業所数" dataCellStyle="桁区切り"/>
    <tableColumn id="15" xr3:uid="{7B7BDE95-BFDC-403D-AC5D-B50D1CCB0C34}" name="法人／構成比" dataDxfId="560"/>
    <tableColumn id="16" xr3:uid="{8F46A1E0-BC8C-47CB-8F08-294AE2231730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7E073299-3B2B-413D-86C5-42E45FBCF23C}" name="LTBL_07362" displayName="LTBL_07362" ref="B4:I20" totalsRowCount="1">
  <autoFilter ref="B4:I19" xr:uid="{7E073299-3B2B-413D-86C5-42E45FBCF23C}"/>
  <tableColumns count="8">
    <tableColumn id="9" xr3:uid="{69AB4F7F-B299-4295-8E50-9AE95F181963}" name="産業大分類" totalsRowLabel="合計" totalsRowDxfId="559"/>
    <tableColumn id="10" xr3:uid="{928D7D27-32DF-474A-BC24-F3AD3DBE51E4}" name="総数／事業所数" totalsRowFunction="custom" totalsRowDxfId="558" dataCellStyle="桁区切り" totalsRowCellStyle="桁区切り">
      <totalsRowFormula>SUM(LTBL_07362[総数／事業所数])</totalsRowFormula>
    </tableColumn>
    <tableColumn id="11" xr3:uid="{F30392AA-1DB6-451E-BC9D-098A20FCEF4C}" name="総数／構成比" dataDxfId="557"/>
    <tableColumn id="12" xr3:uid="{28682D59-62EB-4CF3-86F0-BF868EC92443}" name="個人／事業所数" totalsRowFunction="sum" totalsRowDxfId="556" dataCellStyle="桁区切り" totalsRowCellStyle="桁区切り"/>
    <tableColumn id="13" xr3:uid="{1AFC0A9D-281F-4D77-BC7D-C565CC2BF9C6}" name="個人／構成比" dataDxfId="555"/>
    <tableColumn id="14" xr3:uid="{09AA8E7E-D733-4FC3-A9B9-F312A913F61A}" name="法人／事業所数" totalsRowFunction="sum" totalsRowDxfId="554" dataCellStyle="桁区切り" totalsRowCellStyle="桁区切り"/>
    <tableColumn id="15" xr3:uid="{B47F6C81-7541-49D5-95F5-02BA19E08D92}" name="法人／構成比" dataDxfId="553"/>
    <tableColumn id="16" xr3:uid="{B69DBC9D-93AA-4080-AE3E-8F0F87B202AC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AB05E4E2-0B49-444E-8603-4AE8512065CB}" name="M_TABLE_07362" displayName="M_TABLE_07362" ref="B23:I50" totalsRowShown="0">
  <autoFilter ref="B23:I50" xr:uid="{AB05E4E2-0B49-444E-8603-4AE8512065CB}"/>
  <tableColumns count="8">
    <tableColumn id="9" xr3:uid="{F82C07AC-B743-49C9-AAFE-45FC39FC13DA}" name="産業中分類上位２０"/>
    <tableColumn id="10" xr3:uid="{DB6A47BE-5AA0-4EB2-A538-7857DFCCC046}" name="総数／事業所数" dataCellStyle="桁区切り"/>
    <tableColumn id="11" xr3:uid="{B282BA5F-2E76-42F6-8F81-4A0B92C4AEE9}" name="総数／構成比" dataDxfId="551"/>
    <tableColumn id="12" xr3:uid="{F9ABFBA9-C144-4950-AF12-570103F004B1}" name="個人／事業所数" dataCellStyle="桁区切り"/>
    <tableColumn id="13" xr3:uid="{023D1973-11C8-4EEA-8986-2FC4FB9130B2}" name="個人／構成比" dataDxfId="550"/>
    <tableColumn id="14" xr3:uid="{7C5C3363-A801-47A8-9CBF-A05B4E65E638}" name="法人／事業所数" dataCellStyle="桁区切り"/>
    <tableColumn id="15" xr3:uid="{C2C59234-FDD6-4535-B2C0-A406034F04BD}" name="法人／構成比" dataDxfId="549"/>
    <tableColumn id="16" xr3:uid="{EA5881DE-A92E-404C-A48A-89C9F1638C71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0B6A509-DBB4-4DD0-A91C-151BB07521E5}" name="S_TABLE_07362" displayName="S_TABLE_07362" ref="B53:I75" totalsRowShown="0">
  <autoFilter ref="B53:I75" xr:uid="{90B6A509-DBB4-4DD0-A91C-151BB07521E5}"/>
  <tableColumns count="8">
    <tableColumn id="9" xr3:uid="{7FE248BA-EBBD-4791-BDE0-FCDF70BD55C9}" name="産業小分類上位２０"/>
    <tableColumn id="10" xr3:uid="{E4699C6C-B480-446F-B199-8772677406B7}" name="総数／事業所数" dataCellStyle="桁区切り"/>
    <tableColumn id="11" xr3:uid="{E0A060CC-575B-4BA6-9C23-319C7ACF8560}" name="総数／構成比" dataDxfId="548"/>
    <tableColumn id="12" xr3:uid="{26647718-D295-49DB-B3BC-8F4EF0EACB81}" name="個人／事業所数" dataCellStyle="桁区切り"/>
    <tableColumn id="13" xr3:uid="{1AA7F229-3435-410E-9A7C-89E15508FE12}" name="個人／構成比" dataDxfId="547"/>
    <tableColumn id="14" xr3:uid="{F24F91BD-37BF-413B-B324-F3F08C0FCBAD}" name="法人／事業所数" dataCellStyle="桁区切り"/>
    <tableColumn id="15" xr3:uid="{6F14DFA4-381C-4BF9-8A29-6FEA6036D454}" name="法人／構成比" dataDxfId="546"/>
    <tableColumn id="16" xr3:uid="{53C89C06-28B6-4246-8066-89B29A6DD435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6487E8D-A0C5-4122-9BD6-D5A57555AA50}" name="LTBL_07364" displayName="LTBL_07364" ref="B4:I20" totalsRowCount="1">
  <autoFilter ref="B4:I19" xr:uid="{C6487E8D-A0C5-4122-9BD6-D5A57555AA50}"/>
  <tableColumns count="8">
    <tableColumn id="9" xr3:uid="{178F065C-9C17-4497-9A7D-5717D0E75E7E}" name="産業大分類" totalsRowLabel="合計" totalsRowDxfId="545"/>
    <tableColumn id="10" xr3:uid="{DF17AF33-F836-459F-8C1A-EE1B98A41365}" name="総数／事業所数" totalsRowFunction="custom" totalsRowDxfId="544" dataCellStyle="桁区切り" totalsRowCellStyle="桁区切り">
      <totalsRowFormula>SUM(LTBL_07364[総数／事業所数])</totalsRowFormula>
    </tableColumn>
    <tableColumn id="11" xr3:uid="{322201E4-2B07-467D-81AC-43BC502B9EFB}" name="総数／構成比" dataDxfId="543"/>
    <tableColumn id="12" xr3:uid="{6FD95535-3B93-4771-AB2B-040CB6DCA086}" name="個人／事業所数" totalsRowFunction="sum" totalsRowDxfId="542" dataCellStyle="桁区切り" totalsRowCellStyle="桁区切り"/>
    <tableColumn id="13" xr3:uid="{6A6004D9-D715-4104-9668-DA72B95CF38A}" name="個人／構成比" dataDxfId="541"/>
    <tableColumn id="14" xr3:uid="{5ADB7DCE-9336-4D76-957F-FD32F6DFC469}" name="法人／事業所数" totalsRowFunction="sum" totalsRowDxfId="540" dataCellStyle="桁区切り" totalsRowCellStyle="桁区切り"/>
    <tableColumn id="15" xr3:uid="{B9F61717-738A-43E0-B22D-AA6B43277D56}" name="法人／構成比" dataDxfId="539"/>
    <tableColumn id="16" xr3:uid="{628EB4E0-8E10-42B6-BBD6-9FEE7C90B95A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0359BE3-E5CA-4C69-B0B0-A530F657E231}" name="M_TABLE_07364" displayName="M_TABLE_07364" ref="B23:I37" totalsRowShown="0">
  <autoFilter ref="B23:I37" xr:uid="{C0359BE3-E5CA-4C69-B0B0-A530F657E231}"/>
  <tableColumns count="8">
    <tableColumn id="9" xr3:uid="{A402F6C7-393E-4EA8-AD9B-883F411E8F1F}" name="産業中分類上位２０"/>
    <tableColumn id="10" xr3:uid="{10DC4409-E0C9-4299-B5CB-91A5E40CB5EB}" name="総数／事業所数" dataCellStyle="桁区切り"/>
    <tableColumn id="11" xr3:uid="{F220E1A6-E548-4B34-B0A3-748E1339DC29}" name="総数／構成比" dataDxfId="537"/>
    <tableColumn id="12" xr3:uid="{953D7509-F0B2-4681-B61D-07F8F2BA89CC}" name="個人／事業所数" dataCellStyle="桁区切り"/>
    <tableColumn id="13" xr3:uid="{E79B5E0E-0F34-46FD-982B-2A92DE52B20C}" name="個人／構成比" dataDxfId="536"/>
    <tableColumn id="14" xr3:uid="{30B87814-6715-44C6-A195-52C1F2B388EE}" name="法人／事業所数" dataCellStyle="桁区切り"/>
    <tableColumn id="15" xr3:uid="{D460943F-BEC5-488D-8A2B-41CB599DB455}" name="法人／構成比" dataDxfId="535"/>
    <tableColumn id="16" xr3:uid="{7349371C-4A2A-44B0-9394-2A1C292ABCFC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BF8449F-170E-4527-AC2D-8FEF0E1C714C}" name="S_TABLE_07364" displayName="S_TABLE_07364" ref="B40:I67" totalsRowShown="0">
  <autoFilter ref="B40:I67" xr:uid="{0BF8449F-170E-4527-AC2D-8FEF0E1C714C}"/>
  <tableColumns count="8">
    <tableColumn id="9" xr3:uid="{A432E138-F2FA-4462-9B23-9764947ECA0F}" name="産業小分類上位２０"/>
    <tableColumn id="10" xr3:uid="{BB2883CF-8008-4713-87C9-53958D1A3186}" name="総数／事業所数" dataCellStyle="桁区切り"/>
    <tableColumn id="11" xr3:uid="{B624220D-1773-47F6-820A-FBFC89776983}" name="総数／構成比" dataDxfId="534"/>
    <tableColumn id="12" xr3:uid="{EEF93644-D353-428E-9038-652B6405783C}" name="個人／事業所数" dataCellStyle="桁区切り"/>
    <tableColumn id="13" xr3:uid="{677E593B-93B4-4A6C-9A41-3556BDBA3A9C}" name="個人／構成比" dataDxfId="533"/>
    <tableColumn id="14" xr3:uid="{77621A60-1181-4D8C-A12A-CCD529DA1F7C}" name="法人／事業所数" dataCellStyle="桁区切り"/>
    <tableColumn id="15" xr3:uid="{B7F4F868-923A-46E0-BD1D-8CB89AEEB4CF}" name="法人／構成比" dataDxfId="532"/>
    <tableColumn id="16" xr3:uid="{E18A39AE-981A-4F76-8549-C9B9C5BA73E2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68C0A3D-9590-4075-9B46-204307A6EB3B}" name="LTBL_07367" displayName="LTBL_07367" ref="B4:I20" totalsRowCount="1">
  <autoFilter ref="B4:I19" xr:uid="{068C0A3D-9590-4075-9B46-204307A6EB3B}"/>
  <tableColumns count="8">
    <tableColumn id="9" xr3:uid="{96AFC74D-DCEE-4087-A2C4-777591D0C53E}" name="産業大分類" totalsRowLabel="合計" totalsRowDxfId="531"/>
    <tableColumn id="10" xr3:uid="{77FD1409-BC1A-40B4-B679-4F82CCF03A2D}" name="総数／事業所数" totalsRowFunction="custom" totalsRowDxfId="530" dataCellStyle="桁区切り" totalsRowCellStyle="桁区切り">
      <totalsRowFormula>SUM(LTBL_07367[総数／事業所数])</totalsRowFormula>
    </tableColumn>
    <tableColumn id="11" xr3:uid="{932EDD5D-8360-4D94-B833-6006BEFC9CA5}" name="総数／構成比" dataDxfId="529"/>
    <tableColumn id="12" xr3:uid="{1AD73F4B-9160-47DF-B627-6F5830101CD5}" name="個人／事業所数" totalsRowFunction="sum" totalsRowDxfId="528" dataCellStyle="桁区切り" totalsRowCellStyle="桁区切り"/>
    <tableColumn id="13" xr3:uid="{4794E7C2-3FA3-4757-9772-326014EDE191}" name="個人／構成比" dataDxfId="527"/>
    <tableColumn id="14" xr3:uid="{2981656A-00AA-4F61-9FBF-12E0DC01944B}" name="法人／事業所数" totalsRowFunction="sum" totalsRowDxfId="526" dataCellStyle="桁区切り" totalsRowCellStyle="桁区切り"/>
    <tableColumn id="15" xr3:uid="{0AF42156-AB34-4883-BB64-0FD685BD9E8E}" name="法人／構成比" dataDxfId="525"/>
    <tableColumn id="16" xr3:uid="{91DFB03A-349D-4314-BA2F-27451306E756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3C1FA75-4134-4285-9A01-2E8972421C0A}" name="M_TABLE_07367" displayName="M_TABLE_07367" ref="B23:I46" totalsRowShown="0">
  <autoFilter ref="B23:I46" xr:uid="{C3C1FA75-4134-4285-9A01-2E8972421C0A}"/>
  <tableColumns count="8">
    <tableColumn id="9" xr3:uid="{4A61A876-0E4C-4D73-A6D5-91A379048926}" name="産業中分類上位２０"/>
    <tableColumn id="10" xr3:uid="{45572E98-00DC-4DF5-A666-84408D1C618A}" name="総数／事業所数" dataCellStyle="桁区切り"/>
    <tableColumn id="11" xr3:uid="{A5CEA81A-9080-4A4C-8474-995EE3E35FE4}" name="総数／構成比" dataDxfId="523"/>
    <tableColumn id="12" xr3:uid="{A3B55D2B-4171-413C-A3E0-BB18529D7617}" name="個人／事業所数" dataCellStyle="桁区切り"/>
    <tableColumn id="13" xr3:uid="{5125C995-0B52-482A-B9B9-DC720943FF30}" name="個人／構成比" dataDxfId="522"/>
    <tableColumn id="14" xr3:uid="{BB5DABB6-5C19-4AD9-B7FF-FD977FA8B4A3}" name="法人／事業所数" dataCellStyle="桁区切り"/>
    <tableColumn id="15" xr3:uid="{C43FAE84-3A10-492E-BBB6-6AC74BFB050C}" name="法人／構成比" dataDxfId="521"/>
    <tableColumn id="16" xr3:uid="{EA17A45D-D26C-4BDF-845A-21A57DBD4630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B503E7A7-BF9E-4943-9FDA-E39CF0E9D716}" name="S_TABLE_07367" displayName="S_TABLE_07367" ref="B49:I71" totalsRowShown="0">
  <autoFilter ref="B49:I71" xr:uid="{B503E7A7-BF9E-4943-9FDA-E39CF0E9D716}"/>
  <tableColumns count="8">
    <tableColumn id="9" xr3:uid="{B378B357-EA13-4728-B185-57C171F630D1}" name="産業小分類上位２０"/>
    <tableColumn id="10" xr3:uid="{EA7D0D1D-C294-4421-B418-CD6954C0A131}" name="総数／事業所数" dataCellStyle="桁区切り"/>
    <tableColumn id="11" xr3:uid="{9391D535-A271-423D-BD69-735BF7CF88DB}" name="総数／構成比" dataDxfId="520"/>
    <tableColumn id="12" xr3:uid="{121E8A0E-2BD7-42DB-B506-27170A91B9AB}" name="個人／事業所数" dataCellStyle="桁区切り"/>
    <tableColumn id="13" xr3:uid="{0BF2A1A7-3863-4EE2-96FC-B62EDA81B334}" name="個人／構成比" dataDxfId="519"/>
    <tableColumn id="14" xr3:uid="{8442BB2D-5B0F-4508-89D8-FD9BCDF103CB}" name="法人／事業所数" dataCellStyle="桁区切り"/>
    <tableColumn id="15" xr3:uid="{51175FAB-69BB-4498-B0AB-095A369FC548}" name="法人／構成比" dataDxfId="518"/>
    <tableColumn id="16" xr3:uid="{7C193206-637C-43F9-A213-E271048FE794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00DDBF1-0AE7-468F-ACE6-CB3EB6EAD15B}" name="LTBL_07202" displayName="LTBL_07202" ref="B4:I20" totalsRowCount="1">
  <autoFilter ref="B4:I19" xr:uid="{E00DDBF1-0AE7-468F-ACE6-CB3EB6EAD15B}"/>
  <tableColumns count="8">
    <tableColumn id="9" xr3:uid="{F04D49A4-E1D0-403A-9A2A-8FD65204E6D5}" name="産業大分類" totalsRowLabel="合計" totalsRowDxfId="811"/>
    <tableColumn id="10" xr3:uid="{535C48B7-E60E-41BC-9041-948AF7BD1617}" name="総数／事業所数" totalsRowFunction="custom" totalsRowDxfId="810" dataCellStyle="桁区切り" totalsRowCellStyle="桁区切り">
      <totalsRowFormula>SUM(LTBL_07202[総数／事業所数])</totalsRowFormula>
    </tableColumn>
    <tableColumn id="11" xr3:uid="{CA7884E1-E946-497C-930B-4311112ECE90}" name="総数／構成比" dataDxfId="809"/>
    <tableColumn id="12" xr3:uid="{537C8FFD-2786-4C18-A3A0-0BE05E04D5FB}" name="個人／事業所数" totalsRowFunction="sum" totalsRowDxfId="808" dataCellStyle="桁区切り" totalsRowCellStyle="桁区切り"/>
    <tableColumn id="13" xr3:uid="{930B14F2-6A23-45A7-962C-2A7B53EB9DC1}" name="個人／構成比" dataDxfId="807"/>
    <tableColumn id="14" xr3:uid="{D9A66AA1-2CCC-46DD-AE70-0DD61FE50F72}" name="法人／事業所数" totalsRowFunction="sum" totalsRowDxfId="806" dataCellStyle="桁区切り" totalsRowCellStyle="桁区切り"/>
    <tableColumn id="15" xr3:uid="{8732D105-E641-4BF5-8E3F-6C4C7C7AAD64}" name="法人／構成比" dataDxfId="805"/>
    <tableColumn id="16" xr3:uid="{9CDE72E9-6039-4CDA-8972-6EB78C18AADC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73DD668-2327-4E83-A9D8-4C037B81349C}" name="LTBL_07368" displayName="LTBL_07368" ref="B4:I20" totalsRowCount="1">
  <autoFilter ref="B4:I19" xr:uid="{573DD668-2327-4E83-A9D8-4C037B81349C}"/>
  <tableColumns count="8">
    <tableColumn id="9" xr3:uid="{1524C173-6B68-41CD-8FB8-9F247AA1E13B}" name="産業大分類" totalsRowLabel="合計" totalsRowDxfId="517"/>
    <tableColumn id="10" xr3:uid="{9DC428A8-3822-4710-9FE1-866666E13D66}" name="総数／事業所数" totalsRowFunction="custom" totalsRowDxfId="516" dataCellStyle="桁区切り" totalsRowCellStyle="桁区切り">
      <totalsRowFormula>SUM(LTBL_07368[総数／事業所数])</totalsRowFormula>
    </tableColumn>
    <tableColumn id="11" xr3:uid="{E310C009-5258-4E8E-8645-94CAC9CE5AEB}" name="総数／構成比" dataDxfId="515"/>
    <tableColumn id="12" xr3:uid="{74D563E3-4B0D-4062-AB78-C02FF9816547}" name="個人／事業所数" totalsRowFunction="sum" totalsRowDxfId="514" dataCellStyle="桁区切り" totalsRowCellStyle="桁区切り"/>
    <tableColumn id="13" xr3:uid="{7A1E986A-EBAD-480D-90D0-A0B178770D1B}" name="個人／構成比" dataDxfId="513"/>
    <tableColumn id="14" xr3:uid="{D56B62D3-D967-4511-BC21-55D72A27E73F}" name="法人／事業所数" totalsRowFunction="sum" totalsRowDxfId="512" dataCellStyle="桁区切り" totalsRowCellStyle="桁区切り"/>
    <tableColumn id="15" xr3:uid="{51E1A4B0-07D7-4A04-9509-BA9C0D3FEC87}" name="法人／構成比" dataDxfId="511"/>
    <tableColumn id="16" xr3:uid="{E5DB5D2D-3ECD-45E7-B749-DCE9B3EB0D30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0350698-7BD8-4940-8057-D026513F0BB9}" name="M_TABLE_07368" displayName="M_TABLE_07368" ref="B23:I43" totalsRowShown="0">
  <autoFilter ref="B23:I43" xr:uid="{50350698-7BD8-4940-8057-D026513F0BB9}"/>
  <tableColumns count="8">
    <tableColumn id="9" xr3:uid="{0F9680FE-CCE5-42FE-AA22-86C44086DA22}" name="産業中分類上位２０"/>
    <tableColumn id="10" xr3:uid="{B4EABA34-B692-4E76-AC03-BF0DCF2B6AC7}" name="総数／事業所数" dataCellStyle="桁区切り"/>
    <tableColumn id="11" xr3:uid="{FAA2A5E8-4D57-436F-B370-B64D8B03B128}" name="総数／構成比" dataDxfId="509"/>
    <tableColumn id="12" xr3:uid="{C1EF3955-14D3-42EF-888B-63384CFCE7D0}" name="個人／事業所数" dataCellStyle="桁区切り"/>
    <tableColumn id="13" xr3:uid="{4B3F37A9-8651-40DD-BE7B-7DC46E8EFE2C}" name="個人／構成比" dataDxfId="508"/>
    <tableColumn id="14" xr3:uid="{1C93EE19-F4EB-4223-AD37-5F02D97A2DAA}" name="法人／事業所数" dataCellStyle="桁区切り"/>
    <tableColumn id="15" xr3:uid="{20A2A601-DADF-4D8D-8685-183E8510F2A6}" name="法人／構成比" dataDxfId="507"/>
    <tableColumn id="16" xr3:uid="{4B452C8C-A65E-48C0-81FE-C113DFC57557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D15A1FE-3B13-400B-AB83-12480CE6A174}" name="S_TABLE_07368" displayName="S_TABLE_07368" ref="B46:I67" totalsRowShown="0">
  <autoFilter ref="B46:I67" xr:uid="{1D15A1FE-3B13-400B-AB83-12480CE6A174}"/>
  <tableColumns count="8">
    <tableColumn id="9" xr3:uid="{58E1273B-1CEE-4A4E-BDC1-BDCD0DCF138D}" name="産業小分類上位２０"/>
    <tableColumn id="10" xr3:uid="{3A15822F-C188-46C1-B938-6F628E4DC443}" name="総数／事業所数" dataCellStyle="桁区切り"/>
    <tableColumn id="11" xr3:uid="{D873573F-073E-4A7C-8A7B-362E7644FFB4}" name="総数／構成比" dataDxfId="506"/>
    <tableColumn id="12" xr3:uid="{47E9C238-733D-4A13-8499-9DF12454F1B0}" name="個人／事業所数" dataCellStyle="桁区切り"/>
    <tableColumn id="13" xr3:uid="{071DADA7-FC53-44A7-8CD2-769E5B3ECB49}" name="個人／構成比" dataDxfId="505"/>
    <tableColumn id="14" xr3:uid="{4C5E38BC-AA7F-473F-A6F4-36B8DE1622AD}" name="法人／事業所数" dataCellStyle="桁区切り"/>
    <tableColumn id="15" xr3:uid="{1C032969-F238-4142-AE2C-C16320DE0D0E}" name="法人／構成比" dataDxfId="504"/>
    <tableColumn id="16" xr3:uid="{70A5DDEB-6729-4437-94DC-8DAA458E40DE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49EFE4F-8029-47C9-8254-D106AB63D2C0}" name="LTBL_07402" displayName="LTBL_07402" ref="B4:I20" totalsRowCount="1">
  <autoFilter ref="B4:I19" xr:uid="{D49EFE4F-8029-47C9-8254-D106AB63D2C0}"/>
  <tableColumns count="8">
    <tableColumn id="9" xr3:uid="{B1CE0013-4CB8-451B-8108-1F67BDD112C9}" name="産業大分類" totalsRowLabel="合計" totalsRowDxfId="503"/>
    <tableColumn id="10" xr3:uid="{E6ADF71F-10A9-480D-962D-F27637692D0F}" name="総数／事業所数" totalsRowFunction="custom" totalsRowDxfId="502" dataCellStyle="桁区切り" totalsRowCellStyle="桁区切り">
      <totalsRowFormula>SUM(LTBL_07402[総数／事業所数])</totalsRowFormula>
    </tableColumn>
    <tableColumn id="11" xr3:uid="{0AD8947C-B58D-4FE5-967D-BBFD21584399}" name="総数／構成比" dataDxfId="501"/>
    <tableColumn id="12" xr3:uid="{2F1CF9A6-61D9-44F7-86DE-6AF637C60F5B}" name="個人／事業所数" totalsRowFunction="sum" totalsRowDxfId="500" dataCellStyle="桁区切り" totalsRowCellStyle="桁区切り"/>
    <tableColumn id="13" xr3:uid="{656E89D9-4E78-41D8-98BE-55DFECA672B2}" name="個人／構成比" dataDxfId="499"/>
    <tableColumn id="14" xr3:uid="{784D6AF7-C1EC-4622-809D-1BBE47665FFC}" name="法人／事業所数" totalsRowFunction="sum" totalsRowDxfId="498" dataCellStyle="桁区切り" totalsRowCellStyle="桁区切り"/>
    <tableColumn id="15" xr3:uid="{86970007-8941-4A94-8175-6ECE8EEB7CB3}" name="法人／構成比" dataDxfId="497"/>
    <tableColumn id="16" xr3:uid="{BDA184E3-B838-4927-ADE2-F31BD9C47807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50342B4-DC4A-4D13-BCC4-C8DDB7333C4C}" name="M_TABLE_07402" displayName="M_TABLE_07402" ref="B23:I56" totalsRowShown="0">
  <autoFilter ref="B23:I56" xr:uid="{850342B4-DC4A-4D13-BCC4-C8DDB7333C4C}"/>
  <tableColumns count="8">
    <tableColumn id="9" xr3:uid="{2643BA05-6301-40D4-A548-A34615BF2E15}" name="産業中分類上位２０"/>
    <tableColumn id="10" xr3:uid="{EC6738AD-C0AE-4BA8-BC11-901DF82E7CD2}" name="総数／事業所数" dataCellStyle="桁区切り"/>
    <tableColumn id="11" xr3:uid="{06110966-B66D-4DBD-B33D-74D4710CA865}" name="総数／構成比" dataDxfId="495"/>
    <tableColumn id="12" xr3:uid="{1A56FC5F-6678-49FE-89D9-F7C16361336A}" name="個人／事業所数" dataCellStyle="桁区切り"/>
    <tableColumn id="13" xr3:uid="{32867D39-A129-4120-8FB8-E5B0DF3CFAFC}" name="個人／構成比" dataDxfId="494"/>
    <tableColumn id="14" xr3:uid="{8DD98B25-1CB0-4B93-BD38-ECC813DB2919}" name="法人／事業所数" dataCellStyle="桁区切り"/>
    <tableColumn id="15" xr3:uid="{F16B9A07-63D6-45EF-9F1E-B63D3A200F02}" name="法人／構成比" dataDxfId="493"/>
    <tableColumn id="16" xr3:uid="{FF068616-ACE4-441D-A4B1-910A05D0E80D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12622D8-8488-4264-8BAF-809D6311D7B9}" name="S_TABLE_07402" displayName="S_TABLE_07402" ref="B59:I81" totalsRowShown="0">
  <autoFilter ref="B59:I81" xr:uid="{112622D8-8488-4264-8BAF-809D6311D7B9}"/>
  <tableColumns count="8">
    <tableColumn id="9" xr3:uid="{1020425C-79F8-4CE4-954D-175EC74A913D}" name="産業小分類上位２０"/>
    <tableColumn id="10" xr3:uid="{7E452154-1D67-43E7-B0D7-B367C77FBACE}" name="総数／事業所数" dataCellStyle="桁区切り"/>
    <tableColumn id="11" xr3:uid="{032B94EC-ED30-495D-8C77-CAFF7CF6E907}" name="総数／構成比" dataDxfId="492"/>
    <tableColumn id="12" xr3:uid="{5B6280FE-B719-4F6B-B8BF-A80364A3A2EF}" name="個人／事業所数" dataCellStyle="桁区切り"/>
    <tableColumn id="13" xr3:uid="{571ADFF6-7D1B-4F94-96AF-A019BD93A115}" name="個人／構成比" dataDxfId="491"/>
    <tableColumn id="14" xr3:uid="{8AAF6383-B74B-47C3-973E-6B5D11576475}" name="法人／事業所数" dataCellStyle="桁区切り"/>
    <tableColumn id="15" xr3:uid="{881E6525-577B-4130-BEC9-A15BCE25276D}" name="法人／構成比" dataDxfId="490"/>
    <tableColumn id="16" xr3:uid="{660D0963-A1FA-4FFD-947E-EE9F7B4BE895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3B14D2B-EA72-4546-88D3-3C42C04F4D42}" name="LTBL_07405" displayName="LTBL_07405" ref="B4:I20" totalsRowCount="1">
  <autoFilter ref="B4:I19" xr:uid="{23B14D2B-EA72-4546-88D3-3C42C04F4D42}"/>
  <tableColumns count="8">
    <tableColumn id="9" xr3:uid="{EB63E0EB-1631-4477-94E2-4AD0F414EE27}" name="産業大分類" totalsRowLabel="合計" totalsRowDxfId="489"/>
    <tableColumn id="10" xr3:uid="{FD0A853E-880E-4DCC-9DB0-45C95AA92FF6}" name="総数／事業所数" totalsRowFunction="custom" totalsRowDxfId="488" dataCellStyle="桁区切り" totalsRowCellStyle="桁区切り">
      <totalsRowFormula>SUM(LTBL_07405[総数／事業所数])</totalsRowFormula>
    </tableColumn>
    <tableColumn id="11" xr3:uid="{58B7305F-6B61-41F7-983A-31908962DA88}" name="総数／構成比" dataDxfId="487"/>
    <tableColumn id="12" xr3:uid="{C326EA97-FEB2-4135-AD4B-98F0C4A27D2D}" name="個人／事業所数" totalsRowFunction="sum" totalsRowDxfId="486" dataCellStyle="桁区切り" totalsRowCellStyle="桁区切り"/>
    <tableColumn id="13" xr3:uid="{0EF0C6AF-628A-4004-A39E-3C35E3686F7B}" name="個人／構成比" dataDxfId="485"/>
    <tableColumn id="14" xr3:uid="{EBF06270-AE55-4693-8857-32E2B2C247E2}" name="法人／事業所数" totalsRowFunction="sum" totalsRowDxfId="484" dataCellStyle="桁区切り" totalsRowCellStyle="桁区切り"/>
    <tableColumn id="15" xr3:uid="{CF6A7DD3-CA9F-4AC6-9669-303C6C507CE1}" name="法人／構成比" dataDxfId="483"/>
    <tableColumn id="16" xr3:uid="{76664D6B-4E9D-4D42-AB00-2F65400D428C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3A876CE-1443-46E9-BAB9-661DE6EF3007}" name="M_TABLE_07405" displayName="M_TABLE_07405" ref="B23:I44" totalsRowShown="0">
  <autoFilter ref="B23:I44" xr:uid="{53A876CE-1443-46E9-BAB9-661DE6EF3007}"/>
  <tableColumns count="8">
    <tableColumn id="9" xr3:uid="{6E12BFF8-FBFC-47E5-909D-38A031FCE4D2}" name="産業中分類上位２０"/>
    <tableColumn id="10" xr3:uid="{D5659AAC-7203-4B6C-8864-77F4B0218CD1}" name="総数／事業所数" dataCellStyle="桁区切り"/>
    <tableColumn id="11" xr3:uid="{DA38C798-E08B-4614-9A5E-FA10E76CBA4D}" name="総数／構成比" dataDxfId="481"/>
    <tableColumn id="12" xr3:uid="{E88217F5-1663-4490-8930-C87A17C67361}" name="個人／事業所数" dataCellStyle="桁区切り"/>
    <tableColumn id="13" xr3:uid="{C47F41D9-A5F9-47E4-8821-DCAED7CCE33E}" name="個人／構成比" dataDxfId="480"/>
    <tableColumn id="14" xr3:uid="{8CC98FBF-E725-4090-A9E0-A9208178D93A}" name="法人／事業所数" dataCellStyle="桁区切り"/>
    <tableColumn id="15" xr3:uid="{B07ECD60-A4FE-4953-BEF3-739DA75D6710}" name="法人／構成比" dataDxfId="479"/>
    <tableColumn id="16" xr3:uid="{E2305334-3CB8-48F8-B82F-83D3D2077F2B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77DB7F8-97D6-441E-8A5D-180061F52C3C}" name="S_TABLE_07405" displayName="S_TABLE_07405" ref="B47:I75" totalsRowShown="0">
  <autoFilter ref="B47:I75" xr:uid="{677DB7F8-97D6-441E-8A5D-180061F52C3C}"/>
  <tableColumns count="8">
    <tableColumn id="9" xr3:uid="{28672328-7411-4664-AFF1-655530C4024A}" name="産業小分類上位２０"/>
    <tableColumn id="10" xr3:uid="{427C29E5-CC9C-4714-800D-4AFC37F1F2B6}" name="総数／事業所数" dataCellStyle="桁区切り"/>
    <tableColumn id="11" xr3:uid="{81533387-7580-47A2-931A-23F934AB767E}" name="総数／構成比" dataDxfId="478"/>
    <tableColumn id="12" xr3:uid="{D52803B6-681F-40F8-A449-9C05BA8D5D57}" name="個人／事業所数" dataCellStyle="桁区切り"/>
    <tableColumn id="13" xr3:uid="{7D7D759E-DF33-472D-8807-035574F666D8}" name="個人／構成比" dataDxfId="477"/>
    <tableColumn id="14" xr3:uid="{3BB574E7-43CB-429A-8676-26DAFE64F274}" name="法人／事業所数" dataCellStyle="桁区切り"/>
    <tableColumn id="15" xr3:uid="{76746E6A-C4E7-49D8-AEA4-71971A2DED8A}" name="法人／構成比" dataDxfId="476"/>
    <tableColumn id="16" xr3:uid="{9B69B5FD-222E-4D82-B6AD-752C13EE3470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C535BCA-4E5A-4A63-B90B-7A373158957D}" name="LTBL_07407" displayName="LTBL_07407" ref="B4:I20" totalsRowCount="1">
  <autoFilter ref="B4:I19" xr:uid="{0C535BCA-4E5A-4A63-B90B-7A373158957D}"/>
  <tableColumns count="8">
    <tableColumn id="9" xr3:uid="{A54BC7BB-94A3-453B-9102-8922F68FB240}" name="産業大分類" totalsRowLabel="合計" totalsRowDxfId="475"/>
    <tableColumn id="10" xr3:uid="{B5307DBA-7B7A-4DC4-BBBF-B70F3C9F02B0}" name="総数／事業所数" totalsRowFunction="custom" totalsRowDxfId="474" dataCellStyle="桁区切り" totalsRowCellStyle="桁区切り">
      <totalsRowFormula>SUM(LTBL_07407[総数／事業所数])</totalsRowFormula>
    </tableColumn>
    <tableColumn id="11" xr3:uid="{BB490451-6B5F-4AF3-9FF7-A64A8BFC81B1}" name="総数／構成比" dataDxfId="473"/>
    <tableColumn id="12" xr3:uid="{CD6B1486-2C60-4BF9-9881-F551A5561B24}" name="個人／事業所数" totalsRowFunction="sum" totalsRowDxfId="472" dataCellStyle="桁区切り" totalsRowCellStyle="桁区切り"/>
    <tableColumn id="13" xr3:uid="{85524DD3-6527-4A62-893B-2046507CE3E0}" name="個人／構成比" dataDxfId="471"/>
    <tableColumn id="14" xr3:uid="{5E01A41B-1EAE-4BC3-8BC0-83194CCF94F9}" name="法人／事業所数" totalsRowFunction="sum" totalsRowDxfId="470" dataCellStyle="桁区切り" totalsRowCellStyle="桁区切り"/>
    <tableColumn id="15" xr3:uid="{D920A5D1-77C2-4A2B-B34F-692772AD7D1D}" name="法人／構成比" dataDxfId="469"/>
    <tableColumn id="16" xr3:uid="{02D94B34-E3BF-4208-8B23-3BE8A439F682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94BB24F-7A62-4513-9B40-247B7B5369D5}" name="M_TABLE_07202" displayName="M_TABLE_07202" ref="B23:I43" totalsRowShown="0">
  <autoFilter ref="B23:I43" xr:uid="{C94BB24F-7A62-4513-9B40-247B7B5369D5}"/>
  <tableColumns count="8">
    <tableColumn id="9" xr3:uid="{A58610B3-28AE-4657-9F4B-369D0F0D3A8D}" name="産業中分類上位２０"/>
    <tableColumn id="10" xr3:uid="{926109D1-10C7-4733-B4AD-07B6409EDE49}" name="総数／事業所数" dataCellStyle="桁区切り"/>
    <tableColumn id="11" xr3:uid="{A897F332-06DF-4614-85EE-6ECF1AF79A9E}" name="総数／構成比" dataDxfId="803"/>
    <tableColumn id="12" xr3:uid="{6E50EE2E-5319-403F-AEE0-5446FE2CD104}" name="個人／事業所数" dataCellStyle="桁区切り"/>
    <tableColumn id="13" xr3:uid="{599B86C2-590C-4763-BC8E-1F9FF7CDB334}" name="個人／構成比" dataDxfId="802"/>
    <tableColumn id="14" xr3:uid="{DF30D69A-7FA0-44C0-B969-9C69FC3C1BAF}" name="法人／事業所数" dataCellStyle="桁区切り"/>
    <tableColumn id="15" xr3:uid="{407701FB-EE1A-45D3-B47C-9F5438CBA5A3}" name="法人／構成比" dataDxfId="801"/>
    <tableColumn id="16" xr3:uid="{CD50F5EE-F398-4856-84A3-D24BB100E609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F2ED17C-35A2-4BE0-B76D-59EEF3CC4326}" name="M_TABLE_07407" displayName="M_TABLE_07407" ref="B23:I53" totalsRowShown="0">
  <autoFilter ref="B23:I53" xr:uid="{3F2ED17C-35A2-4BE0-B76D-59EEF3CC4326}"/>
  <tableColumns count="8">
    <tableColumn id="9" xr3:uid="{750B83C7-3899-430F-94A3-E0C3111D3C55}" name="産業中分類上位２０"/>
    <tableColumn id="10" xr3:uid="{7879A111-AC26-4B1B-BAAE-756FA7523B7A}" name="総数／事業所数" dataCellStyle="桁区切り"/>
    <tableColumn id="11" xr3:uid="{17829221-88C4-4718-8F69-04CAEC25F3EB}" name="総数／構成比" dataDxfId="467"/>
    <tableColumn id="12" xr3:uid="{A779E657-72DB-4A3B-9522-EA2FB0C36B5E}" name="個人／事業所数" dataCellStyle="桁区切り"/>
    <tableColumn id="13" xr3:uid="{56465819-AC01-417B-8C54-2CABE6121F21}" name="個人／構成比" dataDxfId="466"/>
    <tableColumn id="14" xr3:uid="{40861961-539F-4FFF-A02D-63701ACE655A}" name="法人／事業所数" dataCellStyle="桁区切り"/>
    <tableColumn id="15" xr3:uid="{A25A46D9-159B-4A42-83D7-427DE6C472DD}" name="法人／構成比" dataDxfId="465"/>
    <tableColumn id="16" xr3:uid="{D236FC3C-476C-48BC-9FD7-9CF6735D5AE3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93AF427-7DAD-45FB-9488-DB2A020117D2}" name="S_TABLE_07407" displayName="S_TABLE_07407" ref="B56:I99" totalsRowShown="0">
  <autoFilter ref="B56:I99" xr:uid="{393AF427-7DAD-45FB-9488-DB2A020117D2}"/>
  <tableColumns count="8">
    <tableColumn id="9" xr3:uid="{F426BABC-41C7-45DE-980A-95DC0C0CB47F}" name="産業小分類上位２０"/>
    <tableColumn id="10" xr3:uid="{033F9AFC-8AC7-4EBB-9638-AFC355573422}" name="総数／事業所数" dataCellStyle="桁区切り"/>
    <tableColumn id="11" xr3:uid="{645725B3-CF8E-47B7-9AD0-82B8EF1B5EE2}" name="総数／構成比" dataDxfId="464"/>
    <tableColumn id="12" xr3:uid="{6B0114A7-AC8D-47A6-8AF2-33DA0E9F9A9D}" name="個人／事業所数" dataCellStyle="桁区切り"/>
    <tableColumn id="13" xr3:uid="{8549D76A-EF0D-476B-9018-021934679202}" name="個人／構成比" dataDxfId="463"/>
    <tableColumn id="14" xr3:uid="{66D05A0A-DC28-4A0B-BFE1-1067A503D7E4}" name="法人／事業所数" dataCellStyle="桁区切り"/>
    <tableColumn id="15" xr3:uid="{75298B6C-3C34-4B0C-9BB3-C1BDD727DF0C}" name="法人／構成比" dataDxfId="462"/>
    <tableColumn id="16" xr3:uid="{9338E5C5-1069-409F-A575-322E499B7462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9A2875E-860D-4F5E-A7F4-6D51B0EBDAB8}" name="LTBL_07408" displayName="LTBL_07408" ref="B4:I20" totalsRowCount="1">
  <autoFilter ref="B4:I19" xr:uid="{F9A2875E-860D-4F5E-A7F4-6D51B0EBDAB8}"/>
  <tableColumns count="8">
    <tableColumn id="9" xr3:uid="{701F65EA-6B4A-48CA-AC93-BC6CE12B424A}" name="産業大分類" totalsRowLabel="合計" totalsRowDxfId="461"/>
    <tableColumn id="10" xr3:uid="{2DC0E2D9-45E4-4AD2-97A8-161C4EB02673}" name="総数／事業所数" totalsRowFunction="custom" totalsRowDxfId="460" dataCellStyle="桁区切り" totalsRowCellStyle="桁区切り">
      <totalsRowFormula>SUM(LTBL_07408[総数／事業所数])</totalsRowFormula>
    </tableColumn>
    <tableColumn id="11" xr3:uid="{24FC73F9-C55B-4CAC-A07F-CE3D0FCC9EB1}" name="総数／構成比" dataDxfId="459"/>
    <tableColumn id="12" xr3:uid="{CD04651A-5D81-45C6-AD99-F35065CFB642}" name="個人／事業所数" totalsRowFunction="sum" totalsRowDxfId="458" dataCellStyle="桁区切り" totalsRowCellStyle="桁区切り"/>
    <tableColumn id="13" xr3:uid="{FF591808-76F5-4312-83F0-04EAF473B7F1}" name="個人／構成比" dataDxfId="457"/>
    <tableColumn id="14" xr3:uid="{164F37A5-813B-4618-84E1-AAEB0A556A27}" name="法人／事業所数" totalsRowFunction="sum" totalsRowDxfId="456" dataCellStyle="桁区切り" totalsRowCellStyle="桁区切り"/>
    <tableColumn id="15" xr3:uid="{6898072A-E988-4DC7-8123-55A58855D8A9}" name="法人／構成比" dataDxfId="455"/>
    <tableColumn id="16" xr3:uid="{FEB15F8E-A64E-45EE-BFA9-4B984AF2F959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CC91DB8-ACFF-41B4-975B-A15D77E5CEE9}" name="M_TABLE_07408" displayName="M_TABLE_07408" ref="B23:I45" totalsRowShown="0">
  <autoFilter ref="B23:I45" xr:uid="{8CC91DB8-ACFF-41B4-975B-A15D77E5CEE9}"/>
  <tableColumns count="8">
    <tableColumn id="9" xr3:uid="{9A4E523E-E014-40D8-935D-D04C277CCDA0}" name="産業中分類上位２０"/>
    <tableColumn id="10" xr3:uid="{325E55D4-B919-43E8-A59F-94C3C64CAFDF}" name="総数／事業所数" dataCellStyle="桁区切り"/>
    <tableColumn id="11" xr3:uid="{357EB192-0061-48BF-BAEC-3940B6AE1A6D}" name="総数／構成比" dataDxfId="453"/>
    <tableColumn id="12" xr3:uid="{4EF52387-AF20-422B-8B76-C8C0457812A2}" name="個人／事業所数" dataCellStyle="桁区切り"/>
    <tableColumn id="13" xr3:uid="{C66F059D-CFDF-4DEB-9993-6FD4EE492873}" name="個人／構成比" dataDxfId="452"/>
    <tableColumn id="14" xr3:uid="{319106C7-788E-4855-8223-108E661165DF}" name="法人／事業所数" dataCellStyle="桁区切り"/>
    <tableColumn id="15" xr3:uid="{F37BB91E-E533-4927-8A74-63134DDBE512}" name="法人／構成比" dataDxfId="451"/>
    <tableColumn id="16" xr3:uid="{8959F203-9C7D-4C8A-A144-AF67E3215DD6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3A52B3CD-0C13-4E68-AAF3-6F6FA2BE3EC9}" name="S_TABLE_07408" displayName="S_TABLE_07408" ref="B48:I68" totalsRowShown="0">
  <autoFilter ref="B48:I68" xr:uid="{3A52B3CD-0C13-4E68-AAF3-6F6FA2BE3EC9}"/>
  <tableColumns count="8">
    <tableColumn id="9" xr3:uid="{7372AE94-98FF-433A-A97F-5D537DC58987}" name="産業小分類上位２０"/>
    <tableColumn id="10" xr3:uid="{304E4531-2A5B-40B8-915E-76F68D7ADD73}" name="総数／事業所数" dataCellStyle="桁区切り"/>
    <tableColumn id="11" xr3:uid="{BD023B67-6FE0-4C27-8B7D-7F29921C5B53}" name="総数／構成比" dataDxfId="450"/>
    <tableColumn id="12" xr3:uid="{C26AE127-0909-4977-9CA3-D8FDA77A2360}" name="個人／事業所数" dataCellStyle="桁区切り"/>
    <tableColumn id="13" xr3:uid="{98BEBE09-B8DF-45F8-B007-150B430BFE0B}" name="個人／構成比" dataDxfId="449"/>
    <tableColumn id="14" xr3:uid="{7C59A167-79A2-43CF-B432-5AA0BF59CA08}" name="法人／事業所数" dataCellStyle="桁区切り"/>
    <tableColumn id="15" xr3:uid="{D163DD72-DC9A-4B93-848F-2E34C811CFF0}" name="法人／構成比" dataDxfId="448"/>
    <tableColumn id="16" xr3:uid="{D8D7207A-7C76-4DCB-94E3-F7F1B539EAFD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C0B1990F-C410-431E-8F35-707C00832EC6}" name="LTBL_07421" displayName="LTBL_07421" ref="B4:I20" totalsRowCount="1">
  <autoFilter ref="B4:I19" xr:uid="{C0B1990F-C410-431E-8F35-707C00832EC6}"/>
  <tableColumns count="8">
    <tableColumn id="9" xr3:uid="{27D82E98-5F0C-4462-8859-CEBF4592E0E4}" name="産業大分類" totalsRowLabel="合計" totalsRowDxfId="447"/>
    <tableColumn id="10" xr3:uid="{6E8D6EEC-39FA-4223-A0FF-F74F64B80407}" name="総数／事業所数" totalsRowFunction="custom" totalsRowDxfId="446" dataCellStyle="桁区切り" totalsRowCellStyle="桁区切り">
      <totalsRowFormula>SUM(LTBL_07421[総数／事業所数])</totalsRowFormula>
    </tableColumn>
    <tableColumn id="11" xr3:uid="{F997A09F-7099-418E-874F-0DBE6E26B964}" name="総数／構成比" dataDxfId="445"/>
    <tableColumn id="12" xr3:uid="{150FE30E-A1C8-43C0-BA94-E57F29ABB9AF}" name="個人／事業所数" totalsRowFunction="sum" totalsRowDxfId="444" dataCellStyle="桁区切り" totalsRowCellStyle="桁区切り"/>
    <tableColumn id="13" xr3:uid="{822D2264-2EB1-4096-B695-667815C866B9}" name="個人／構成比" dataDxfId="443"/>
    <tableColumn id="14" xr3:uid="{6D10BA3B-6B48-4A55-ACAB-FB96F94AA692}" name="法人／事業所数" totalsRowFunction="sum" totalsRowDxfId="442" dataCellStyle="桁区切り" totalsRowCellStyle="桁区切り"/>
    <tableColumn id="15" xr3:uid="{B66F54BB-0EDD-487D-A6C8-C69F0001008F}" name="法人／構成比" dataDxfId="441"/>
    <tableColumn id="16" xr3:uid="{7B3EAE3E-2111-4C98-82A0-24DE06A6D7FF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8286D828-CC36-46D7-AA1C-0BAB37FBC9D4}" name="M_TABLE_07421" displayName="M_TABLE_07421" ref="B23:I44" totalsRowShown="0">
  <autoFilter ref="B23:I44" xr:uid="{8286D828-CC36-46D7-AA1C-0BAB37FBC9D4}"/>
  <tableColumns count="8">
    <tableColumn id="9" xr3:uid="{7EA51E80-69DC-47E1-AE65-4725FB510613}" name="産業中分類上位２０"/>
    <tableColumn id="10" xr3:uid="{446DA2B6-652F-4196-8819-C9E8A066EB50}" name="総数／事業所数" dataCellStyle="桁区切り"/>
    <tableColumn id="11" xr3:uid="{33E8C487-21A2-4E3B-A6C2-43B727D8A325}" name="総数／構成比" dataDxfId="439"/>
    <tableColumn id="12" xr3:uid="{48082E35-8CEE-4C47-8111-F295F3B772DA}" name="個人／事業所数" dataCellStyle="桁区切り"/>
    <tableColumn id="13" xr3:uid="{B6F983C3-3F5A-42E4-B0F6-C1F57D9C6EC6}" name="個人／構成比" dataDxfId="438"/>
    <tableColumn id="14" xr3:uid="{38654539-98E3-4755-95F2-A3EB2C405744}" name="法人／事業所数" dataCellStyle="桁区切り"/>
    <tableColumn id="15" xr3:uid="{BFFF31F2-8FFC-436C-B3B2-72BA1C1C773C}" name="法人／構成比" dataDxfId="437"/>
    <tableColumn id="16" xr3:uid="{9CE29151-6457-4085-B3A3-DD40F24FD3FD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2FC0E82C-F518-4A70-9733-CB4716898653}" name="S_TABLE_07421" displayName="S_TABLE_07421" ref="B47:I71" totalsRowShown="0">
  <autoFilter ref="B47:I71" xr:uid="{2FC0E82C-F518-4A70-9733-CB4716898653}"/>
  <tableColumns count="8">
    <tableColumn id="9" xr3:uid="{9DD2D6C6-714A-45BD-B4FC-040986A03CDA}" name="産業小分類上位２０"/>
    <tableColumn id="10" xr3:uid="{4659ACEB-4FC0-4AAA-A32B-F4A4D4BC96CA}" name="総数／事業所数" dataCellStyle="桁区切り"/>
    <tableColumn id="11" xr3:uid="{68FC4EEF-3AE2-43BD-996A-DCA5571A5EBD}" name="総数／構成比" dataDxfId="436"/>
    <tableColumn id="12" xr3:uid="{6240E9B4-E942-4A8D-9233-502FA619DA31}" name="個人／事業所数" dataCellStyle="桁区切り"/>
    <tableColumn id="13" xr3:uid="{975478CD-E259-4AAC-BCB5-51337DAD3F0B}" name="個人／構成比" dataDxfId="435"/>
    <tableColumn id="14" xr3:uid="{7DE3D33E-C486-4631-A5C7-A7F4691C7E70}" name="法人／事業所数" dataCellStyle="桁区切り"/>
    <tableColumn id="15" xr3:uid="{F5F69ED3-4741-4135-8B29-D57A7CBE3A6B}" name="法人／構成比" dataDxfId="434"/>
    <tableColumn id="16" xr3:uid="{22C97CCA-F7CA-40D1-AE56-72CBE632E3EB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3CCC9D2-71F2-4DC1-B81F-C3DD8B564FA2}" name="LTBL_07422" displayName="LTBL_07422" ref="B4:I20" totalsRowCount="1">
  <autoFilter ref="B4:I19" xr:uid="{A3CCC9D2-71F2-4DC1-B81F-C3DD8B564FA2}"/>
  <tableColumns count="8">
    <tableColumn id="9" xr3:uid="{800F7FA6-DEAA-4A40-954A-3D0D435DDDDC}" name="産業大分類" totalsRowLabel="合計" totalsRowDxfId="433"/>
    <tableColumn id="10" xr3:uid="{ED847042-0809-406B-BB17-724F10D7B70F}" name="総数／事業所数" totalsRowFunction="custom" totalsRowDxfId="432" dataCellStyle="桁区切り" totalsRowCellStyle="桁区切り">
      <totalsRowFormula>SUM(LTBL_07422[総数／事業所数])</totalsRowFormula>
    </tableColumn>
    <tableColumn id="11" xr3:uid="{F542A6A7-623A-411A-BFF5-E3ABD04D12C7}" name="総数／構成比" dataDxfId="431"/>
    <tableColumn id="12" xr3:uid="{29C6EE1D-E6C7-493D-92E9-A39C50A2C36A}" name="個人／事業所数" totalsRowFunction="sum" totalsRowDxfId="430" dataCellStyle="桁区切り" totalsRowCellStyle="桁区切り"/>
    <tableColumn id="13" xr3:uid="{70B8FE87-F118-4762-B5E9-E9E3B3904259}" name="個人／構成比" dataDxfId="429"/>
    <tableColumn id="14" xr3:uid="{14B10F2B-5616-4F73-8001-282E151D22DB}" name="法人／事業所数" totalsRowFunction="sum" totalsRowDxfId="428" dataCellStyle="桁区切り" totalsRowCellStyle="桁区切り"/>
    <tableColumn id="15" xr3:uid="{D09D7C5B-CB25-4BC6-99FD-808152F1E070}" name="法人／構成比" dataDxfId="427"/>
    <tableColumn id="16" xr3:uid="{321F495D-B195-48A1-9595-0B89D4ABDD33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A938AC08-2B24-49B7-A910-ABDA995D18F5}" name="M_TABLE_07422" displayName="M_TABLE_07422" ref="B23:I49" totalsRowShown="0">
  <autoFilter ref="B23:I49" xr:uid="{A938AC08-2B24-49B7-A910-ABDA995D18F5}"/>
  <tableColumns count="8">
    <tableColumn id="9" xr3:uid="{05BDED89-23DE-422B-9FF7-E9974A9A38D8}" name="産業中分類上位２０"/>
    <tableColumn id="10" xr3:uid="{23F26295-2C18-4D5A-93FE-66B411552B0F}" name="総数／事業所数" dataCellStyle="桁区切り"/>
    <tableColumn id="11" xr3:uid="{309DEF72-EA77-4C82-A271-905FB039A7D9}" name="総数／構成比" dataDxfId="425"/>
    <tableColumn id="12" xr3:uid="{0B072FC0-B118-4524-97FE-42262B16BD85}" name="個人／事業所数" dataCellStyle="桁区切り"/>
    <tableColumn id="13" xr3:uid="{DB8AF188-8071-4798-A174-1B7C407A23D1}" name="個人／構成比" dataDxfId="424"/>
    <tableColumn id="14" xr3:uid="{388B5657-E435-4858-AD6B-7B642165DA50}" name="法人／事業所数" dataCellStyle="桁区切り"/>
    <tableColumn id="15" xr3:uid="{70169CE9-E3D4-4D41-B072-15B6E3DF28F5}" name="法人／構成比" dataDxfId="423"/>
    <tableColumn id="16" xr3:uid="{0280FF49-18E6-40EB-B6A5-E8BE10D214B9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58DC175-EF01-465B-AB8A-6CD4E45AD433}" name="S_TABLE_07202" displayName="S_TABLE_07202" ref="B46:I66" totalsRowShown="0">
  <autoFilter ref="B46:I66" xr:uid="{258DC175-EF01-465B-AB8A-6CD4E45AD433}"/>
  <tableColumns count="8">
    <tableColumn id="9" xr3:uid="{63AA6DBC-207E-4F87-B0FC-1AA48ADD546F}" name="産業小分類上位２０"/>
    <tableColumn id="10" xr3:uid="{F13072A9-991D-4A7E-B939-ACC2A3A9DC31}" name="総数／事業所数" dataCellStyle="桁区切り"/>
    <tableColumn id="11" xr3:uid="{8B026A4D-CBAA-4B3D-B51F-82E0BE313630}" name="総数／構成比" dataDxfId="800"/>
    <tableColumn id="12" xr3:uid="{ABDC07D0-B320-4D75-9897-D6601FCD176B}" name="個人／事業所数" dataCellStyle="桁区切り"/>
    <tableColumn id="13" xr3:uid="{5E2143B2-A5F8-43FF-9052-89108621DA0A}" name="個人／構成比" dataDxfId="799"/>
    <tableColumn id="14" xr3:uid="{D03C7D8D-26B3-40EF-AEAA-7268DAF04B8C}" name="法人／事業所数" dataCellStyle="桁区切り"/>
    <tableColumn id="15" xr3:uid="{2001642B-E580-42FA-9269-CB04DE4269BD}" name="法人／構成比" dataDxfId="798"/>
    <tableColumn id="16" xr3:uid="{795E0215-1F1F-4A2B-8A2D-DDEF911EDD7E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9E0D504-7487-4AEB-A51B-91C848EE9318}" name="S_TABLE_07422" displayName="S_TABLE_07422" ref="B52:I92" totalsRowShown="0">
  <autoFilter ref="B52:I92" xr:uid="{A9E0D504-7487-4AEB-A51B-91C848EE9318}"/>
  <tableColumns count="8">
    <tableColumn id="9" xr3:uid="{DFF49CB6-3274-4A36-8D50-80A561649386}" name="産業小分類上位２０"/>
    <tableColumn id="10" xr3:uid="{659FFF1F-C6C7-478D-AEE0-CB7EEA6B04D5}" name="総数／事業所数" dataCellStyle="桁区切り"/>
    <tableColumn id="11" xr3:uid="{1EB81832-B04E-4537-A870-F7C5AFAFC278}" name="総数／構成比" dataDxfId="422"/>
    <tableColumn id="12" xr3:uid="{6661C271-FE3D-4A9F-A0BC-04C58DA39CC2}" name="個人／事業所数" dataCellStyle="桁区切り"/>
    <tableColumn id="13" xr3:uid="{7E17CF5C-12B2-483F-B418-670A05926045}" name="個人／構成比" dataDxfId="421"/>
    <tableColumn id="14" xr3:uid="{890ECF47-48A1-43C7-8667-606B9437DA8A}" name="法人／事業所数" dataCellStyle="桁区切り"/>
    <tableColumn id="15" xr3:uid="{A5AD5069-6507-458B-B90B-AAE2CD3F245D}" name="法人／構成比" dataDxfId="420"/>
    <tableColumn id="16" xr3:uid="{1A368369-B3FF-4432-98C8-AE4539E9BCD1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6E41F6BE-E1C0-4139-9761-98BBE5FC6BC8}" name="LTBL_07423" displayName="LTBL_07423" ref="B4:I20" totalsRowCount="1">
  <autoFilter ref="B4:I19" xr:uid="{6E41F6BE-E1C0-4139-9761-98BBE5FC6BC8}"/>
  <tableColumns count="8">
    <tableColumn id="9" xr3:uid="{8AD94C26-1463-4435-AA05-3EDFDB956E9E}" name="産業大分類" totalsRowLabel="合計" totalsRowDxfId="419"/>
    <tableColumn id="10" xr3:uid="{A4DC9977-A23F-4B36-BD63-C35AB86540A1}" name="総数／事業所数" totalsRowFunction="custom" totalsRowDxfId="418" dataCellStyle="桁区切り" totalsRowCellStyle="桁区切り">
      <totalsRowFormula>SUM(LTBL_07423[総数／事業所数])</totalsRowFormula>
    </tableColumn>
    <tableColumn id="11" xr3:uid="{89765A0A-03FF-48BD-8CC1-BCF0F98B2119}" name="総数／構成比" dataDxfId="417"/>
    <tableColumn id="12" xr3:uid="{AFB811F7-EB82-4E79-B750-5A1A47A01FCE}" name="個人／事業所数" totalsRowFunction="sum" totalsRowDxfId="416" dataCellStyle="桁区切り" totalsRowCellStyle="桁区切り"/>
    <tableColumn id="13" xr3:uid="{78CD9D8D-AA41-4359-BF90-D47CC51A954E}" name="個人／構成比" dataDxfId="415"/>
    <tableColumn id="14" xr3:uid="{9D1E6204-9E21-49FF-BB6B-9DE7C530E1C3}" name="法人／事業所数" totalsRowFunction="sum" totalsRowDxfId="414" dataCellStyle="桁区切り" totalsRowCellStyle="桁区切り"/>
    <tableColumn id="15" xr3:uid="{0C4B73A2-A30E-4C93-A450-B049C8E0DA8E}" name="法人／構成比" dataDxfId="413"/>
    <tableColumn id="16" xr3:uid="{E1983418-6FAC-4942-8188-B5662CF50AA7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45F711FD-0E9C-404C-BFB9-D7AA6BADB525}" name="M_TABLE_07423" displayName="M_TABLE_07423" ref="B23:I51" totalsRowShown="0">
  <autoFilter ref="B23:I51" xr:uid="{45F711FD-0E9C-404C-BFB9-D7AA6BADB525}"/>
  <tableColumns count="8">
    <tableColumn id="9" xr3:uid="{07332E63-C275-4747-8177-B91FFAD280E3}" name="産業中分類上位２０"/>
    <tableColumn id="10" xr3:uid="{F1A30642-485A-4905-9DC6-350C480AB184}" name="総数／事業所数" dataCellStyle="桁区切り"/>
    <tableColumn id="11" xr3:uid="{40CBDD09-3CE4-4CF0-851C-773B6C60A7C0}" name="総数／構成比" dataDxfId="411"/>
    <tableColumn id="12" xr3:uid="{326ED4C5-E37B-4597-B119-97B7603D4A67}" name="個人／事業所数" dataCellStyle="桁区切り"/>
    <tableColumn id="13" xr3:uid="{5FD7BC2F-6570-423A-A85F-7F1D55371BD0}" name="個人／構成比" dataDxfId="410"/>
    <tableColumn id="14" xr3:uid="{3C5CFF2E-1876-4DF9-8EAF-1270AFB4F83E}" name="法人／事業所数" dataCellStyle="桁区切り"/>
    <tableColumn id="15" xr3:uid="{F71875CE-F771-42C4-9A6A-CBA638CCABFF}" name="法人／構成比" dataDxfId="409"/>
    <tableColumn id="16" xr3:uid="{41342D68-FA94-4354-9EAA-1B373BE67328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A5388CEB-4460-477F-A211-2948CA0CC581}" name="S_TABLE_07423" displayName="S_TABLE_07423" ref="B54:I75" totalsRowShown="0">
  <autoFilter ref="B54:I75" xr:uid="{A5388CEB-4460-477F-A211-2948CA0CC581}"/>
  <tableColumns count="8">
    <tableColumn id="9" xr3:uid="{24063BC0-E930-4219-B9E4-EFBBD249319B}" name="産業小分類上位２０"/>
    <tableColumn id="10" xr3:uid="{5AD91334-2813-4D69-BE07-AC0217680C38}" name="総数／事業所数" dataCellStyle="桁区切り"/>
    <tableColumn id="11" xr3:uid="{8B8EB8AB-F7CA-40D8-AFBB-3A1FA86D390F}" name="総数／構成比" dataDxfId="408"/>
    <tableColumn id="12" xr3:uid="{9D492E83-2091-4A2B-9D8F-FFDF9F5787E6}" name="個人／事業所数" dataCellStyle="桁区切り"/>
    <tableColumn id="13" xr3:uid="{D5350E16-7096-445C-B4F5-50324C2A60E6}" name="個人／構成比" dataDxfId="407"/>
    <tableColumn id="14" xr3:uid="{464ECEBE-2DD7-44F0-A32E-46F8CA9541E8}" name="法人／事業所数" dataCellStyle="桁区切り"/>
    <tableColumn id="15" xr3:uid="{2295A85F-D301-4D5B-9C1E-3677BDE8D8CC}" name="法人／構成比" dataDxfId="406"/>
    <tableColumn id="16" xr3:uid="{186781A0-1698-4F3D-9543-FC7E46B8D900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D8382820-E519-4402-A3D8-FE726E9DA4B5}" name="LTBL_07444" displayName="LTBL_07444" ref="B4:I20" totalsRowCount="1">
  <autoFilter ref="B4:I19" xr:uid="{D8382820-E519-4402-A3D8-FE726E9DA4B5}"/>
  <tableColumns count="8">
    <tableColumn id="9" xr3:uid="{28E2B955-1A3B-466F-B480-7026F2AA17AF}" name="産業大分類" totalsRowLabel="合計" totalsRowDxfId="405"/>
    <tableColumn id="10" xr3:uid="{28CC7E0A-C93C-4D59-AA9B-938D16943AA0}" name="総数／事業所数" totalsRowFunction="custom" totalsRowDxfId="404" dataCellStyle="桁区切り" totalsRowCellStyle="桁区切り">
      <totalsRowFormula>SUM(LTBL_07444[総数／事業所数])</totalsRowFormula>
    </tableColumn>
    <tableColumn id="11" xr3:uid="{5F54850F-A886-4786-A16D-5E69DA1E1EE5}" name="総数／構成比" dataDxfId="403"/>
    <tableColumn id="12" xr3:uid="{41611BFC-B477-4036-9F20-BD1E563AD47F}" name="個人／事業所数" totalsRowFunction="sum" totalsRowDxfId="402" dataCellStyle="桁区切り" totalsRowCellStyle="桁区切り"/>
    <tableColumn id="13" xr3:uid="{5779981D-A5D4-4C65-B14C-14E34E81BD08}" name="個人／構成比" dataDxfId="401"/>
    <tableColumn id="14" xr3:uid="{65D93BA0-D7A6-490A-9A87-4F05AE0AE3C1}" name="法人／事業所数" totalsRowFunction="sum" totalsRowDxfId="400" dataCellStyle="桁区切り" totalsRowCellStyle="桁区切り"/>
    <tableColumn id="15" xr3:uid="{3998F9CB-F563-43C0-996E-F13774CBE141}" name="法人／構成比" dataDxfId="399"/>
    <tableColumn id="16" xr3:uid="{57DDD608-D8AC-4D7C-A8CE-BAD7CDE2EA3F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76505E0-AD57-4464-BEF8-77DB6E9C9B6A}" name="M_TABLE_07444" displayName="M_TABLE_07444" ref="B23:I43" totalsRowShown="0">
  <autoFilter ref="B23:I43" xr:uid="{476505E0-AD57-4464-BEF8-77DB6E9C9B6A}"/>
  <tableColumns count="8">
    <tableColumn id="9" xr3:uid="{E7EAACBA-06A3-47FB-884A-AB070CEF3A94}" name="産業中分類上位２０"/>
    <tableColumn id="10" xr3:uid="{2F4A6095-3406-4FEA-BDE1-EE12919E9A3D}" name="総数／事業所数" dataCellStyle="桁区切り"/>
    <tableColumn id="11" xr3:uid="{BDC1FAE3-A182-4EB7-A7AE-93FBA6804E1A}" name="総数／構成比" dataDxfId="397"/>
    <tableColumn id="12" xr3:uid="{15FFD5FC-2B52-40D1-922E-D8283797349C}" name="個人／事業所数" dataCellStyle="桁区切り"/>
    <tableColumn id="13" xr3:uid="{40F63F4D-FD92-485C-8069-8727AF60BB4A}" name="個人／構成比" dataDxfId="396"/>
    <tableColumn id="14" xr3:uid="{CC5AAC07-4A92-405F-A4D1-EF629DDFBC38}" name="法人／事業所数" dataCellStyle="桁区切り"/>
    <tableColumn id="15" xr3:uid="{1E43EC20-6076-4F0E-8915-BEEF41AFC604}" name="法人／構成比" dataDxfId="395"/>
    <tableColumn id="16" xr3:uid="{85779925-4ECB-4258-A2C0-5F0749635F3B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E8C8C3DB-1DE6-45D3-9705-5FC239D14A0D}" name="S_TABLE_07444" displayName="S_TABLE_07444" ref="B46:I80" totalsRowShown="0">
  <autoFilter ref="B46:I80" xr:uid="{E8C8C3DB-1DE6-45D3-9705-5FC239D14A0D}"/>
  <tableColumns count="8">
    <tableColumn id="9" xr3:uid="{FD74E2EA-8A60-46F7-98F7-51000783708A}" name="産業小分類上位２０"/>
    <tableColumn id="10" xr3:uid="{17404EB2-E76F-4356-8E6B-09ED72B60B87}" name="総数／事業所数" dataCellStyle="桁区切り"/>
    <tableColumn id="11" xr3:uid="{6B4BC269-799D-4B49-94D5-C5D447DF7985}" name="総数／構成比" dataDxfId="394"/>
    <tableColumn id="12" xr3:uid="{F291232F-00C4-4E66-ABDD-A6D72851CDA8}" name="個人／事業所数" dataCellStyle="桁区切り"/>
    <tableColumn id="13" xr3:uid="{0DC50A54-FDFE-4CE7-A3D8-CB07F357D678}" name="個人／構成比" dataDxfId="393"/>
    <tableColumn id="14" xr3:uid="{B809694E-2B11-4E21-9AED-E672D099B6B1}" name="法人／事業所数" dataCellStyle="桁区切り"/>
    <tableColumn id="15" xr3:uid="{66BBE3FB-1044-432D-8FD6-226B3692589B}" name="法人／構成比" dataDxfId="392"/>
    <tableColumn id="16" xr3:uid="{72B62E89-8164-417A-AC4A-ECE1BCBAA766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CC7A4828-FC97-49F1-9555-2212582A5070}" name="LTBL_07445" displayName="LTBL_07445" ref="B4:I20" totalsRowCount="1">
  <autoFilter ref="B4:I19" xr:uid="{CC7A4828-FC97-49F1-9555-2212582A5070}"/>
  <tableColumns count="8">
    <tableColumn id="9" xr3:uid="{9FD3DB1F-7B42-4C0F-9892-82E947FC44CD}" name="産業大分類" totalsRowLabel="合計" totalsRowDxfId="391"/>
    <tableColumn id="10" xr3:uid="{D8350B60-2473-4252-8BDC-6E8E9965CB5D}" name="総数／事業所数" totalsRowFunction="custom" totalsRowDxfId="390" dataCellStyle="桁区切り" totalsRowCellStyle="桁区切り">
      <totalsRowFormula>SUM(LTBL_07445[総数／事業所数])</totalsRowFormula>
    </tableColumn>
    <tableColumn id="11" xr3:uid="{52BF83DA-E445-4347-99AA-8077B8B950EF}" name="総数／構成比" dataDxfId="389"/>
    <tableColumn id="12" xr3:uid="{1CF915B2-06EB-4213-A982-1639C04C01E9}" name="個人／事業所数" totalsRowFunction="sum" totalsRowDxfId="388" dataCellStyle="桁区切り" totalsRowCellStyle="桁区切り"/>
    <tableColumn id="13" xr3:uid="{33D55A35-EDCB-47E4-9DF3-4DABB2FBC78D}" name="個人／構成比" dataDxfId="387"/>
    <tableColumn id="14" xr3:uid="{99A1DF7A-3BC6-4B7E-BEB3-056381607E90}" name="法人／事業所数" totalsRowFunction="sum" totalsRowDxfId="386" dataCellStyle="桁区切り" totalsRowCellStyle="桁区切り"/>
    <tableColumn id="15" xr3:uid="{BDF2BB2D-A2A3-4B80-BB74-C9178FDC18B5}" name="法人／構成比" dataDxfId="385"/>
    <tableColumn id="16" xr3:uid="{57CCB0A7-5ADB-4510-A8F4-C8EFB9C27A3D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D3B87FD-95D9-447A-B86A-774F60A1F8AF}" name="M_TABLE_07445" displayName="M_TABLE_07445" ref="B23:I55" totalsRowShown="0">
  <autoFilter ref="B23:I55" xr:uid="{AD3B87FD-95D9-447A-B86A-774F60A1F8AF}"/>
  <tableColumns count="8">
    <tableColumn id="9" xr3:uid="{5B91F6FD-C266-4CAC-AF54-DE149B535DFF}" name="産業中分類上位２０"/>
    <tableColumn id="10" xr3:uid="{546891DD-0415-45A1-831C-E8D509DAE46B}" name="総数／事業所数" dataCellStyle="桁区切り"/>
    <tableColumn id="11" xr3:uid="{03E6149E-22EF-4A53-974D-A6C747666569}" name="総数／構成比" dataDxfId="383"/>
    <tableColumn id="12" xr3:uid="{12E45A42-CCE8-4E99-83B1-AD66BCDEBC0B}" name="個人／事業所数" dataCellStyle="桁区切り"/>
    <tableColumn id="13" xr3:uid="{90AD1606-4E61-42E3-A263-138A3AB1C305}" name="個人／構成比" dataDxfId="382"/>
    <tableColumn id="14" xr3:uid="{4CE2F207-E376-4495-B735-D2E251C5F8B3}" name="法人／事業所数" dataCellStyle="桁区切り"/>
    <tableColumn id="15" xr3:uid="{08D368A7-0CA2-476D-95C4-99128C544CD0}" name="法人／構成比" dataDxfId="381"/>
    <tableColumn id="16" xr3:uid="{2F6F18A8-3102-4700-815E-D00F49D1406A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347741E-FFEE-4A32-B1AD-36B5B2866997}" name="S_TABLE_07445" displayName="S_TABLE_07445" ref="B58:I81" totalsRowShown="0">
  <autoFilter ref="B58:I81" xr:uid="{0347741E-FFEE-4A32-B1AD-36B5B2866997}"/>
  <tableColumns count="8">
    <tableColumn id="9" xr3:uid="{D22D93F8-9E15-483B-874F-AC9556F8A260}" name="産業小分類上位２０"/>
    <tableColumn id="10" xr3:uid="{F4D7508F-A278-435A-81B6-9AC07CF32923}" name="総数／事業所数" dataCellStyle="桁区切り"/>
    <tableColumn id="11" xr3:uid="{C0F359C2-1848-448B-866E-F8443F47E149}" name="総数／構成比" dataDxfId="380"/>
    <tableColumn id="12" xr3:uid="{167107FF-4B16-4E7C-822D-61E98AB3B75A}" name="個人／事業所数" dataCellStyle="桁区切り"/>
    <tableColumn id="13" xr3:uid="{A8DD033B-4F5A-481C-830C-1B474E147A32}" name="個人／構成比" dataDxfId="379"/>
    <tableColumn id="14" xr3:uid="{DE53F636-BD70-4695-A1C0-F0D747CE71CB}" name="法人／事業所数" dataCellStyle="桁区切り"/>
    <tableColumn id="15" xr3:uid="{70264FDD-8F95-4D61-A892-7BB90EE9E765}" name="法人／構成比" dataDxfId="378"/>
    <tableColumn id="16" xr3:uid="{DAAEE2B4-1EEB-4559-916B-DAA30DD20DC5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9CA0C-35D3-4E83-929A-7297CDCC2D18}">
  <dimension ref="A1:B64"/>
  <sheetViews>
    <sheetView tabSelected="1" workbookViewId="0"/>
  </sheetViews>
  <sheetFormatPr defaultRowHeight="13.2" x14ac:dyDescent="0.2"/>
  <sheetData>
    <row r="1" spans="1:2" x14ac:dyDescent="0.2">
      <c r="A1" t="s">
        <v>460</v>
      </c>
    </row>
    <row r="2" spans="1:2" x14ac:dyDescent="0.2">
      <c r="B2" s="13" t="s">
        <v>336</v>
      </c>
    </row>
    <row r="3" spans="1:2" x14ac:dyDescent="0.2">
      <c r="B3" s="13" t="s">
        <v>157</v>
      </c>
    </row>
    <row r="4" spans="1:2" x14ac:dyDescent="0.2">
      <c r="B4" s="13" t="s">
        <v>334</v>
      </c>
    </row>
    <row r="5" spans="1:2" x14ac:dyDescent="0.2">
      <c r="B5" s="13" t="s">
        <v>400</v>
      </c>
    </row>
    <row r="6" spans="1:2" x14ac:dyDescent="0.2">
      <c r="B6" s="13" t="s">
        <v>401</v>
      </c>
    </row>
    <row r="7" spans="1:2" x14ac:dyDescent="0.2">
      <c r="B7" s="13" t="s">
        <v>402</v>
      </c>
    </row>
    <row r="8" spans="1:2" x14ac:dyDescent="0.2">
      <c r="B8" s="13" t="s">
        <v>403</v>
      </c>
    </row>
    <row r="9" spans="1:2" x14ac:dyDescent="0.2">
      <c r="B9" s="13" t="s">
        <v>404</v>
      </c>
    </row>
    <row r="10" spans="1:2" x14ac:dyDescent="0.2">
      <c r="B10" s="13" t="s">
        <v>405</v>
      </c>
    </row>
    <row r="11" spans="1:2" x14ac:dyDescent="0.2">
      <c r="B11" s="13" t="s">
        <v>406</v>
      </c>
    </row>
    <row r="12" spans="1:2" x14ac:dyDescent="0.2">
      <c r="B12" s="13" t="s">
        <v>407</v>
      </c>
    </row>
    <row r="13" spans="1:2" x14ac:dyDescent="0.2">
      <c r="B13" s="13" t="s">
        <v>408</v>
      </c>
    </row>
    <row r="14" spans="1:2" x14ac:dyDescent="0.2">
      <c r="B14" s="13" t="s">
        <v>409</v>
      </c>
    </row>
    <row r="15" spans="1:2" x14ac:dyDescent="0.2">
      <c r="B15" s="13" t="s">
        <v>410</v>
      </c>
    </row>
    <row r="16" spans="1:2" x14ac:dyDescent="0.2">
      <c r="B16" s="13" t="s">
        <v>411</v>
      </c>
    </row>
    <row r="17" spans="2:2" x14ac:dyDescent="0.2">
      <c r="B17" s="13" t="s">
        <v>412</v>
      </c>
    </row>
    <row r="18" spans="2:2" x14ac:dyDescent="0.2">
      <c r="B18" s="13" t="s">
        <v>413</v>
      </c>
    </row>
    <row r="19" spans="2:2" x14ac:dyDescent="0.2">
      <c r="B19" s="13" t="s">
        <v>414</v>
      </c>
    </row>
    <row r="20" spans="2:2" x14ac:dyDescent="0.2">
      <c r="B20" s="13" t="s">
        <v>415</v>
      </c>
    </row>
    <row r="21" spans="2:2" x14ac:dyDescent="0.2">
      <c r="B21" s="13" t="s">
        <v>416</v>
      </c>
    </row>
    <row r="22" spans="2:2" x14ac:dyDescent="0.2">
      <c r="B22" s="13" t="s">
        <v>417</v>
      </c>
    </row>
    <row r="23" spans="2:2" x14ac:dyDescent="0.2">
      <c r="B23" s="13" t="s">
        <v>418</v>
      </c>
    </row>
    <row r="24" spans="2:2" x14ac:dyDescent="0.2">
      <c r="B24" s="13" t="s">
        <v>419</v>
      </c>
    </row>
    <row r="25" spans="2:2" x14ac:dyDescent="0.2">
      <c r="B25" s="13" t="s">
        <v>420</v>
      </c>
    </row>
    <row r="26" spans="2:2" x14ac:dyDescent="0.2">
      <c r="B26" s="13" t="s">
        <v>421</v>
      </c>
    </row>
    <row r="27" spans="2:2" x14ac:dyDescent="0.2">
      <c r="B27" s="13" t="s">
        <v>422</v>
      </c>
    </row>
    <row r="28" spans="2:2" x14ac:dyDescent="0.2">
      <c r="B28" s="13" t="s">
        <v>423</v>
      </c>
    </row>
    <row r="29" spans="2:2" x14ac:dyDescent="0.2">
      <c r="B29" s="13" t="s">
        <v>424</v>
      </c>
    </row>
    <row r="30" spans="2:2" x14ac:dyDescent="0.2">
      <c r="B30" s="13" t="s">
        <v>425</v>
      </c>
    </row>
    <row r="31" spans="2:2" x14ac:dyDescent="0.2">
      <c r="B31" s="13" t="s">
        <v>426</v>
      </c>
    </row>
    <row r="32" spans="2:2" x14ac:dyDescent="0.2">
      <c r="B32" s="13" t="s">
        <v>427</v>
      </c>
    </row>
    <row r="33" spans="2:2" x14ac:dyDescent="0.2">
      <c r="B33" s="13" t="s">
        <v>428</v>
      </c>
    </row>
    <row r="34" spans="2:2" x14ac:dyDescent="0.2">
      <c r="B34" s="13" t="s">
        <v>429</v>
      </c>
    </row>
    <row r="35" spans="2:2" x14ac:dyDescent="0.2">
      <c r="B35" s="13" t="s">
        <v>430</v>
      </c>
    </row>
    <row r="36" spans="2:2" x14ac:dyDescent="0.2">
      <c r="B36" s="13" t="s">
        <v>431</v>
      </c>
    </row>
    <row r="37" spans="2:2" x14ac:dyDescent="0.2">
      <c r="B37" s="13" t="s">
        <v>432</v>
      </c>
    </row>
    <row r="38" spans="2:2" x14ac:dyDescent="0.2">
      <c r="B38" s="13" t="s">
        <v>433</v>
      </c>
    </row>
    <row r="39" spans="2:2" x14ac:dyDescent="0.2">
      <c r="B39" s="13" t="s">
        <v>434</v>
      </c>
    </row>
    <row r="40" spans="2:2" x14ac:dyDescent="0.2">
      <c r="B40" s="13" t="s">
        <v>435</v>
      </c>
    </row>
    <row r="41" spans="2:2" x14ac:dyDescent="0.2">
      <c r="B41" s="13" t="s">
        <v>436</v>
      </c>
    </row>
    <row r="42" spans="2:2" x14ac:dyDescent="0.2">
      <c r="B42" s="13" t="s">
        <v>437</v>
      </c>
    </row>
    <row r="43" spans="2:2" x14ac:dyDescent="0.2">
      <c r="B43" s="13" t="s">
        <v>438</v>
      </c>
    </row>
    <row r="44" spans="2:2" x14ac:dyDescent="0.2">
      <c r="B44" s="13" t="s">
        <v>439</v>
      </c>
    </row>
    <row r="45" spans="2:2" x14ac:dyDescent="0.2">
      <c r="B45" s="13" t="s">
        <v>440</v>
      </c>
    </row>
    <row r="46" spans="2:2" x14ac:dyDescent="0.2">
      <c r="B46" s="13" t="s">
        <v>441</v>
      </c>
    </row>
    <row r="47" spans="2:2" x14ac:dyDescent="0.2">
      <c r="B47" s="13" t="s">
        <v>442</v>
      </c>
    </row>
    <row r="48" spans="2:2" x14ac:dyDescent="0.2">
      <c r="B48" s="13" t="s">
        <v>443</v>
      </c>
    </row>
    <row r="49" spans="2:2" x14ac:dyDescent="0.2">
      <c r="B49" s="13" t="s">
        <v>444</v>
      </c>
    </row>
    <row r="50" spans="2:2" x14ac:dyDescent="0.2">
      <c r="B50" s="13" t="s">
        <v>445</v>
      </c>
    </row>
    <row r="51" spans="2:2" x14ac:dyDescent="0.2">
      <c r="B51" s="13" t="s">
        <v>446</v>
      </c>
    </row>
    <row r="52" spans="2:2" x14ac:dyDescent="0.2">
      <c r="B52" s="13" t="s">
        <v>447</v>
      </c>
    </row>
    <row r="53" spans="2:2" x14ac:dyDescent="0.2">
      <c r="B53" s="13" t="s">
        <v>448</v>
      </c>
    </row>
    <row r="54" spans="2:2" x14ac:dyDescent="0.2">
      <c r="B54" s="13" t="s">
        <v>449</v>
      </c>
    </row>
    <row r="55" spans="2:2" x14ac:dyDescent="0.2">
      <c r="B55" s="13" t="s">
        <v>450</v>
      </c>
    </row>
    <row r="56" spans="2:2" x14ac:dyDescent="0.2">
      <c r="B56" s="13" t="s">
        <v>451</v>
      </c>
    </row>
    <row r="57" spans="2:2" x14ac:dyDescent="0.2">
      <c r="B57" s="13" t="s">
        <v>452</v>
      </c>
    </row>
    <row r="58" spans="2:2" x14ac:dyDescent="0.2">
      <c r="B58" s="13" t="s">
        <v>453</v>
      </c>
    </row>
    <row r="59" spans="2:2" x14ac:dyDescent="0.2">
      <c r="B59" s="13" t="s">
        <v>454</v>
      </c>
    </row>
    <row r="60" spans="2:2" x14ac:dyDescent="0.2">
      <c r="B60" s="13" t="s">
        <v>455</v>
      </c>
    </row>
    <row r="61" spans="2:2" x14ac:dyDescent="0.2">
      <c r="B61" s="13" t="s">
        <v>456</v>
      </c>
    </row>
    <row r="62" spans="2:2" x14ac:dyDescent="0.2">
      <c r="B62" s="13" t="s">
        <v>457</v>
      </c>
    </row>
    <row r="63" spans="2:2" x14ac:dyDescent="0.2">
      <c r="B63" s="13" t="s">
        <v>458</v>
      </c>
    </row>
    <row r="64" spans="2:2" x14ac:dyDescent="0.2">
      <c r="B64" s="13" t="s">
        <v>459</v>
      </c>
    </row>
  </sheetData>
  <phoneticPr fontId="1"/>
  <hyperlinks>
    <hyperlink ref="B2" location="'産業大分類'!a1" display="産業大分類" xr:uid="{BB8F91FE-C469-4742-9AE0-6751FE2B94B6}"/>
    <hyperlink ref="B3" location="'産業中分類'!a1" display="産業中分類" xr:uid="{DFF81B91-2CB1-4494-99EF-ACBE41089A24}"/>
    <hyperlink ref="B4" location="'産業小分類'!a1" display="産業小分類" xr:uid="{25306654-0E0C-433E-B8D6-C7219F95FF59}"/>
    <hyperlink ref="B5" location="'福島県'!a1" display="福島県" xr:uid="{1D73B4A8-20F1-4EB4-A66E-E6D4A78D4524}"/>
    <hyperlink ref="B6" location="'福島市'!a1" display="福島市" xr:uid="{E9206C0C-B036-49ED-BBF1-6013C1D6066E}"/>
    <hyperlink ref="B7" location="'会津若松市'!a1" display="会津若松市" xr:uid="{337A4BA3-CDF7-4052-8486-394C441A175E}"/>
    <hyperlink ref="B8" location="'郡山市'!a1" display="郡山市" xr:uid="{F18404F2-D480-42C2-81EE-4B1DFA723E6B}"/>
    <hyperlink ref="B9" location="'いわき市'!a1" display="いわき市" xr:uid="{E54FA0AC-1F77-488E-9E6A-5DEB578CAF2A}"/>
    <hyperlink ref="B10" location="'白河市'!a1" display="白河市" xr:uid="{F2C33852-29AE-4186-A6E2-0402F09F507D}"/>
    <hyperlink ref="B11" location="'須賀川市'!a1" display="須賀川市" xr:uid="{854C8C2B-2EBF-4333-BDD6-C17ACAB768B5}"/>
    <hyperlink ref="B12" location="'喜多方市'!a1" display="喜多方市" xr:uid="{465CC13F-6AB9-48B2-97E4-5056D0CCF294}"/>
    <hyperlink ref="B13" location="'相馬市'!a1" display="相馬市" xr:uid="{430B179B-93EC-4DD7-89C2-12DF249DD03B}"/>
    <hyperlink ref="B14" location="'二本松市'!a1" display="二本松市" xr:uid="{8D263453-7682-4CF0-BC6D-E1994ED956BB}"/>
    <hyperlink ref="B15" location="'田村市'!a1" display="田村市" xr:uid="{B491FCB3-F866-4556-B9B2-E4519AD9E1E4}"/>
    <hyperlink ref="B16" location="'南相馬市'!a1" display="南相馬市" xr:uid="{A4EDF16D-263D-419A-8165-C18406C27F85}"/>
    <hyperlink ref="B17" location="'伊達市'!a1" display="伊達市" xr:uid="{1FEF9CA3-6615-4108-B3BE-17A3090F0E83}"/>
    <hyperlink ref="B18" location="'本宮市'!a1" display="本宮市" xr:uid="{50F3F3E7-AB57-4F61-BA66-866FD70E2541}"/>
    <hyperlink ref="B19" location="'伊達郡桑折町'!a1" display="伊達郡桑折町" xr:uid="{D6613FAC-FFAD-4C90-983D-D24B94D5EEA8}"/>
    <hyperlink ref="B20" location="'伊達郡国見町'!a1" display="伊達郡国見町" xr:uid="{F7CF0848-AB8F-4D89-B6B5-4A0D4F49CD72}"/>
    <hyperlink ref="B21" location="'伊達郡川俣町'!a1" display="伊達郡川俣町" xr:uid="{19F8DDDD-F820-4197-A76D-A6026C525857}"/>
    <hyperlink ref="B22" location="'安達郡大玉村'!a1" display="安達郡大玉村" xr:uid="{0A62D306-ED66-40DD-B897-E0E0CDBDEA07}"/>
    <hyperlink ref="B23" location="'岩瀬郡鏡石町'!a1" display="岩瀬郡鏡石町" xr:uid="{BFCBA526-3C34-4883-A3EC-D6821944CF0A}"/>
    <hyperlink ref="B24" location="'岩瀬郡天栄村'!a1" display="岩瀬郡天栄村" xr:uid="{12BB6547-742A-456E-A829-36A33485F4F7}"/>
    <hyperlink ref="B25" location="'南会津郡下郷町'!a1" display="南会津郡下郷町" xr:uid="{46CC69A3-0B3C-4995-B8E6-5AD36996C89F}"/>
    <hyperlink ref="B26" location="'南会津郡檜枝岐村'!a1" display="南会津郡檜枝岐村" xr:uid="{05A94171-4089-4B76-BE7C-BB4D392DCA0A}"/>
    <hyperlink ref="B27" location="'南会津郡只見町'!a1" display="南会津郡只見町" xr:uid="{516CF749-6A9D-4B20-8587-1BCD75C92567}"/>
    <hyperlink ref="B28" location="'南会津郡南会津町'!a1" display="南会津郡南会津町" xr:uid="{63BE3BBA-D93B-4A95-AF62-089A3E6FDD1E}"/>
    <hyperlink ref="B29" location="'耶麻郡北塩原村'!a1" display="耶麻郡北塩原村" xr:uid="{38E901C9-921B-4B33-8DBC-9AC184C6CE5E}"/>
    <hyperlink ref="B30" location="'耶麻郡西会津町'!a1" display="耶麻郡西会津町" xr:uid="{6326304F-E1F7-465D-BD89-F840A8EE993B}"/>
    <hyperlink ref="B31" location="'耶麻郡磐梯町'!a1" display="耶麻郡磐梯町" xr:uid="{92588ED3-5733-42B0-9BC3-1978557811F2}"/>
    <hyperlink ref="B32" location="'耶麻郡猪苗代町'!a1" display="耶麻郡猪苗代町" xr:uid="{5BFDF9F5-D46E-4794-A7D3-0CEB38E4A773}"/>
    <hyperlink ref="B33" location="'河沼郡会津坂下町'!a1" display="河沼郡会津坂下町" xr:uid="{B3B812AC-7593-453F-9530-04CFB0D2D6B2}"/>
    <hyperlink ref="B34" location="'河沼郡湯川村'!a1" display="河沼郡湯川村" xr:uid="{3DF5B38C-46F4-4916-89DB-93DCDFCE565D}"/>
    <hyperlink ref="B35" location="'河沼郡柳津町'!a1" display="河沼郡柳津町" xr:uid="{A700C426-D03C-4932-97A9-FBC82C69A772}"/>
    <hyperlink ref="B36" location="'大沼郡三島町'!a1" display="大沼郡三島町" xr:uid="{BF8DCB8B-8EF3-4488-A4D7-948997D6E455}"/>
    <hyperlink ref="B37" location="'大沼郡金山町'!a1" display="大沼郡金山町" xr:uid="{1C51E791-5571-4F32-9DAE-54A444E344E8}"/>
    <hyperlink ref="B38" location="'大沼郡昭和村'!a1" display="大沼郡昭和村" xr:uid="{8E5D0950-9533-4E6B-BDA8-9A461CD23FFD}"/>
    <hyperlink ref="B39" location="'大沼郡会津美里町'!a1" display="大沼郡会津美里町" xr:uid="{950C4E7E-ED0C-4130-BC25-5A07434EBEA3}"/>
    <hyperlink ref="B40" location="'西白河郡西郷村'!a1" display="西白河郡西郷村" xr:uid="{3B876BEE-35D9-44AC-8DAC-D7D3803F698A}"/>
    <hyperlink ref="B41" location="'西白河郡泉崎村'!a1" display="西白河郡泉崎村" xr:uid="{638B52DC-2579-4A3E-9143-E7A9FF5FBB15}"/>
    <hyperlink ref="B42" location="'西白河郡中島村'!a1" display="西白河郡中島村" xr:uid="{6B48AB10-59F3-485D-983E-D023DB784F72}"/>
    <hyperlink ref="B43" location="'西白河郡矢吹町'!a1" display="西白河郡矢吹町" xr:uid="{A8BCA9D0-3DF9-4DE7-A9C8-D18D30B93927}"/>
    <hyperlink ref="B44" location="'東白川郡棚倉町'!a1" display="東白川郡棚倉町" xr:uid="{9E7914AD-9298-4773-AC6C-4FBE11790196}"/>
    <hyperlink ref="B45" location="'東白川郡矢祭町'!a1" display="東白川郡矢祭町" xr:uid="{96627882-91A7-4B63-8314-74B3CC3A13FF}"/>
    <hyperlink ref="B46" location="'東白川郡塙町'!a1" display="東白川郡塙町" xr:uid="{E1564336-71F1-4CC5-A901-1BBAF6C41B45}"/>
    <hyperlink ref="B47" location="'東白川郡鮫川村'!a1" display="東白川郡鮫川村" xr:uid="{B4D408BA-1894-48E1-B859-6D34880E9A66}"/>
    <hyperlink ref="B48" location="'石川郡石川町'!a1" display="石川郡石川町" xr:uid="{27C7FB62-9A7A-4357-9CD5-F530A842C66F}"/>
    <hyperlink ref="B49" location="'石川郡玉川村'!a1" display="石川郡玉川村" xr:uid="{6B6E7CB0-E2CD-42E8-9A57-8B39CE20D77F}"/>
    <hyperlink ref="B50" location="'石川郡平田村'!a1" display="石川郡平田村" xr:uid="{A41B6660-DEF0-4ECC-AA88-1272A77501EC}"/>
    <hyperlink ref="B51" location="'石川郡浅川町'!a1" display="石川郡浅川町" xr:uid="{180455AE-CAD4-49C4-B776-FD1E50C42716}"/>
    <hyperlink ref="B52" location="'石川郡古殿町'!a1" display="石川郡古殿町" xr:uid="{E254491D-A379-463C-BA8C-FC673E18837C}"/>
    <hyperlink ref="B53" location="'田村郡三春町'!a1" display="田村郡三春町" xr:uid="{61B9FA9C-8A01-4052-B2FA-18362A9C74B7}"/>
    <hyperlink ref="B54" location="'田村郡小野町'!a1" display="田村郡小野町" xr:uid="{C4B2DC7E-BE43-4536-BB20-30E8AD2721A9}"/>
    <hyperlink ref="B55" location="'双葉郡広野町'!a1" display="双葉郡広野町" xr:uid="{52CDB4E3-405A-45E5-8188-8E8E8E5BE86F}"/>
    <hyperlink ref="B56" location="'双葉郡楢葉町'!a1" display="双葉郡楢葉町" xr:uid="{B5BF49FA-2BE0-47BC-94E9-2890A6D2A42F}"/>
    <hyperlink ref="B57" location="'双葉郡富岡町'!a1" display="双葉郡富岡町" xr:uid="{89DBA8BD-B28D-44A3-AB87-B6326A473445}"/>
    <hyperlink ref="B58" location="'双葉郡川内村'!a1" display="双葉郡川内村" xr:uid="{291B0DF2-05EB-48C0-992A-7060483678CB}"/>
    <hyperlink ref="B59" location="'双葉郡大熊町'!a1" display="双葉郡大熊町" xr:uid="{A421DBAF-A0CE-4CE8-81FA-8CEFAB061E76}"/>
    <hyperlink ref="B60" location="'双葉郡双葉町'!a1" display="双葉郡双葉町" xr:uid="{6E6719CB-92A6-4ACA-9D06-E9341314CCF0}"/>
    <hyperlink ref="B61" location="'双葉郡浪江町'!a1" display="双葉郡浪江町" xr:uid="{31E16636-D2CC-43E3-9311-7B0AC10943B2}"/>
    <hyperlink ref="B62" location="'双葉郡葛尾村'!a1" display="双葉郡葛尾村" xr:uid="{0259B95A-EF97-4637-B7A6-473ABD05989C}"/>
    <hyperlink ref="B63" location="'相馬郡新地町'!a1" display="相馬郡新地町" xr:uid="{AC3ED27E-3B2D-48A6-8F4B-9B43AE2679C3}"/>
    <hyperlink ref="B64" location="'相馬郡飯舘村'!a1" display="相馬郡飯舘村" xr:uid="{D663D22F-CCDE-4B1A-81FC-F407674B581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67C1-E12C-4AA8-867A-9ABB3CD5805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2</v>
      </c>
      <c r="D5" s="8">
        <v>0.13</v>
      </c>
      <c r="E5" s="12">
        <v>1</v>
      </c>
      <c r="F5" s="8">
        <v>0.11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61</v>
      </c>
      <c r="C6" s="12">
        <v>186</v>
      </c>
      <c r="D6" s="8">
        <v>11.77</v>
      </c>
      <c r="E6" s="12">
        <v>65</v>
      </c>
      <c r="F6" s="8">
        <v>7.3</v>
      </c>
      <c r="G6" s="12">
        <v>121</v>
      </c>
      <c r="H6" s="8">
        <v>18.309999999999999</v>
      </c>
      <c r="I6" s="12">
        <v>0</v>
      </c>
    </row>
    <row r="7" spans="2:9" ht="15" customHeight="1" x14ac:dyDescent="0.2">
      <c r="B7" t="s">
        <v>62</v>
      </c>
      <c r="C7" s="12">
        <v>136</v>
      </c>
      <c r="D7" s="8">
        <v>8.61</v>
      </c>
      <c r="E7" s="12">
        <v>61</v>
      </c>
      <c r="F7" s="8">
        <v>6.85</v>
      </c>
      <c r="G7" s="12">
        <v>75</v>
      </c>
      <c r="H7" s="8">
        <v>11.35</v>
      </c>
      <c r="I7" s="12">
        <v>0</v>
      </c>
    </row>
    <row r="8" spans="2:9" ht="15" customHeight="1" x14ac:dyDescent="0.2">
      <c r="B8" t="s">
        <v>63</v>
      </c>
      <c r="C8" s="12">
        <v>2</v>
      </c>
      <c r="D8" s="8">
        <v>0.13</v>
      </c>
      <c r="E8" s="12">
        <v>0</v>
      </c>
      <c r="F8" s="8">
        <v>0</v>
      </c>
      <c r="G8" s="12">
        <v>2</v>
      </c>
      <c r="H8" s="8">
        <v>0.3</v>
      </c>
      <c r="I8" s="12">
        <v>0</v>
      </c>
    </row>
    <row r="9" spans="2:9" ht="15" customHeight="1" x14ac:dyDescent="0.2">
      <c r="B9" t="s">
        <v>64</v>
      </c>
      <c r="C9" s="12">
        <v>8</v>
      </c>
      <c r="D9" s="8">
        <v>0.51</v>
      </c>
      <c r="E9" s="12">
        <v>0</v>
      </c>
      <c r="F9" s="8">
        <v>0</v>
      </c>
      <c r="G9" s="12">
        <v>8</v>
      </c>
      <c r="H9" s="8">
        <v>1.21</v>
      </c>
      <c r="I9" s="12">
        <v>0</v>
      </c>
    </row>
    <row r="10" spans="2:9" ht="15" customHeight="1" x14ac:dyDescent="0.2">
      <c r="B10" t="s">
        <v>65</v>
      </c>
      <c r="C10" s="12">
        <v>12</v>
      </c>
      <c r="D10" s="8">
        <v>0.76</v>
      </c>
      <c r="E10" s="12">
        <v>1</v>
      </c>
      <c r="F10" s="8">
        <v>0.11</v>
      </c>
      <c r="G10" s="12">
        <v>11</v>
      </c>
      <c r="H10" s="8">
        <v>1.66</v>
      </c>
      <c r="I10" s="12">
        <v>0</v>
      </c>
    </row>
    <row r="11" spans="2:9" ht="15" customHeight="1" x14ac:dyDescent="0.2">
      <c r="B11" t="s">
        <v>66</v>
      </c>
      <c r="C11" s="12">
        <v>378</v>
      </c>
      <c r="D11" s="8">
        <v>23.92</v>
      </c>
      <c r="E11" s="12">
        <v>197</v>
      </c>
      <c r="F11" s="8">
        <v>22.13</v>
      </c>
      <c r="G11" s="12">
        <v>177</v>
      </c>
      <c r="H11" s="8">
        <v>26.78</v>
      </c>
      <c r="I11" s="12">
        <v>4</v>
      </c>
    </row>
    <row r="12" spans="2:9" ht="15" customHeight="1" x14ac:dyDescent="0.2">
      <c r="B12" t="s">
        <v>67</v>
      </c>
      <c r="C12" s="12">
        <v>12</v>
      </c>
      <c r="D12" s="8">
        <v>0.76</v>
      </c>
      <c r="E12" s="12">
        <v>5</v>
      </c>
      <c r="F12" s="8">
        <v>0.56000000000000005</v>
      </c>
      <c r="G12" s="12">
        <v>7</v>
      </c>
      <c r="H12" s="8">
        <v>1.06</v>
      </c>
      <c r="I12" s="12">
        <v>0</v>
      </c>
    </row>
    <row r="13" spans="2:9" ht="15" customHeight="1" x14ac:dyDescent="0.2">
      <c r="B13" t="s">
        <v>68</v>
      </c>
      <c r="C13" s="12">
        <v>120</v>
      </c>
      <c r="D13" s="8">
        <v>7.59</v>
      </c>
      <c r="E13" s="12">
        <v>43</v>
      </c>
      <c r="F13" s="8">
        <v>4.83</v>
      </c>
      <c r="G13" s="12">
        <v>77</v>
      </c>
      <c r="H13" s="8">
        <v>11.65</v>
      </c>
      <c r="I13" s="12">
        <v>0</v>
      </c>
    </row>
    <row r="14" spans="2:9" ht="15" customHeight="1" x14ac:dyDescent="0.2">
      <c r="B14" t="s">
        <v>69</v>
      </c>
      <c r="C14" s="12">
        <v>74</v>
      </c>
      <c r="D14" s="8">
        <v>4.68</v>
      </c>
      <c r="E14" s="12">
        <v>46</v>
      </c>
      <c r="F14" s="8">
        <v>5.17</v>
      </c>
      <c r="G14" s="12">
        <v>28</v>
      </c>
      <c r="H14" s="8">
        <v>4.24</v>
      </c>
      <c r="I14" s="12">
        <v>0</v>
      </c>
    </row>
    <row r="15" spans="2:9" ht="15" customHeight="1" x14ac:dyDescent="0.2">
      <c r="B15" t="s">
        <v>70</v>
      </c>
      <c r="C15" s="12">
        <v>229</v>
      </c>
      <c r="D15" s="8">
        <v>14.49</v>
      </c>
      <c r="E15" s="12">
        <v>166</v>
      </c>
      <c r="F15" s="8">
        <v>18.649999999999999</v>
      </c>
      <c r="G15" s="12">
        <v>62</v>
      </c>
      <c r="H15" s="8">
        <v>9.3800000000000008</v>
      </c>
      <c r="I15" s="12">
        <v>1</v>
      </c>
    </row>
    <row r="16" spans="2:9" ht="15" customHeight="1" x14ac:dyDescent="0.2">
      <c r="B16" t="s">
        <v>71</v>
      </c>
      <c r="C16" s="12">
        <v>219</v>
      </c>
      <c r="D16" s="8">
        <v>13.86</v>
      </c>
      <c r="E16" s="12">
        <v>176</v>
      </c>
      <c r="F16" s="8">
        <v>19.78</v>
      </c>
      <c r="G16" s="12">
        <v>38</v>
      </c>
      <c r="H16" s="8">
        <v>5.75</v>
      </c>
      <c r="I16" s="12">
        <v>5</v>
      </c>
    </row>
    <row r="17" spans="2:9" ht="15" customHeight="1" x14ac:dyDescent="0.2">
      <c r="B17" t="s">
        <v>72</v>
      </c>
      <c r="C17" s="12">
        <v>71</v>
      </c>
      <c r="D17" s="8">
        <v>4.49</v>
      </c>
      <c r="E17" s="12">
        <v>49</v>
      </c>
      <c r="F17" s="8">
        <v>5.51</v>
      </c>
      <c r="G17" s="12">
        <v>16</v>
      </c>
      <c r="H17" s="8">
        <v>2.42</v>
      </c>
      <c r="I17" s="12">
        <v>0</v>
      </c>
    </row>
    <row r="18" spans="2:9" ht="15" customHeight="1" x14ac:dyDescent="0.2">
      <c r="B18" t="s">
        <v>73</v>
      </c>
      <c r="C18" s="12">
        <v>78</v>
      </c>
      <c r="D18" s="8">
        <v>4.9400000000000004</v>
      </c>
      <c r="E18" s="12">
        <v>54</v>
      </c>
      <c r="F18" s="8">
        <v>6.07</v>
      </c>
      <c r="G18" s="12">
        <v>14</v>
      </c>
      <c r="H18" s="8">
        <v>2.12</v>
      </c>
      <c r="I18" s="12">
        <v>0</v>
      </c>
    </row>
    <row r="19" spans="2:9" ht="15" customHeight="1" x14ac:dyDescent="0.2">
      <c r="B19" t="s">
        <v>74</v>
      </c>
      <c r="C19" s="12">
        <v>53</v>
      </c>
      <c r="D19" s="8">
        <v>3.35</v>
      </c>
      <c r="E19" s="12">
        <v>26</v>
      </c>
      <c r="F19" s="8">
        <v>2.92</v>
      </c>
      <c r="G19" s="12">
        <v>24</v>
      </c>
      <c r="H19" s="8">
        <v>3.63</v>
      </c>
      <c r="I19" s="12">
        <v>2</v>
      </c>
    </row>
    <row r="20" spans="2:9" ht="15" customHeight="1" x14ac:dyDescent="0.2">
      <c r="B20" s="9" t="s">
        <v>337</v>
      </c>
      <c r="C20" s="12">
        <f>SUM(LTBL_07205[総数／事業所数])</f>
        <v>1580</v>
      </c>
      <c r="E20" s="12">
        <f>SUBTOTAL(109,LTBL_07205[個人／事業所数])</f>
        <v>890</v>
      </c>
      <c r="G20" s="12">
        <f>SUBTOTAL(109,LTBL_07205[法人／事業所数])</f>
        <v>661</v>
      </c>
      <c r="I20" s="12">
        <f>SUBTOTAL(109,LTBL_07205[法人以外の団体／事業所数])</f>
        <v>12</v>
      </c>
    </row>
    <row r="21" spans="2:9" ht="15" customHeight="1" x14ac:dyDescent="0.2">
      <c r="E21" s="11">
        <f>LTBL_07205[[#Totals],[個人／事業所数]]/LTBL_07205[[#Totals],[総数／事業所数]]</f>
        <v>0.56329113924050633</v>
      </c>
      <c r="G21" s="11">
        <f>LTBL_07205[[#Totals],[法人／事業所数]]/LTBL_07205[[#Totals],[総数／事業所数]]</f>
        <v>0.41835443037974684</v>
      </c>
      <c r="I21" s="11">
        <f>LTBL_07205[[#Totals],[法人以外の団体／事業所数]]/LTBL_07205[[#Totals],[総数／事業所数]]</f>
        <v>7.5949367088607592E-3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189</v>
      </c>
      <c r="D24" s="8">
        <v>11.96</v>
      </c>
      <c r="E24" s="12">
        <v>166</v>
      </c>
      <c r="F24" s="8">
        <v>18.649999999999999</v>
      </c>
      <c r="G24" s="12">
        <v>23</v>
      </c>
      <c r="H24" s="8">
        <v>3.48</v>
      </c>
      <c r="I24" s="12">
        <v>0</v>
      </c>
    </row>
    <row r="25" spans="2:9" ht="15" customHeight="1" x14ac:dyDescent="0.2">
      <c r="B25" t="s">
        <v>96</v>
      </c>
      <c r="C25" s="12">
        <v>183</v>
      </c>
      <c r="D25" s="8">
        <v>11.58</v>
      </c>
      <c r="E25" s="12">
        <v>157</v>
      </c>
      <c r="F25" s="8">
        <v>17.64</v>
      </c>
      <c r="G25" s="12">
        <v>26</v>
      </c>
      <c r="H25" s="8">
        <v>3.93</v>
      </c>
      <c r="I25" s="12">
        <v>0</v>
      </c>
    </row>
    <row r="26" spans="2:9" ht="15" customHeight="1" x14ac:dyDescent="0.2">
      <c r="B26" t="s">
        <v>91</v>
      </c>
      <c r="C26" s="12">
        <v>145</v>
      </c>
      <c r="D26" s="8">
        <v>9.18</v>
      </c>
      <c r="E26" s="12">
        <v>81</v>
      </c>
      <c r="F26" s="8">
        <v>9.1</v>
      </c>
      <c r="G26" s="12">
        <v>63</v>
      </c>
      <c r="H26" s="8">
        <v>9.5299999999999994</v>
      </c>
      <c r="I26" s="12">
        <v>1</v>
      </c>
    </row>
    <row r="27" spans="2:9" ht="15" customHeight="1" x14ac:dyDescent="0.2">
      <c r="B27" t="s">
        <v>92</v>
      </c>
      <c r="C27" s="12">
        <v>98</v>
      </c>
      <c r="D27" s="8">
        <v>6.2</v>
      </c>
      <c r="E27" s="12">
        <v>39</v>
      </c>
      <c r="F27" s="8">
        <v>4.38</v>
      </c>
      <c r="G27" s="12">
        <v>59</v>
      </c>
      <c r="H27" s="8">
        <v>8.93</v>
      </c>
      <c r="I27" s="12">
        <v>0</v>
      </c>
    </row>
    <row r="28" spans="2:9" ht="15" customHeight="1" x14ac:dyDescent="0.2">
      <c r="B28" t="s">
        <v>83</v>
      </c>
      <c r="C28" s="12">
        <v>89</v>
      </c>
      <c r="D28" s="8">
        <v>5.63</v>
      </c>
      <c r="E28" s="12">
        <v>25</v>
      </c>
      <c r="F28" s="8">
        <v>2.81</v>
      </c>
      <c r="G28" s="12">
        <v>64</v>
      </c>
      <c r="H28" s="8">
        <v>9.68</v>
      </c>
      <c r="I28" s="12">
        <v>0</v>
      </c>
    </row>
    <row r="29" spans="2:9" ht="15" customHeight="1" x14ac:dyDescent="0.2">
      <c r="B29" t="s">
        <v>89</v>
      </c>
      <c r="C29" s="12">
        <v>80</v>
      </c>
      <c r="D29" s="8">
        <v>5.0599999999999996</v>
      </c>
      <c r="E29" s="12">
        <v>58</v>
      </c>
      <c r="F29" s="8">
        <v>6.52</v>
      </c>
      <c r="G29" s="12">
        <v>19</v>
      </c>
      <c r="H29" s="8">
        <v>2.87</v>
      </c>
      <c r="I29" s="12">
        <v>3</v>
      </c>
    </row>
    <row r="30" spans="2:9" ht="15" customHeight="1" x14ac:dyDescent="0.2">
      <c r="B30" t="s">
        <v>99</v>
      </c>
      <c r="C30" s="12">
        <v>71</v>
      </c>
      <c r="D30" s="8">
        <v>4.49</v>
      </c>
      <c r="E30" s="12">
        <v>49</v>
      </c>
      <c r="F30" s="8">
        <v>5.51</v>
      </c>
      <c r="G30" s="12">
        <v>16</v>
      </c>
      <c r="H30" s="8">
        <v>2.42</v>
      </c>
      <c r="I30" s="12">
        <v>0</v>
      </c>
    </row>
    <row r="31" spans="2:9" ht="15" customHeight="1" x14ac:dyDescent="0.2">
      <c r="B31" t="s">
        <v>100</v>
      </c>
      <c r="C31" s="12">
        <v>55</v>
      </c>
      <c r="D31" s="8">
        <v>3.48</v>
      </c>
      <c r="E31" s="12">
        <v>52</v>
      </c>
      <c r="F31" s="8">
        <v>5.84</v>
      </c>
      <c r="G31" s="12">
        <v>3</v>
      </c>
      <c r="H31" s="8">
        <v>0.45</v>
      </c>
      <c r="I31" s="12">
        <v>0</v>
      </c>
    </row>
    <row r="32" spans="2:9" ht="15" customHeight="1" x14ac:dyDescent="0.2">
      <c r="B32" t="s">
        <v>84</v>
      </c>
      <c r="C32" s="12">
        <v>50</v>
      </c>
      <c r="D32" s="8">
        <v>3.16</v>
      </c>
      <c r="E32" s="12">
        <v>26</v>
      </c>
      <c r="F32" s="8">
        <v>2.92</v>
      </c>
      <c r="G32" s="12">
        <v>24</v>
      </c>
      <c r="H32" s="8">
        <v>3.63</v>
      </c>
      <c r="I32" s="12">
        <v>0</v>
      </c>
    </row>
    <row r="33" spans="2:9" ht="15" customHeight="1" x14ac:dyDescent="0.2">
      <c r="B33" t="s">
        <v>85</v>
      </c>
      <c r="C33" s="12">
        <v>47</v>
      </c>
      <c r="D33" s="8">
        <v>2.97</v>
      </c>
      <c r="E33" s="12">
        <v>14</v>
      </c>
      <c r="F33" s="8">
        <v>1.57</v>
      </c>
      <c r="G33" s="12">
        <v>33</v>
      </c>
      <c r="H33" s="8">
        <v>4.99</v>
      </c>
      <c r="I33" s="12">
        <v>0</v>
      </c>
    </row>
    <row r="34" spans="2:9" ht="15" customHeight="1" x14ac:dyDescent="0.2">
      <c r="B34" t="s">
        <v>90</v>
      </c>
      <c r="C34" s="12">
        <v>43</v>
      </c>
      <c r="D34" s="8">
        <v>2.72</v>
      </c>
      <c r="E34" s="12">
        <v>18</v>
      </c>
      <c r="F34" s="8">
        <v>2.02</v>
      </c>
      <c r="G34" s="12">
        <v>25</v>
      </c>
      <c r="H34" s="8">
        <v>3.78</v>
      </c>
      <c r="I34" s="12">
        <v>0</v>
      </c>
    </row>
    <row r="35" spans="2:9" ht="15" customHeight="1" x14ac:dyDescent="0.2">
      <c r="B35" t="s">
        <v>93</v>
      </c>
      <c r="C35" s="12">
        <v>36</v>
      </c>
      <c r="D35" s="8">
        <v>2.2799999999999998</v>
      </c>
      <c r="E35" s="12">
        <v>29</v>
      </c>
      <c r="F35" s="8">
        <v>3.26</v>
      </c>
      <c r="G35" s="12">
        <v>7</v>
      </c>
      <c r="H35" s="8">
        <v>1.06</v>
      </c>
      <c r="I35" s="12">
        <v>0</v>
      </c>
    </row>
    <row r="36" spans="2:9" ht="15" customHeight="1" x14ac:dyDescent="0.2">
      <c r="B36" t="s">
        <v>94</v>
      </c>
      <c r="C36" s="12">
        <v>36</v>
      </c>
      <c r="D36" s="8">
        <v>2.2799999999999998</v>
      </c>
      <c r="E36" s="12">
        <v>17</v>
      </c>
      <c r="F36" s="8">
        <v>1.91</v>
      </c>
      <c r="G36" s="12">
        <v>19</v>
      </c>
      <c r="H36" s="8">
        <v>2.87</v>
      </c>
      <c r="I36" s="12">
        <v>0</v>
      </c>
    </row>
    <row r="37" spans="2:9" ht="15" customHeight="1" x14ac:dyDescent="0.2">
      <c r="B37" t="s">
        <v>88</v>
      </c>
      <c r="C37" s="12">
        <v>33</v>
      </c>
      <c r="D37" s="8">
        <v>2.09</v>
      </c>
      <c r="E37" s="12">
        <v>26</v>
      </c>
      <c r="F37" s="8">
        <v>2.92</v>
      </c>
      <c r="G37" s="12">
        <v>7</v>
      </c>
      <c r="H37" s="8">
        <v>1.06</v>
      </c>
      <c r="I37" s="12">
        <v>0</v>
      </c>
    </row>
    <row r="38" spans="2:9" ht="15" customHeight="1" x14ac:dyDescent="0.2">
      <c r="B38" t="s">
        <v>113</v>
      </c>
      <c r="C38" s="12">
        <v>28</v>
      </c>
      <c r="D38" s="8">
        <v>1.77</v>
      </c>
      <c r="E38" s="12">
        <v>1</v>
      </c>
      <c r="F38" s="8">
        <v>0.11</v>
      </c>
      <c r="G38" s="12">
        <v>27</v>
      </c>
      <c r="H38" s="8">
        <v>4.08</v>
      </c>
      <c r="I38" s="12">
        <v>0</v>
      </c>
    </row>
    <row r="39" spans="2:9" ht="15" customHeight="1" x14ac:dyDescent="0.2">
      <c r="B39" t="s">
        <v>111</v>
      </c>
      <c r="C39" s="12">
        <v>25</v>
      </c>
      <c r="D39" s="8">
        <v>1.58</v>
      </c>
      <c r="E39" s="12">
        <v>14</v>
      </c>
      <c r="F39" s="8">
        <v>1.57</v>
      </c>
      <c r="G39" s="12">
        <v>11</v>
      </c>
      <c r="H39" s="8">
        <v>1.66</v>
      </c>
      <c r="I39" s="12">
        <v>0</v>
      </c>
    </row>
    <row r="40" spans="2:9" ht="15" customHeight="1" x14ac:dyDescent="0.2">
      <c r="B40" t="s">
        <v>107</v>
      </c>
      <c r="C40" s="12">
        <v>23</v>
      </c>
      <c r="D40" s="8">
        <v>1.46</v>
      </c>
      <c r="E40" s="12">
        <v>5</v>
      </c>
      <c r="F40" s="8">
        <v>0.56000000000000005</v>
      </c>
      <c r="G40" s="12">
        <v>18</v>
      </c>
      <c r="H40" s="8">
        <v>2.72</v>
      </c>
      <c r="I40" s="12">
        <v>0</v>
      </c>
    </row>
    <row r="41" spans="2:9" ht="15" customHeight="1" x14ac:dyDescent="0.2">
      <c r="B41" t="s">
        <v>101</v>
      </c>
      <c r="C41" s="12">
        <v>23</v>
      </c>
      <c r="D41" s="8">
        <v>1.46</v>
      </c>
      <c r="E41" s="12">
        <v>2</v>
      </c>
      <c r="F41" s="8">
        <v>0.22</v>
      </c>
      <c r="G41" s="12">
        <v>11</v>
      </c>
      <c r="H41" s="8">
        <v>1.66</v>
      </c>
      <c r="I41" s="12">
        <v>0</v>
      </c>
    </row>
    <row r="42" spans="2:9" ht="15" customHeight="1" x14ac:dyDescent="0.2">
      <c r="B42" t="s">
        <v>110</v>
      </c>
      <c r="C42" s="12">
        <v>19</v>
      </c>
      <c r="D42" s="8">
        <v>1.2</v>
      </c>
      <c r="E42" s="12">
        <v>9</v>
      </c>
      <c r="F42" s="8">
        <v>1.01</v>
      </c>
      <c r="G42" s="12">
        <v>10</v>
      </c>
      <c r="H42" s="8">
        <v>1.51</v>
      </c>
      <c r="I42" s="12">
        <v>0</v>
      </c>
    </row>
    <row r="43" spans="2:9" ht="15" customHeight="1" x14ac:dyDescent="0.2">
      <c r="B43" t="s">
        <v>112</v>
      </c>
      <c r="C43" s="12">
        <v>19</v>
      </c>
      <c r="D43" s="8">
        <v>1.2</v>
      </c>
      <c r="E43" s="12">
        <v>7</v>
      </c>
      <c r="F43" s="8">
        <v>0.79</v>
      </c>
      <c r="G43" s="12">
        <v>12</v>
      </c>
      <c r="H43" s="8">
        <v>1.82</v>
      </c>
      <c r="I43" s="12">
        <v>0</v>
      </c>
    </row>
    <row r="44" spans="2:9" ht="15" customHeight="1" x14ac:dyDescent="0.2">
      <c r="B44" t="s">
        <v>102</v>
      </c>
      <c r="C44" s="12">
        <v>19</v>
      </c>
      <c r="D44" s="8">
        <v>1.2</v>
      </c>
      <c r="E44" s="12">
        <v>17</v>
      </c>
      <c r="F44" s="8">
        <v>1.91</v>
      </c>
      <c r="G44" s="12">
        <v>2</v>
      </c>
      <c r="H44" s="8">
        <v>0.3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174</v>
      </c>
      <c r="C48" s="12">
        <v>89</v>
      </c>
      <c r="D48" s="8">
        <v>5.63</v>
      </c>
      <c r="E48" s="12">
        <v>83</v>
      </c>
      <c r="F48" s="8">
        <v>9.33</v>
      </c>
      <c r="G48" s="12">
        <v>6</v>
      </c>
      <c r="H48" s="8">
        <v>0.91</v>
      </c>
      <c r="I48" s="12">
        <v>0</v>
      </c>
    </row>
    <row r="49" spans="2:9" ht="15" customHeight="1" x14ac:dyDescent="0.2">
      <c r="B49" t="s">
        <v>170</v>
      </c>
      <c r="C49" s="12">
        <v>73</v>
      </c>
      <c r="D49" s="8">
        <v>4.62</v>
      </c>
      <c r="E49" s="12">
        <v>62</v>
      </c>
      <c r="F49" s="8">
        <v>6.97</v>
      </c>
      <c r="G49" s="12">
        <v>11</v>
      </c>
      <c r="H49" s="8">
        <v>1.66</v>
      </c>
      <c r="I49" s="12">
        <v>0</v>
      </c>
    </row>
    <row r="50" spans="2:9" ht="15" customHeight="1" x14ac:dyDescent="0.2">
      <c r="B50" t="s">
        <v>173</v>
      </c>
      <c r="C50" s="12">
        <v>73</v>
      </c>
      <c r="D50" s="8">
        <v>4.62</v>
      </c>
      <c r="E50" s="12">
        <v>70</v>
      </c>
      <c r="F50" s="8">
        <v>7.87</v>
      </c>
      <c r="G50" s="12">
        <v>3</v>
      </c>
      <c r="H50" s="8">
        <v>0.45</v>
      </c>
      <c r="I50" s="12">
        <v>0</v>
      </c>
    </row>
    <row r="51" spans="2:9" ht="15" customHeight="1" x14ac:dyDescent="0.2">
      <c r="B51" t="s">
        <v>168</v>
      </c>
      <c r="C51" s="12">
        <v>57</v>
      </c>
      <c r="D51" s="8">
        <v>3.61</v>
      </c>
      <c r="E51" s="12">
        <v>26</v>
      </c>
      <c r="F51" s="8">
        <v>2.92</v>
      </c>
      <c r="G51" s="12">
        <v>31</v>
      </c>
      <c r="H51" s="8">
        <v>4.6900000000000004</v>
      </c>
      <c r="I51" s="12">
        <v>0</v>
      </c>
    </row>
    <row r="52" spans="2:9" ht="15" customHeight="1" x14ac:dyDescent="0.2">
      <c r="B52" t="s">
        <v>166</v>
      </c>
      <c r="C52" s="12">
        <v>46</v>
      </c>
      <c r="D52" s="8">
        <v>2.91</v>
      </c>
      <c r="E52" s="12">
        <v>31</v>
      </c>
      <c r="F52" s="8">
        <v>3.48</v>
      </c>
      <c r="G52" s="12">
        <v>15</v>
      </c>
      <c r="H52" s="8">
        <v>2.27</v>
      </c>
      <c r="I52" s="12">
        <v>0</v>
      </c>
    </row>
    <row r="53" spans="2:9" ht="15" customHeight="1" x14ac:dyDescent="0.2">
      <c r="B53" t="s">
        <v>175</v>
      </c>
      <c r="C53" s="12">
        <v>43</v>
      </c>
      <c r="D53" s="8">
        <v>2.72</v>
      </c>
      <c r="E53" s="12">
        <v>39</v>
      </c>
      <c r="F53" s="8">
        <v>4.38</v>
      </c>
      <c r="G53" s="12">
        <v>4</v>
      </c>
      <c r="H53" s="8">
        <v>0.61</v>
      </c>
      <c r="I53" s="12">
        <v>0</v>
      </c>
    </row>
    <row r="54" spans="2:9" ht="15" customHeight="1" x14ac:dyDescent="0.2">
      <c r="B54" t="s">
        <v>176</v>
      </c>
      <c r="C54" s="12">
        <v>40</v>
      </c>
      <c r="D54" s="8">
        <v>2.5299999999999998</v>
      </c>
      <c r="E54" s="12">
        <v>37</v>
      </c>
      <c r="F54" s="8">
        <v>4.16</v>
      </c>
      <c r="G54" s="12">
        <v>3</v>
      </c>
      <c r="H54" s="8">
        <v>0.45</v>
      </c>
      <c r="I54" s="12">
        <v>0</v>
      </c>
    </row>
    <row r="55" spans="2:9" ht="15" customHeight="1" x14ac:dyDescent="0.2">
      <c r="B55" t="s">
        <v>172</v>
      </c>
      <c r="C55" s="12">
        <v>35</v>
      </c>
      <c r="D55" s="8">
        <v>2.2200000000000002</v>
      </c>
      <c r="E55" s="12">
        <v>32</v>
      </c>
      <c r="F55" s="8">
        <v>3.6</v>
      </c>
      <c r="G55" s="12">
        <v>3</v>
      </c>
      <c r="H55" s="8">
        <v>0.45</v>
      </c>
      <c r="I55" s="12">
        <v>0</v>
      </c>
    </row>
    <row r="56" spans="2:9" ht="15" customHeight="1" x14ac:dyDescent="0.2">
      <c r="B56" t="s">
        <v>171</v>
      </c>
      <c r="C56" s="12">
        <v>31</v>
      </c>
      <c r="D56" s="8">
        <v>1.96</v>
      </c>
      <c r="E56" s="12">
        <v>25</v>
      </c>
      <c r="F56" s="8">
        <v>2.81</v>
      </c>
      <c r="G56" s="12">
        <v>6</v>
      </c>
      <c r="H56" s="8">
        <v>0.91</v>
      </c>
      <c r="I56" s="12">
        <v>0</v>
      </c>
    </row>
    <row r="57" spans="2:9" ht="15" customHeight="1" x14ac:dyDescent="0.2">
      <c r="B57" t="s">
        <v>158</v>
      </c>
      <c r="C57" s="12">
        <v>29</v>
      </c>
      <c r="D57" s="8">
        <v>1.84</v>
      </c>
      <c r="E57" s="12">
        <v>6</v>
      </c>
      <c r="F57" s="8">
        <v>0.67</v>
      </c>
      <c r="G57" s="12">
        <v>23</v>
      </c>
      <c r="H57" s="8">
        <v>3.48</v>
      </c>
      <c r="I57" s="12">
        <v>0</v>
      </c>
    </row>
    <row r="58" spans="2:9" ht="15" customHeight="1" x14ac:dyDescent="0.2">
      <c r="B58" t="s">
        <v>165</v>
      </c>
      <c r="C58" s="12">
        <v>28</v>
      </c>
      <c r="D58" s="8">
        <v>1.77</v>
      </c>
      <c r="E58" s="12">
        <v>12</v>
      </c>
      <c r="F58" s="8">
        <v>1.35</v>
      </c>
      <c r="G58" s="12">
        <v>16</v>
      </c>
      <c r="H58" s="8">
        <v>2.42</v>
      </c>
      <c r="I58" s="12">
        <v>0</v>
      </c>
    </row>
    <row r="59" spans="2:9" ht="15" customHeight="1" x14ac:dyDescent="0.2">
      <c r="B59" t="s">
        <v>159</v>
      </c>
      <c r="C59" s="12">
        <v>27</v>
      </c>
      <c r="D59" s="8">
        <v>1.71</v>
      </c>
      <c r="E59" s="12">
        <v>8</v>
      </c>
      <c r="F59" s="8">
        <v>0.9</v>
      </c>
      <c r="G59" s="12">
        <v>19</v>
      </c>
      <c r="H59" s="8">
        <v>2.87</v>
      </c>
      <c r="I59" s="12">
        <v>0</v>
      </c>
    </row>
    <row r="60" spans="2:9" ht="15" customHeight="1" x14ac:dyDescent="0.2">
      <c r="B60" t="s">
        <v>164</v>
      </c>
      <c r="C60" s="12">
        <v>27</v>
      </c>
      <c r="D60" s="8">
        <v>1.71</v>
      </c>
      <c r="E60" s="12">
        <v>9</v>
      </c>
      <c r="F60" s="8">
        <v>1.01</v>
      </c>
      <c r="G60" s="12">
        <v>18</v>
      </c>
      <c r="H60" s="8">
        <v>2.72</v>
      </c>
      <c r="I60" s="12">
        <v>0</v>
      </c>
    </row>
    <row r="61" spans="2:9" ht="15" customHeight="1" x14ac:dyDescent="0.2">
      <c r="B61" t="s">
        <v>186</v>
      </c>
      <c r="C61" s="12">
        <v>27</v>
      </c>
      <c r="D61" s="8">
        <v>1.71</v>
      </c>
      <c r="E61" s="12">
        <v>1</v>
      </c>
      <c r="F61" s="8">
        <v>0.11</v>
      </c>
      <c r="G61" s="12">
        <v>26</v>
      </c>
      <c r="H61" s="8">
        <v>3.93</v>
      </c>
      <c r="I61" s="12">
        <v>0</v>
      </c>
    </row>
    <row r="62" spans="2:9" ht="15" customHeight="1" x14ac:dyDescent="0.2">
      <c r="B62" t="s">
        <v>160</v>
      </c>
      <c r="C62" s="12">
        <v>25</v>
      </c>
      <c r="D62" s="8">
        <v>1.58</v>
      </c>
      <c r="E62" s="12">
        <v>9</v>
      </c>
      <c r="F62" s="8">
        <v>1.01</v>
      </c>
      <c r="G62" s="12">
        <v>16</v>
      </c>
      <c r="H62" s="8">
        <v>2.42</v>
      </c>
      <c r="I62" s="12">
        <v>0</v>
      </c>
    </row>
    <row r="63" spans="2:9" ht="15" customHeight="1" x14ac:dyDescent="0.2">
      <c r="B63" t="s">
        <v>163</v>
      </c>
      <c r="C63" s="12">
        <v>25</v>
      </c>
      <c r="D63" s="8">
        <v>1.58</v>
      </c>
      <c r="E63" s="12">
        <v>17</v>
      </c>
      <c r="F63" s="8">
        <v>1.91</v>
      </c>
      <c r="G63" s="12">
        <v>6</v>
      </c>
      <c r="H63" s="8">
        <v>0.91</v>
      </c>
      <c r="I63" s="12">
        <v>2</v>
      </c>
    </row>
    <row r="64" spans="2:9" ht="15" customHeight="1" x14ac:dyDescent="0.2">
      <c r="B64" t="s">
        <v>167</v>
      </c>
      <c r="C64" s="12">
        <v>24</v>
      </c>
      <c r="D64" s="8">
        <v>1.52</v>
      </c>
      <c r="E64" s="12">
        <v>4</v>
      </c>
      <c r="F64" s="8">
        <v>0.45</v>
      </c>
      <c r="G64" s="12">
        <v>20</v>
      </c>
      <c r="H64" s="8">
        <v>3.03</v>
      </c>
      <c r="I64" s="12">
        <v>0</v>
      </c>
    </row>
    <row r="65" spans="2:9" ht="15" customHeight="1" x14ac:dyDescent="0.2">
      <c r="B65" t="s">
        <v>161</v>
      </c>
      <c r="C65" s="12">
        <v>22</v>
      </c>
      <c r="D65" s="8">
        <v>1.39</v>
      </c>
      <c r="E65" s="12">
        <v>3</v>
      </c>
      <c r="F65" s="8">
        <v>0.34</v>
      </c>
      <c r="G65" s="12">
        <v>19</v>
      </c>
      <c r="H65" s="8">
        <v>2.87</v>
      </c>
      <c r="I65" s="12">
        <v>0</v>
      </c>
    </row>
    <row r="66" spans="2:9" ht="15" customHeight="1" x14ac:dyDescent="0.2">
      <c r="B66" t="s">
        <v>178</v>
      </c>
      <c r="C66" s="12">
        <v>22</v>
      </c>
      <c r="D66" s="8">
        <v>1.39</v>
      </c>
      <c r="E66" s="12">
        <v>19</v>
      </c>
      <c r="F66" s="8">
        <v>2.13</v>
      </c>
      <c r="G66" s="12">
        <v>2</v>
      </c>
      <c r="H66" s="8">
        <v>0.3</v>
      </c>
      <c r="I66" s="12">
        <v>1</v>
      </c>
    </row>
    <row r="67" spans="2:9" ht="15" customHeight="1" x14ac:dyDescent="0.2">
      <c r="B67" t="s">
        <v>162</v>
      </c>
      <c r="C67" s="12">
        <v>21</v>
      </c>
      <c r="D67" s="8">
        <v>1.33</v>
      </c>
      <c r="E67" s="12">
        <v>10</v>
      </c>
      <c r="F67" s="8">
        <v>1.1200000000000001</v>
      </c>
      <c r="G67" s="12">
        <v>11</v>
      </c>
      <c r="H67" s="8">
        <v>1.66</v>
      </c>
      <c r="I67" s="12">
        <v>0</v>
      </c>
    </row>
    <row r="68" spans="2:9" ht="15" customHeight="1" x14ac:dyDescent="0.2">
      <c r="B68" t="s">
        <v>185</v>
      </c>
      <c r="C68" s="12">
        <v>21</v>
      </c>
      <c r="D68" s="8">
        <v>1.33</v>
      </c>
      <c r="E68" s="12">
        <v>11</v>
      </c>
      <c r="F68" s="8">
        <v>1.24</v>
      </c>
      <c r="G68" s="12">
        <v>10</v>
      </c>
      <c r="H68" s="8">
        <v>1.51</v>
      </c>
      <c r="I68" s="12">
        <v>0</v>
      </c>
    </row>
    <row r="69" spans="2:9" ht="15" customHeight="1" x14ac:dyDescent="0.2">
      <c r="B69" t="s">
        <v>169</v>
      </c>
      <c r="C69" s="12">
        <v>21</v>
      </c>
      <c r="D69" s="8">
        <v>1.33</v>
      </c>
      <c r="E69" s="12">
        <v>7</v>
      </c>
      <c r="F69" s="8">
        <v>0.79</v>
      </c>
      <c r="G69" s="12">
        <v>14</v>
      </c>
      <c r="H69" s="8">
        <v>2.12</v>
      </c>
      <c r="I69" s="12">
        <v>0</v>
      </c>
    </row>
    <row r="71" spans="2:9" ht="15" customHeight="1" x14ac:dyDescent="0.2">
      <c r="B71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D72F4-6796-465D-AA1C-D1D4BD37966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2</v>
      </c>
      <c r="D5" s="8">
        <v>0.11</v>
      </c>
      <c r="E5" s="12">
        <v>0</v>
      </c>
      <c r="F5" s="8">
        <v>0</v>
      </c>
      <c r="G5" s="12">
        <v>2</v>
      </c>
      <c r="H5" s="8">
        <v>0.24</v>
      </c>
      <c r="I5" s="12">
        <v>0</v>
      </c>
    </row>
    <row r="6" spans="2:9" ht="15" customHeight="1" x14ac:dyDescent="0.2">
      <c r="B6" t="s">
        <v>61</v>
      </c>
      <c r="C6" s="12">
        <v>288</v>
      </c>
      <c r="D6" s="8">
        <v>15.74</v>
      </c>
      <c r="E6" s="12">
        <v>117</v>
      </c>
      <c r="F6" s="8">
        <v>12.01</v>
      </c>
      <c r="G6" s="12">
        <v>171</v>
      </c>
      <c r="H6" s="8">
        <v>20.28</v>
      </c>
      <c r="I6" s="12">
        <v>0</v>
      </c>
    </row>
    <row r="7" spans="2:9" ht="15" customHeight="1" x14ac:dyDescent="0.2">
      <c r="B7" t="s">
        <v>62</v>
      </c>
      <c r="C7" s="12">
        <v>153</v>
      </c>
      <c r="D7" s="8">
        <v>8.36</v>
      </c>
      <c r="E7" s="12">
        <v>52</v>
      </c>
      <c r="F7" s="8">
        <v>5.34</v>
      </c>
      <c r="G7" s="12">
        <v>101</v>
      </c>
      <c r="H7" s="8">
        <v>11.98</v>
      </c>
      <c r="I7" s="12">
        <v>0</v>
      </c>
    </row>
    <row r="8" spans="2:9" ht="15" customHeight="1" x14ac:dyDescent="0.2">
      <c r="B8" t="s">
        <v>63</v>
      </c>
      <c r="C8" s="12">
        <v>5</v>
      </c>
      <c r="D8" s="8">
        <v>0.27</v>
      </c>
      <c r="E8" s="12">
        <v>0</v>
      </c>
      <c r="F8" s="8">
        <v>0</v>
      </c>
      <c r="G8" s="12">
        <v>5</v>
      </c>
      <c r="H8" s="8">
        <v>0.59</v>
      </c>
      <c r="I8" s="12">
        <v>0</v>
      </c>
    </row>
    <row r="9" spans="2:9" ht="15" customHeight="1" x14ac:dyDescent="0.2">
      <c r="B9" t="s">
        <v>64</v>
      </c>
      <c r="C9" s="12">
        <v>9</v>
      </c>
      <c r="D9" s="8">
        <v>0.49</v>
      </c>
      <c r="E9" s="12">
        <v>0</v>
      </c>
      <c r="F9" s="8">
        <v>0</v>
      </c>
      <c r="G9" s="12">
        <v>9</v>
      </c>
      <c r="H9" s="8">
        <v>1.07</v>
      </c>
      <c r="I9" s="12">
        <v>0</v>
      </c>
    </row>
    <row r="10" spans="2:9" ht="15" customHeight="1" x14ac:dyDescent="0.2">
      <c r="B10" t="s">
        <v>65</v>
      </c>
      <c r="C10" s="12">
        <v>18</v>
      </c>
      <c r="D10" s="8">
        <v>0.98</v>
      </c>
      <c r="E10" s="12">
        <v>2</v>
      </c>
      <c r="F10" s="8">
        <v>0.21</v>
      </c>
      <c r="G10" s="12">
        <v>15</v>
      </c>
      <c r="H10" s="8">
        <v>1.78</v>
      </c>
      <c r="I10" s="12">
        <v>1</v>
      </c>
    </row>
    <row r="11" spans="2:9" ht="15" customHeight="1" x14ac:dyDescent="0.2">
      <c r="B11" t="s">
        <v>66</v>
      </c>
      <c r="C11" s="12">
        <v>441</v>
      </c>
      <c r="D11" s="8">
        <v>24.1</v>
      </c>
      <c r="E11" s="12">
        <v>212</v>
      </c>
      <c r="F11" s="8">
        <v>21.77</v>
      </c>
      <c r="G11" s="12">
        <v>228</v>
      </c>
      <c r="H11" s="8">
        <v>27.05</v>
      </c>
      <c r="I11" s="12">
        <v>1</v>
      </c>
    </row>
    <row r="12" spans="2:9" ht="15" customHeight="1" x14ac:dyDescent="0.2">
      <c r="B12" t="s">
        <v>67</v>
      </c>
      <c r="C12" s="12">
        <v>23</v>
      </c>
      <c r="D12" s="8">
        <v>1.26</v>
      </c>
      <c r="E12" s="12">
        <v>6</v>
      </c>
      <c r="F12" s="8">
        <v>0.62</v>
      </c>
      <c r="G12" s="12">
        <v>17</v>
      </c>
      <c r="H12" s="8">
        <v>2.02</v>
      </c>
      <c r="I12" s="12">
        <v>0</v>
      </c>
    </row>
    <row r="13" spans="2:9" ht="15" customHeight="1" x14ac:dyDescent="0.2">
      <c r="B13" t="s">
        <v>68</v>
      </c>
      <c r="C13" s="12">
        <v>93</v>
      </c>
      <c r="D13" s="8">
        <v>5.08</v>
      </c>
      <c r="E13" s="12">
        <v>27</v>
      </c>
      <c r="F13" s="8">
        <v>2.77</v>
      </c>
      <c r="G13" s="12">
        <v>64</v>
      </c>
      <c r="H13" s="8">
        <v>7.59</v>
      </c>
      <c r="I13" s="12">
        <v>1</v>
      </c>
    </row>
    <row r="14" spans="2:9" ht="15" customHeight="1" x14ac:dyDescent="0.2">
      <c r="B14" t="s">
        <v>69</v>
      </c>
      <c r="C14" s="12">
        <v>65</v>
      </c>
      <c r="D14" s="8">
        <v>3.55</v>
      </c>
      <c r="E14" s="12">
        <v>39</v>
      </c>
      <c r="F14" s="8">
        <v>4</v>
      </c>
      <c r="G14" s="12">
        <v>25</v>
      </c>
      <c r="H14" s="8">
        <v>2.97</v>
      </c>
      <c r="I14" s="12">
        <v>0</v>
      </c>
    </row>
    <row r="15" spans="2:9" ht="15" customHeight="1" x14ac:dyDescent="0.2">
      <c r="B15" t="s">
        <v>70</v>
      </c>
      <c r="C15" s="12">
        <v>208</v>
      </c>
      <c r="D15" s="8">
        <v>11.37</v>
      </c>
      <c r="E15" s="12">
        <v>164</v>
      </c>
      <c r="F15" s="8">
        <v>16.84</v>
      </c>
      <c r="G15" s="12">
        <v>44</v>
      </c>
      <c r="H15" s="8">
        <v>5.22</v>
      </c>
      <c r="I15" s="12">
        <v>0</v>
      </c>
    </row>
    <row r="16" spans="2:9" ht="15" customHeight="1" x14ac:dyDescent="0.2">
      <c r="B16" t="s">
        <v>71</v>
      </c>
      <c r="C16" s="12">
        <v>243</v>
      </c>
      <c r="D16" s="8">
        <v>13.28</v>
      </c>
      <c r="E16" s="12">
        <v>181</v>
      </c>
      <c r="F16" s="8">
        <v>18.579999999999998</v>
      </c>
      <c r="G16" s="12">
        <v>62</v>
      </c>
      <c r="H16" s="8">
        <v>7.35</v>
      </c>
      <c r="I16" s="12">
        <v>0</v>
      </c>
    </row>
    <row r="17" spans="2:9" ht="15" customHeight="1" x14ac:dyDescent="0.2">
      <c r="B17" t="s">
        <v>72</v>
      </c>
      <c r="C17" s="12">
        <v>81</v>
      </c>
      <c r="D17" s="8">
        <v>4.43</v>
      </c>
      <c r="E17" s="12">
        <v>67</v>
      </c>
      <c r="F17" s="8">
        <v>6.88</v>
      </c>
      <c r="G17" s="12">
        <v>9</v>
      </c>
      <c r="H17" s="8">
        <v>1.07</v>
      </c>
      <c r="I17" s="12">
        <v>0</v>
      </c>
    </row>
    <row r="18" spans="2:9" ht="15" customHeight="1" x14ac:dyDescent="0.2">
      <c r="B18" t="s">
        <v>73</v>
      </c>
      <c r="C18" s="12">
        <v>123</v>
      </c>
      <c r="D18" s="8">
        <v>6.72</v>
      </c>
      <c r="E18" s="12">
        <v>67</v>
      </c>
      <c r="F18" s="8">
        <v>6.88</v>
      </c>
      <c r="G18" s="12">
        <v>55</v>
      </c>
      <c r="H18" s="8">
        <v>6.52</v>
      </c>
      <c r="I18" s="12">
        <v>0</v>
      </c>
    </row>
    <row r="19" spans="2:9" ht="15" customHeight="1" x14ac:dyDescent="0.2">
      <c r="B19" t="s">
        <v>74</v>
      </c>
      <c r="C19" s="12">
        <v>78</v>
      </c>
      <c r="D19" s="8">
        <v>4.26</v>
      </c>
      <c r="E19" s="12">
        <v>40</v>
      </c>
      <c r="F19" s="8">
        <v>4.1100000000000003</v>
      </c>
      <c r="G19" s="12">
        <v>36</v>
      </c>
      <c r="H19" s="8">
        <v>4.2699999999999996</v>
      </c>
      <c r="I19" s="12">
        <v>1</v>
      </c>
    </row>
    <row r="20" spans="2:9" ht="15" customHeight="1" x14ac:dyDescent="0.2">
      <c r="B20" s="9" t="s">
        <v>337</v>
      </c>
      <c r="C20" s="12">
        <f>SUM(LTBL_07207[総数／事業所数])</f>
        <v>1830</v>
      </c>
      <c r="E20" s="12">
        <f>SUBTOTAL(109,LTBL_07207[個人／事業所数])</f>
        <v>974</v>
      </c>
      <c r="G20" s="12">
        <f>SUBTOTAL(109,LTBL_07207[法人／事業所数])</f>
        <v>843</v>
      </c>
      <c r="I20" s="12">
        <f>SUBTOTAL(109,LTBL_07207[法人以外の団体／事業所数])</f>
        <v>4</v>
      </c>
    </row>
    <row r="21" spans="2:9" ht="15" customHeight="1" x14ac:dyDescent="0.2">
      <c r="E21" s="11">
        <f>LTBL_07207[[#Totals],[個人／事業所数]]/LTBL_07207[[#Totals],[総数／事業所数]]</f>
        <v>0.53224043715846991</v>
      </c>
      <c r="G21" s="11">
        <f>LTBL_07207[[#Totals],[法人／事業所数]]/LTBL_07207[[#Totals],[総数／事業所数]]</f>
        <v>0.46065573770491802</v>
      </c>
      <c r="I21" s="11">
        <f>LTBL_07207[[#Totals],[法人以外の団体／事業所数]]/LTBL_07207[[#Totals],[総数／事業所数]]</f>
        <v>2.185792349726776E-3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208</v>
      </c>
      <c r="D24" s="8">
        <v>11.37</v>
      </c>
      <c r="E24" s="12">
        <v>175</v>
      </c>
      <c r="F24" s="8">
        <v>17.97</v>
      </c>
      <c r="G24" s="12">
        <v>33</v>
      </c>
      <c r="H24" s="8">
        <v>3.91</v>
      </c>
      <c r="I24" s="12">
        <v>0</v>
      </c>
    </row>
    <row r="25" spans="2:9" ht="15" customHeight="1" x14ac:dyDescent="0.2">
      <c r="B25" t="s">
        <v>96</v>
      </c>
      <c r="C25" s="12">
        <v>194</v>
      </c>
      <c r="D25" s="8">
        <v>10.6</v>
      </c>
      <c r="E25" s="12">
        <v>160</v>
      </c>
      <c r="F25" s="8">
        <v>16.43</v>
      </c>
      <c r="G25" s="12">
        <v>34</v>
      </c>
      <c r="H25" s="8">
        <v>4.03</v>
      </c>
      <c r="I25" s="12">
        <v>0</v>
      </c>
    </row>
    <row r="26" spans="2:9" ht="15" customHeight="1" x14ac:dyDescent="0.2">
      <c r="B26" t="s">
        <v>91</v>
      </c>
      <c r="C26" s="12">
        <v>129</v>
      </c>
      <c r="D26" s="8">
        <v>7.05</v>
      </c>
      <c r="E26" s="12">
        <v>61</v>
      </c>
      <c r="F26" s="8">
        <v>6.26</v>
      </c>
      <c r="G26" s="12">
        <v>68</v>
      </c>
      <c r="H26" s="8">
        <v>8.07</v>
      </c>
      <c r="I26" s="12">
        <v>0</v>
      </c>
    </row>
    <row r="27" spans="2:9" ht="15" customHeight="1" x14ac:dyDescent="0.2">
      <c r="B27" t="s">
        <v>84</v>
      </c>
      <c r="C27" s="12">
        <v>116</v>
      </c>
      <c r="D27" s="8">
        <v>6.34</v>
      </c>
      <c r="E27" s="12">
        <v>59</v>
      </c>
      <c r="F27" s="8">
        <v>6.06</v>
      </c>
      <c r="G27" s="12">
        <v>57</v>
      </c>
      <c r="H27" s="8">
        <v>6.76</v>
      </c>
      <c r="I27" s="12">
        <v>0</v>
      </c>
    </row>
    <row r="28" spans="2:9" ht="15" customHeight="1" x14ac:dyDescent="0.2">
      <c r="B28" t="s">
        <v>83</v>
      </c>
      <c r="C28" s="12">
        <v>115</v>
      </c>
      <c r="D28" s="8">
        <v>6.28</v>
      </c>
      <c r="E28" s="12">
        <v>43</v>
      </c>
      <c r="F28" s="8">
        <v>4.41</v>
      </c>
      <c r="G28" s="12">
        <v>72</v>
      </c>
      <c r="H28" s="8">
        <v>8.5399999999999991</v>
      </c>
      <c r="I28" s="12">
        <v>0</v>
      </c>
    </row>
    <row r="29" spans="2:9" ht="15" customHeight="1" x14ac:dyDescent="0.2">
      <c r="B29" t="s">
        <v>89</v>
      </c>
      <c r="C29" s="12">
        <v>98</v>
      </c>
      <c r="D29" s="8">
        <v>5.36</v>
      </c>
      <c r="E29" s="12">
        <v>72</v>
      </c>
      <c r="F29" s="8">
        <v>7.39</v>
      </c>
      <c r="G29" s="12">
        <v>26</v>
      </c>
      <c r="H29" s="8">
        <v>3.08</v>
      </c>
      <c r="I29" s="12">
        <v>0</v>
      </c>
    </row>
    <row r="30" spans="2:9" ht="15" customHeight="1" x14ac:dyDescent="0.2">
      <c r="B30" t="s">
        <v>99</v>
      </c>
      <c r="C30" s="12">
        <v>81</v>
      </c>
      <c r="D30" s="8">
        <v>4.43</v>
      </c>
      <c r="E30" s="12">
        <v>67</v>
      </c>
      <c r="F30" s="8">
        <v>6.88</v>
      </c>
      <c r="G30" s="12">
        <v>9</v>
      </c>
      <c r="H30" s="8">
        <v>1.07</v>
      </c>
      <c r="I30" s="12">
        <v>0</v>
      </c>
    </row>
    <row r="31" spans="2:9" ht="15" customHeight="1" x14ac:dyDescent="0.2">
      <c r="B31" t="s">
        <v>100</v>
      </c>
      <c r="C31" s="12">
        <v>75</v>
      </c>
      <c r="D31" s="8">
        <v>4.0999999999999996</v>
      </c>
      <c r="E31" s="12">
        <v>67</v>
      </c>
      <c r="F31" s="8">
        <v>6.88</v>
      </c>
      <c r="G31" s="12">
        <v>8</v>
      </c>
      <c r="H31" s="8">
        <v>0.95</v>
      </c>
      <c r="I31" s="12">
        <v>0</v>
      </c>
    </row>
    <row r="32" spans="2:9" ht="15" customHeight="1" x14ac:dyDescent="0.2">
      <c r="B32" t="s">
        <v>92</v>
      </c>
      <c r="C32" s="12">
        <v>69</v>
      </c>
      <c r="D32" s="8">
        <v>3.77</v>
      </c>
      <c r="E32" s="12">
        <v>25</v>
      </c>
      <c r="F32" s="8">
        <v>2.57</v>
      </c>
      <c r="G32" s="12">
        <v>42</v>
      </c>
      <c r="H32" s="8">
        <v>4.9800000000000004</v>
      </c>
      <c r="I32" s="12">
        <v>1</v>
      </c>
    </row>
    <row r="33" spans="2:9" ht="15" customHeight="1" x14ac:dyDescent="0.2">
      <c r="B33" t="s">
        <v>85</v>
      </c>
      <c r="C33" s="12">
        <v>57</v>
      </c>
      <c r="D33" s="8">
        <v>3.11</v>
      </c>
      <c r="E33" s="12">
        <v>15</v>
      </c>
      <c r="F33" s="8">
        <v>1.54</v>
      </c>
      <c r="G33" s="12">
        <v>42</v>
      </c>
      <c r="H33" s="8">
        <v>4.9800000000000004</v>
      </c>
      <c r="I33" s="12">
        <v>0</v>
      </c>
    </row>
    <row r="34" spans="2:9" ht="15" customHeight="1" x14ac:dyDescent="0.2">
      <c r="B34" t="s">
        <v>90</v>
      </c>
      <c r="C34" s="12">
        <v>57</v>
      </c>
      <c r="D34" s="8">
        <v>3.11</v>
      </c>
      <c r="E34" s="12">
        <v>31</v>
      </c>
      <c r="F34" s="8">
        <v>3.18</v>
      </c>
      <c r="G34" s="12">
        <v>26</v>
      </c>
      <c r="H34" s="8">
        <v>3.08</v>
      </c>
      <c r="I34" s="12">
        <v>0</v>
      </c>
    </row>
    <row r="35" spans="2:9" ht="15" customHeight="1" x14ac:dyDescent="0.2">
      <c r="B35" t="s">
        <v>101</v>
      </c>
      <c r="C35" s="12">
        <v>48</v>
      </c>
      <c r="D35" s="8">
        <v>2.62</v>
      </c>
      <c r="E35" s="12">
        <v>0</v>
      </c>
      <c r="F35" s="8">
        <v>0</v>
      </c>
      <c r="G35" s="12">
        <v>47</v>
      </c>
      <c r="H35" s="8">
        <v>5.58</v>
      </c>
      <c r="I35" s="12">
        <v>0</v>
      </c>
    </row>
    <row r="36" spans="2:9" ht="15" customHeight="1" x14ac:dyDescent="0.2">
      <c r="B36" t="s">
        <v>86</v>
      </c>
      <c r="C36" s="12">
        <v>44</v>
      </c>
      <c r="D36" s="8">
        <v>2.4</v>
      </c>
      <c r="E36" s="12">
        <v>10</v>
      </c>
      <c r="F36" s="8">
        <v>1.03</v>
      </c>
      <c r="G36" s="12">
        <v>34</v>
      </c>
      <c r="H36" s="8">
        <v>4.03</v>
      </c>
      <c r="I36" s="12">
        <v>0</v>
      </c>
    </row>
    <row r="37" spans="2:9" ht="15" customHeight="1" x14ac:dyDescent="0.2">
      <c r="B37" t="s">
        <v>102</v>
      </c>
      <c r="C37" s="12">
        <v>40</v>
      </c>
      <c r="D37" s="8">
        <v>2.19</v>
      </c>
      <c r="E37" s="12">
        <v>29</v>
      </c>
      <c r="F37" s="8">
        <v>2.98</v>
      </c>
      <c r="G37" s="12">
        <v>11</v>
      </c>
      <c r="H37" s="8">
        <v>1.3</v>
      </c>
      <c r="I37" s="12">
        <v>0</v>
      </c>
    </row>
    <row r="38" spans="2:9" ht="15" customHeight="1" x14ac:dyDescent="0.2">
      <c r="B38" t="s">
        <v>88</v>
      </c>
      <c r="C38" s="12">
        <v>39</v>
      </c>
      <c r="D38" s="8">
        <v>2.13</v>
      </c>
      <c r="E38" s="12">
        <v>18</v>
      </c>
      <c r="F38" s="8">
        <v>1.85</v>
      </c>
      <c r="G38" s="12">
        <v>20</v>
      </c>
      <c r="H38" s="8">
        <v>2.37</v>
      </c>
      <c r="I38" s="12">
        <v>1</v>
      </c>
    </row>
    <row r="39" spans="2:9" ht="15" customHeight="1" x14ac:dyDescent="0.2">
      <c r="B39" t="s">
        <v>93</v>
      </c>
      <c r="C39" s="12">
        <v>33</v>
      </c>
      <c r="D39" s="8">
        <v>1.8</v>
      </c>
      <c r="E39" s="12">
        <v>22</v>
      </c>
      <c r="F39" s="8">
        <v>2.2599999999999998</v>
      </c>
      <c r="G39" s="12">
        <v>11</v>
      </c>
      <c r="H39" s="8">
        <v>1.3</v>
      </c>
      <c r="I39" s="12">
        <v>0</v>
      </c>
    </row>
    <row r="40" spans="2:9" ht="15" customHeight="1" x14ac:dyDescent="0.2">
      <c r="B40" t="s">
        <v>94</v>
      </c>
      <c r="C40" s="12">
        <v>31</v>
      </c>
      <c r="D40" s="8">
        <v>1.69</v>
      </c>
      <c r="E40" s="12">
        <v>17</v>
      </c>
      <c r="F40" s="8">
        <v>1.75</v>
      </c>
      <c r="G40" s="12">
        <v>14</v>
      </c>
      <c r="H40" s="8">
        <v>1.66</v>
      </c>
      <c r="I40" s="12">
        <v>0</v>
      </c>
    </row>
    <row r="41" spans="2:9" ht="15" customHeight="1" x14ac:dyDescent="0.2">
      <c r="B41" t="s">
        <v>109</v>
      </c>
      <c r="C41" s="12">
        <v>23</v>
      </c>
      <c r="D41" s="8">
        <v>1.26</v>
      </c>
      <c r="E41" s="12">
        <v>6</v>
      </c>
      <c r="F41" s="8">
        <v>0.62</v>
      </c>
      <c r="G41" s="12">
        <v>17</v>
      </c>
      <c r="H41" s="8">
        <v>2.02</v>
      </c>
      <c r="I41" s="12">
        <v>0</v>
      </c>
    </row>
    <row r="42" spans="2:9" ht="15" customHeight="1" x14ac:dyDescent="0.2">
      <c r="B42" t="s">
        <v>106</v>
      </c>
      <c r="C42" s="12">
        <v>22</v>
      </c>
      <c r="D42" s="8">
        <v>1.2</v>
      </c>
      <c r="E42" s="12">
        <v>6</v>
      </c>
      <c r="F42" s="8">
        <v>0.62</v>
      </c>
      <c r="G42" s="12">
        <v>16</v>
      </c>
      <c r="H42" s="8">
        <v>1.9</v>
      </c>
      <c r="I42" s="12">
        <v>0</v>
      </c>
    </row>
    <row r="43" spans="2:9" ht="15" customHeight="1" x14ac:dyDescent="0.2">
      <c r="B43" t="s">
        <v>98</v>
      </c>
      <c r="C43" s="12">
        <v>22</v>
      </c>
      <c r="D43" s="8">
        <v>1.2</v>
      </c>
      <c r="E43" s="12">
        <v>3</v>
      </c>
      <c r="F43" s="8">
        <v>0.31</v>
      </c>
      <c r="G43" s="12">
        <v>19</v>
      </c>
      <c r="H43" s="8">
        <v>2.25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108</v>
      </c>
      <c r="D47" s="8">
        <v>5.9</v>
      </c>
      <c r="E47" s="12">
        <v>87</v>
      </c>
      <c r="F47" s="8">
        <v>8.93</v>
      </c>
      <c r="G47" s="12">
        <v>21</v>
      </c>
      <c r="H47" s="8">
        <v>2.4900000000000002</v>
      </c>
      <c r="I47" s="12">
        <v>0</v>
      </c>
    </row>
    <row r="48" spans="2:9" ht="15" customHeight="1" x14ac:dyDescent="0.2">
      <c r="B48" t="s">
        <v>173</v>
      </c>
      <c r="C48" s="12">
        <v>70</v>
      </c>
      <c r="D48" s="8">
        <v>3.83</v>
      </c>
      <c r="E48" s="12">
        <v>69</v>
      </c>
      <c r="F48" s="8">
        <v>7.08</v>
      </c>
      <c r="G48" s="12">
        <v>1</v>
      </c>
      <c r="H48" s="8">
        <v>0.12</v>
      </c>
      <c r="I48" s="12">
        <v>0</v>
      </c>
    </row>
    <row r="49" spans="2:9" ht="15" customHeight="1" x14ac:dyDescent="0.2">
      <c r="B49" t="s">
        <v>176</v>
      </c>
      <c r="C49" s="12">
        <v>64</v>
      </c>
      <c r="D49" s="8">
        <v>3.5</v>
      </c>
      <c r="E49" s="12">
        <v>56</v>
      </c>
      <c r="F49" s="8">
        <v>5.75</v>
      </c>
      <c r="G49" s="12">
        <v>8</v>
      </c>
      <c r="H49" s="8">
        <v>0.95</v>
      </c>
      <c r="I49" s="12">
        <v>0</v>
      </c>
    </row>
    <row r="50" spans="2:9" ht="15" customHeight="1" x14ac:dyDescent="0.2">
      <c r="B50" t="s">
        <v>175</v>
      </c>
      <c r="C50" s="12">
        <v>52</v>
      </c>
      <c r="D50" s="8">
        <v>2.84</v>
      </c>
      <c r="E50" s="12">
        <v>47</v>
      </c>
      <c r="F50" s="8">
        <v>4.83</v>
      </c>
      <c r="G50" s="12">
        <v>5</v>
      </c>
      <c r="H50" s="8">
        <v>0.59</v>
      </c>
      <c r="I50" s="12">
        <v>0</v>
      </c>
    </row>
    <row r="51" spans="2:9" ht="15" customHeight="1" x14ac:dyDescent="0.2">
      <c r="B51" t="s">
        <v>172</v>
      </c>
      <c r="C51" s="12">
        <v>50</v>
      </c>
      <c r="D51" s="8">
        <v>2.73</v>
      </c>
      <c r="E51" s="12">
        <v>48</v>
      </c>
      <c r="F51" s="8">
        <v>4.93</v>
      </c>
      <c r="G51" s="12">
        <v>2</v>
      </c>
      <c r="H51" s="8">
        <v>0.24</v>
      </c>
      <c r="I51" s="12">
        <v>0</v>
      </c>
    </row>
    <row r="52" spans="2:9" ht="15" customHeight="1" x14ac:dyDescent="0.2">
      <c r="B52" t="s">
        <v>168</v>
      </c>
      <c r="C52" s="12">
        <v>49</v>
      </c>
      <c r="D52" s="8">
        <v>2.68</v>
      </c>
      <c r="E52" s="12">
        <v>24</v>
      </c>
      <c r="F52" s="8">
        <v>2.46</v>
      </c>
      <c r="G52" s="12">
        <v>24</v>
      </c>
      <c r="H52" s="8">
        <v>2.85</v>
      </c>
      <c r="I52" s="12">
        <v>0</v>
      </c>
    </row>
    <row r="53" spans="2:9" ht="15" customHeight="1" x14ac:dyDescent="0.2">
      <c r="B53" t="s">
        <v>170</v>
      </c>
      <c r="C53" s="12">
        <v>46</v>
      </c>
      <c r="D53" s="8">
        <v>2.5099999999999998</v>
      </c>
      <c r="E53" s="12">
        <v>33</v>
      </c>
      <c r="F53" s="8">
        <v>3.39</v>
      </c>
      <c r="G53" s="12">
        <v>13</v>
      </c>
      <c r="H53" s="8">
        <v>1.54</v>
      </c>
      <c r="I53" s="12">
        <v>0</v>
      </c>
    </row>
    <row r="54" spans="2:9" ht="15" customHeight="1" x14ac:dyDescent="0.2">
      <c r="B54" t="s">
        <v>177</v>
      </c>
      <c r="C54" s="12">
        <v>40</v>
      </c>
      <c r="D54" s="8">
        <v>2.19</v>
      </c>
      <c r="E54" s="12">
        <v>29</v>
      </c>
      <c r="F54" s="8">
        <v>2.98</v>
      </c>
      <c r="G54" s="12">
        <v>11</v>
      </c>
      <c r="H54" s="8">
        <v>1.3</v>
      </c>
      <c r="I54" s="12">
        <v>0</v>
      </c>
    </row>
    <row r="55" spans="2:9" ht="15" customHeight="1" x14ac:dyDescent="0.2">
      <c r="B55" t="s">
        <v>171</v>
      </c>
      <c r="C55" s="12">
        <v>38</v>
      </c>
      <c r="D55" s="8">
        <v>2.08</v>
      </c>
      <c r="E55" s="12">
        <v>31</v>
      </c>
      <c r="F55" s="8">
        <v>3.18</v>
      </c>
      <c r="G55" s="12">
        <v>7</v>
      </c>
      <c r="H55" s="8">
        <v>0.83</v>
      </c>
      <c r="I55" s="12">
        <v>0</v>
      </c>
    </row>
    <row r="56" spans="2:9" ht="15" customHeight="1" x14ac:dyDescent="0.2">
      <c r="B56" t="s">
        <v>166</v>
      </c>
      <c r="C56" s="12">
        <v>37</v>
      </c>
      <c r="D56" s="8">
        <v>2.02</v>
      </c>
      <c r="E56" s="12">
        <v>25</v>
      </c>
      <c r="F56" s="8">
        <v>2.57</v>
      </c>
      <c r="G56" s="12">
        <v>12</v>
      </c>
      <c r="H56" s="8">
        <v>1.42</v>
      </c>
      <c r="I56" s="12">
        <v>0</v>
      </c>
    </row>
    <row r="57" spans="2:9" ht="15" customHeight="1" x14ac:dyDescent="0.2">
      <c r="B57" t="s">
        <v>160</v>
      </c>
      <c r="C57" s="12">
        <v>36</v>
      </c>
      <c r="D57" s="8">
        <v>1.97</v>
      </c>
      <c r="E57" s="12">
        <v>22</v>
      </c>
      <c r="F57" s="8">
        <v>2.2599999999999998</v>
      </c>
      <c r="G57" s="12">
        <v>14</v>
      </c>
      <c r="H57" s="8">
        <v>1.66</v>
      </c>
      <c r="I57" s="12">
        <v>0</v>
      </c>
    </row>
    <row r="58" spans="2:9" ht="15" customHeight="1" x14ac:dyDescent="0.2">
      <c r="B58" t="s">
        <v>158</v>
      </c>
      <c r="C58" s="12">
        <v>35</v>
      </c>
      <c r="D58" s="8">
        <v>1.91</v>
      </c>
      <c r="E58" s="12">
        <v>9</v>
      </c>
      <c r="F58" s="8">
        <v>0.92</v>
      </c>
      <c r="G58" s="12">
        <v>26</v>
      </c>
      <c r="H58" s="8">
        <v>3.08</v>
      </c>
      <c r="I58" s="12">
        <v>0</v>
      </c>
    </row>
    <row r="59" spans="2:9" ht="15" customHeight="1" x14ac:dyDescent="0.2">
      <c r="B59" t="s">
        <v>164</v>
      </c>
      <c r="C59" s="12">
        <v>32</v>
      </c>
      <c r="D59" s="8">
        <v>1.75</v>
      </c>
      <c r="E59" s="12">
        <v>17</v>
      </c>
      <c r="F59" s="8">
        <v>1.75</v>
      </c>
      <c r="G59" s="12">
        <v>15</v>
      </c>
      <c r="H59" s="8">
        <v>1.78</v>
      </c>
      <c r="I59" s="12">
        <v>0</v>
      </c>
    </row>
    <row r="60" spans="2:9" ht="15" customHeight="1" x14ac:dyDescent="0.2">
      <c r="B60" t="s">
        <v>163</v>
      </c>
      <c r="C60" s="12">
        <v>29</v>
      </c>
      <c r="D60" s="8">
        <v>1.58</v>
      </c>
      <c r="E60" s="12">
        <v>21</v>
      </c>
      <c r="F60" s="8">
        <v>2.16</v>
      </c>
      <c r="G60" s="12">
        <v>8</v>
      </c>
      <c r="H60" s="8">
        <v>0.95</v>
      </c>
      <c r="I60" s="12">
        <v>0</v>
      </c>
    </row>
    <row r="61" spans="2:9" ht="15" customHeight="1" x14ac:dyDescent="0.2">
      <c r="B61" t="s">
        <v>162</v>
      </c>
      <c r="C61" s="12">
        <v>26</v>
      </c>
      <c r="D61" s="8">
        <v>1.42</v>
      </c>
      <c r="E61" s="12">
        <v>7</v>
      </c>
      <c r="F61" s="8">
        <v>0.72</v>
      </c>
      <c r="G61" s="12">
        <v>19</v>
      </c>
      <c r="H61" s="8">
        <v>2.25</v>
      </c>
      <c r="I61" s="12">
        <v>0</v>
      </c>
    </row>
    <row r="62" spans="2:9" ht="15" customHeight="1" x14ac:dyDescent="0.2">
      <c r="B62" t="s">
        <v>165</v>
      </c>
      <c r="C62" s="12">
        <v>25</v>
      </c>
      <c r="D62" s="8">
        <v>1.37</v>
      </c>
      <c r="E62" s="12">
        <v>9</v>
      </c>
      <c r="F62" s="8">
        <v>0.92</v>
      </c>
      <c r="G62" s="12">
        <v>16</v>
      </c>
      <c r="H62" s="8">
        <v>1.9</v>
      </c>
      <c r="I62" s="12">
        <v>0</v>
      </c>
    </row>
    <row r="63" spans="2:9" ht="15" customHeight="1" x14ac:dyDescent="0.2">
      <c r="B63" t="s">
        <v>187</v>
      </c>
      <c r="C63" s="12">
        <v>24</v>
      </c>
      <c r="D63" s="8">
        <v>1.31</v>
      </c>
      <c r="E63" s="12">
        <v>11</v>
      </c>
      <c r="F63" s="8">
        <v>1.1299999999999999</v>
      </c>
      <c r="G63" s="12">
        <v>13</v>
      </c>
      <c r="H63" s="8">
        <v>1.54</v>
      </c>
      <c r="I63" s="12">
        <v>0</v>
      </c>
    </row>
    <row r="64" spans="2:9" ht="15" customHeight="1" x14ac:dyDescent="0.2">
      <c r="B64" t="s">
        <v>178</v>
      </c>
      <c r="C64" s="12">
        <v>24</v>
      </c>
      <c r="D64" s="8">
        <v>1.31</v>
      </c>
      <c r="E64" s="12">
        <v>19</v>
      </c>
      <c r="F64" s="8">
        <v>1.95</v>
      </c>
      <c r="G64" s="12">
        <v>5</v>
      </c>
      <c r="H64" s="8">
        <v>0.59</v>
      </c>
      <c r="I64" s="12">
        <v>0</v>
      </c>
    </row>
    <row r="65" spans="2:9" ht="15" customHeight="1" x14ac:dyDescent="0.2">
      <c r="B65" t="s">
        <v>184</v>
      </c>
      <c r="C65" s="12">
        <v>24</v>
      </c>
      <c r="D65" s="8">
        <v>1.31</v>
      </c>
      <c r="E65" s="12">
        <v>20</v>
      </c>
      <c r="F65" s="8">
        <v>2.0499999999999998</v>
      </c>
      <c r="G65" s="12">
        <v>4</v>
      </c>
      <c r="H65" s="8">
        <v>0.47</v>
      </c>
      <c r="I65" s="12">
        <v>0</v>
      </c>
    </row>
    <row r="66" spans="2:9" ht="15" customHeight="1" x14ac:dyDescent="0.2">
      <c r="B66" t="s">
        <v>188</v>
      </c>
      <c r="C66" s="12">
        <v>23</v>
      </c>
      <c r="D66" s="8">
        <v>1.26</v>
      </c>
      <c r="E66" s="12">
        <v>5</v>
      </c>
      <c r="F66" s="8">
        <v>0.51</v>
      </c>
      <c r="G66" s="12">
        <v>18</v>
      </c>
      <c r="H66" s="8">
        <v>2.14</v>
      </c>
      <c r="I66" s="12">
        <v>0</v>
      </c>
    </row>
    <row r="67" spans="2:9" ht="15" customHeight="1" x14ac:dyDescent="0.2">
      <c r="B67" t="s">
        <v>189</v>
      </c>
      <c r="C67" s="12">
        <v>23</v>
      </c>
      <c r="D67" s="8">
        <v>1.26</v>
      </c>
      <c r="E67" s="12">
        <v>6</v>
      </c>
      <c r="F67" s="8">
        <v>0.62</v>
      </c>
      <c r="G67" s="12">
        <v>17</v>
      </c>
      <c r="H67" s="8">
        <v>2.02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9CD3C-5E31-4958-B142-C0C2C03CF24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0.22</v>
      </c>
      <c r="I5" s="12">
        <v>0</v>
      </c>
    </row>
    <row r="6" spans="2:9" ht="15" customHeight="1" x14ac:dyDescent="0.2">
      <c r="B6" t="s">
        <v>61</v>
      </c>
      <c r="C6" s="12">
        <v>194</v>
      </c>
      <c r="D6" s="8">
        <v>14.45</v>
      </c>
      <c r="E6" s="12">
        <v>106</v>
      </c>
      <c r="F6" s="8">
        <v>12.27</v>
      </c>
      <c r="G6" s="12">
        <v>88</v>
      </c>
      <c r="H6" s="8">
        <v>19.05</v>
      </c>
      <c r="I6" s="12">
        <v>0</v>
      </c>
    </row>
    <row r="7" spans="2:9" ht="15" customHeight="1" x14ac:dyDescent="0.2">
      <c r="B7" t="s">
        <v>62</v>
      </c>
      <c r="C7" s="12">
        <v>135</v>
      </c>
      <c r="D7" s="8">
        <v>10.050000000000001</v>
      </c>
      <c r="E7" s="12">
        <v>56</v>
      </c>
      <c r="F7" s="8">
        <v>6.48</v>
      </c>
      <c r="G7" s="12">
        <v>79</v>
      </c>
      <c r="H7" s="8">
        <v>17.100000000000001</v>
      </c>
      <c r="I7" s="12">
        <v>0</v>
      </c>
    </row>
    <row r="8" spans="2:9" ht="15" customHeight="1" x14ac:dyDescent="0.2">
      <c r="B8" t="s">
        <v>63</v>
      </c>
      <c r="C8" s="12">
        <v>5</v>
      </c>
      <c r="D8" s="8">
        <v>0.37</v>
      </c>
      <c r="E8" s="12">
        <v>0</v>
      </c>
      <c r="F8" s="8">
        <v>0</v>
      </c>
      <c r="G8" s="12">
        <v>5</v>
      </c>
      <c r="H8" s="8">
        <v>1.08</v>
      </c>
      <c r="I8" s="12">
        <v>0</v>
      </c>
    </row>
    <row r="9" spans="2:9" ht="15" customHeight="1" x14ac:dyDescent="0.2">
      <c r="B9" t="s">
        <v>64</v>
      </c>
      <c r="C9" s="12">
        <v>6</v>
      </c>
      <c r="D9" s="8">
        <v>0.45</v>
      </c>
      <c r="E9" s="12">
        <v>2</v>
      </c>
      <c r="F9" s="8">
        <v>0.23</v>
      </c>
      <c r="G9" s="12">
        <v>4</v>
      </c>
      <c r="H9" s="8">
        <v>0.87</v>
      </c>
      <c r="I9" s="12">
        <v>0</v>
      </c>
    </row>
    <row r="10" spans="2:9" ht="15" customHeight="1" x14ac:dyDescent="0.2">
      <c r="B10" t="s">
        <v>65</v>
      </c>
      <c r="C10" s="12">
        <v>8</v>
      </c>
      <c r="D10" s="8">
        <v>0.6</v>
      </c>
      <c r="E10" s="12">
        <v>4</v>
      </c>
      <c r="F10" s="8">
        <v>0.46</v>
      </c>
      <c r="G10" s="12">
        <v>4</v>
      </c>
      <c r="H10" s="8">
        <v>0.87</v>
      </c>
      <c r="I10" s="12">
        <v>0</v>
      </c>
    </row>
    <row r="11" spans="2:9" ht="15" customHeight="1" x14ac:dyDescent="0.2">
      <c r="B11" t="s">
        <v>66</v>
      </c>
      <c r="C11" s="12">
        <v>364</v>
      </c>
      <c r="D11" s="8">
        <v>27.1</v>
      </c>
      <c r="E11" s="12">
        <v>231</v>
      </c>
      <c r="F11" s="8">
        <v>26.74</v>
      </c>
      <c r="G11" s="12">
        <v>133</v>
      </c>
      <c r="H11" s="8">
        <v>28.79</v>
      </c>
      <c r="I11" s="12">
        <v>0</v>
      </c>
    </row>
    <row r="12" spans="2:9" ht="15" customHeight="1" x14ac:dyDescent="0.2">
      <c r="B12" t="s">
        <v>67</v>
      </c>
      <c r="C12" s="12">
        <v>4</v>
      </c>
      <c r="D12" s="8">
        <v>0.3</v>
      </c>
      <c r="E12" s="12">
        <v>2</v>
      </c>
      <c r="F12" s="8">
        <v>0.23</v>
      </c>
      <c r="G12" s="12">
        <v>2</v>
      </c>
      <c r="H12" s="8">
        <v>0.43</v>
      </c>
      <c r="I12" s="12">
        <v>0</v>
      </c>
    </row>
    <row r="13" spans="2:9" ht="15" customHeight="1" x14ac:dyDescent="0.2">
      <c r="B13" t="s">
        <v>68</v>
      </c>
      <c r="C13" s="12">
        <v>57</v>
      </c>
      <c r="D13" s="8">
        <v>4.24</v>
      </c>
      <c r="E13" s="12">
        <v>34</v>
      </c>
      <c r="F13" s="8">
        <v>3.94</v>
      </c>
      <c r="G13" s="12">
        <v>23</v>
      </c>
      <c r="H13" s="8">
        <v>4.9800000000000004</v>
      </c>
      <c r="I13" s="12">
        <v>0</v>
      </c>
    </row>
    <row r="14" spans="2:9" ht="15" customHeight="1" x14ac:dyDescent="0.2">
      <c r="B14" t="s">
        <v>69</v>
      </c>
      <c r="C14" s="12">
        <v>38</v>
      </c>
      <c r="D14" s="8">
        <v>2.83</v>
      </c>
      <c r="E14" s="12">
        <v>21</v>
      </c>
      <c r="F14" s="8">
        <v>2.4300000000000002</v>
      </c>
      <c r="G14" s="12">
        <v>17</v>
      </c>
      <c r="H14" s="8">
        <v>3.68</v>
      </c>
      <c r="I14" s="12">
        <v>0</v>
      </c>
    </row>
    <row r="15" spans="2:9" ht="15" customHeight="1" x14ac:dyDescent="0.2">
      <c r="B15" t="s">
        <v>70</v>
      </c>
      <c r="C15" s="12">
        <v>185</v>
      </c>
      <c r="D15" s="8">
        <v>13.78</v>
      </c>
      <c r="E15" s="12">
        <v>155</v>
      </c>
      <c r="F15" s="8">
        <v>17.940000000000001</v>
      </c>
      <c r="G15" s="12">
        <v>28</v>
      </c>
      <c r="H15" s="8">
        <v>6.06</v>
      </c>
      <c r="I15" s="12">
        <v>0</v>
      </c>
    </row>
    <row r="16" spans="2:9" ht="15" customHeight="1" x14ac:dyDescent="0.2">
      <c r="B16" t="s">
        <v>71</v>
      </c>
      <c r="C16" s="12">
        <v>196</v>
      </c>
      <c r="D16" s="8">
        <v>14.59</v>
      </c>
      <c r="E16" s="12">
        <v>175</v>
      </c>
      <c r="F16" s="8">
        <v>20.25</v>
      </c>
      <c r="G16" s="12">
        <v>21</v>
      </c>
      <c r="H16" s="8">
        <v>4.55</v>
      </c>
      <c r="I16" s="12">
        <v>0</v>
      </c>
    </row>
    <row r="17" spans="2:9" ht="15" customHeight="1" x14ac:dyDescent="0.2">
      <c r="B17" t="s">
        <v>72</v>
      </c>
      <c r="C17" s="12">
        <v>52</v>
      </c>
      <c r="D17" s="8">
        <v>3.87</v>
      </c>
      <c r="E17" s="12">
        <v>27</v>
      </c>
      <c r="F17" s="8">
        <v>3.13</v>
      </c>
      <c r="G17" s="12">
        <v>13</v>
      </c>
      <c r="H17" s="8">
        <v>2.81</v>
      </c>
      <c r="I17" s="12">
        <v>0</v>
      </c>
    </row>
    <row r="18" spans="2:9" ht="15" customHeight="1" x14ac:dyDescent="0.2">
      <c r="B18" t="s">
        <v>73</v>
      </c>
      <c r="C18" s="12">
        <v>52</v>
      </c>
      <c r="D18" s="8">
        <v>3.87</v>
      </c>
      <c r="E18" s="12">
        <v>27</v>
      </c>
      <c r="F18" s="8">
        <v>3.13</v>
      </c>
      <c r="G18" s="12">
        <v>24</v>
      </c>
      <c r="H18" s="8">
        <v>5.19</v>
      </c>
      <c r="I18" s="12">
        <v>0</v>
      </c>
    </row>
    <row r="19" spans="2:9" ht="15" customHeight="1" x14ac:dyDescent="0.2">
      <c r="B19" t="s">
        <v>74</v>
      </c>
      <c r="C19" s="12">
        <v>46</v>
      </c>
      <c r="D19" s="8">
        <v>3.43</v>
      </c>
      <c r="E19" s="12">
        <v>24</v>
      </c>
      <c r="F19" s="8">
        <v>2.78</v>
      </c>
      <c r="G19" s="12">
        <v>20</v>
      </c>
      <c r="H19" s="8">
        <v>4.33</v>
      </c>
      <c r="I19" s="12">
        <v>2</v>
      </c>
    </row>
    <row r="20" spans="2:9" ht="15" customHeight="1" x14ac:dyDescent="0.2">
      <c r="B20" s="9" t="s">
        <v>337</v>
      </c>
      <c r="C20" s="12">
        <f>SUM(LTBL_07208[総数／事業所数])</f>
        <v>1343</v>
      </c>
      <c r="E20" s="12">
        <f>SUBTOTAL(109,LTBL_07208[個人／事業所数])</f>
        <v>864</v>
      </c>
      <c r="G20" s="12">
        <f>SUBTOTAL(109,LTBL_07208[法人／事業所数])</f>
        <v>462</v>
      </c>
      <c r="I20" s="12">
        <f>SUBTOTAL(109,LTBL_07208[法人以外の団体／事業所数])</f>
        <v>2</v>
      </c>
    </row>
    <row r="21" spans="2:9" ht="15" customHeight="1" x14ac:dyDescent="0.2">
      <c r="E21" s="11">
        <f>LTBL_07208[[#Totals],[個人／事業所数]]/LTBL_07208[[#Totals],[総数／事業所数]]</f>
        <v>0.64333581533879369</v>
      </c>
      <c r="G21" s="11">
        <f>LTBL_07208[[#Totals],[法人／事業所数]]/LTBL_07208[[#Totals],[総数／事業所数]]</f>
        <v>0.34400595681310497</v>
      </c>
      <c r="I21" s="11">
        <f>LTBL_07208[[#Totals],[法人以外の団体／事業所数]]/LTBL_07208[[#Totals],[総数／事業所数]]</f>
        <v>1.4892032762472078E-3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179</v>
      </c>
      <c r="D24" s="8">
        <v>13.33</v>
      </c>
      <c r="E24" s="12">
        <v>170</v>
      </c>
      <c r="F24" s="8">
        <v>19.68</v>
      </c>
      <c r="G24" s="12">
        <v>9</v>
      </c>
      <c r="H24" s="8">
        <v>1.95</v>
      </c>
      <c r="I24" s="12">
        <v>0</v>
      </c>
    </row>
    <row r="25" spans="2:9" ht="15" customHeight="1" x14ac:dyDescent="0.2">
      <c r="B25" t="s">
        <v>96</v>
      </c>
      <c r="C25" s="12">
        <v>145</v>
      </c>
      <c r="D25" s="8">
        <v>10.8</v>
      </c>
      <c r="E25" s="12">
        <v>135</v>
      </c>
      <c r="F25" s="8">
        <v>15.63</v>
      </c>
      <c r="G25" s="12">
        <v>10</v>
      </c>
      <c r="H25" s="8">
        <v>2.16</v>
      </c>
      <c r="I25" s="12">
        <v>0</v>
      </c>
    </row>
    <row r="26" spans="2:9" ht="15" customHeight="1" x14ac:dyDescent="0.2">
      <c r="B26" t="s">
        <v>91</v>
      </c>
      <c r="C26" s="12">
        <v>123</v>
      </c>
      <c r="D26" s="8">
        <v>9.16</v>
      </c>
      <c r="E26" s="12">
        <v>70</v>
      </c>
      <c r="F26" s="8">
        <v>8.1</v>
      </c>
      <c r="G26" s="12">
        <v>53</v>
      </c>
      <c r="H26" s="8">
        <v>11.47</v>
      </c>
      <c r="I26" s="12">
        <v>0</v>
      </c>
    </row>
    <row r="27" spans="2:9" ht="15" customHeight="1" x14ac:dyDescent="0.2">
      <c r="B27" t="s">
        <v>89</v>
      </c>
      <c r="C27" s="12">
        <v>99</v>
      </c>
      <c r="D27" s="8">
        <v>7.37</v>
      </c>
      <c r="E27" s="12">
        <v>80</v>
      </c>
      <c r="F27" s="8">
        <v>9.26</v>
      </c>
      <c r="G27" s="12">
        <v>19</v>
      </c>
      <c r="H27" s="8">
        <v>4.1100000000000003</v>
      </c>
      <c r="I27" s="12">
        <v>0</v>
      </c>
    </row>
    <row r="28" spans="2:9" ht="15" customHeight="1" x14ac:dyDescent="0.2">
      <c r="B28" t="s">
        <v>83</v>
      </c>
      <c r="C28" s="12">
        <v>82</v>
      </c>
      <c r="D28" s="8">
        <v>6.11</v>
      </c>
      <c r="E28" s="12">
        <v>42</v>
      </c>
      <c r="F28" s="8">
        <v>4.8600000000000003</v>
      </c>
      <c r="G28" s="12">
        <v>40</v>
      </c>
      <c r="H28" s="8">
        <v>8.66</v>
      </c>
      <c r="I28" s="12">
        <v>0</v>
      </c>
    </row>
    <row r="29" spans="2:9" ht="15" customHeight="1" x14ac:dyDescent="0.2">
      <c r="B29" t="s">
        <v>84</v>
      </c>
      <c r="C29" s="12">
        <v>67</v>
      </c>
      <c r="D29" s="8">
        <v>4.99</v>
      </c>
      <c r="E29" s="12">
        <v>46</v>
      </c>
      <c r="F29" s="8">
        <v>5.32</v>
      </c>
      <c r="G29" s="12">
        <v>21</v>
      </c>
      <c r="H29" s="8">
        <v>4.55</v>
      </c>
      <c r="I29" s="12">
        <v>0</v>
      </c>
    </row>
    <row r="30" spans="2:9" ht="15" customHeight="1" x14ac:dyDescent="0.2">
      <c r="B30" t="s">
        <v>90</v>
      </c>
      <c r="C30" s="12">
        <v>54</v>
      </c>
      <c r="D30" s="8">
        <v>4.0199999999999996</v>
      </c>
      <c r="E30" s="12">
        <v>47</v>
      </c>
      <c r="F30" s="8">
        <v>5.44</v>
      </c>
      <c r="G30" s="12">
        <v>7</v>
      </c>
      <c r="H30" s="8">
        <v>1.52</v>
      </c>
      <c r="I30" s="12">
        <v>0</v>
      </c>
    </row>
    <row r="31" spans="2:9" ht="15" customHeight="1" x14ac:dyDescent="0.2">
      <c r="B31" t="s">
        <v>99</v>
      </c>
      <c r="C31" s="12">
        <v>52</v>
      </c>
      <c r="D31" s="8">
        <v>3.87</v>
      </c>
      <c r="E31" s="12">
        <v>27</v>
      </c>
      <c r="F31" s="8">
        <v>3.13</v>
      </c>
      <c r="G31" s="12">
        <v>13</v>
      </c>
      <c r="H31" s="8">
        <v>2.81</v>
      </c>
      <c r="I31" s="12">
        <v>0</v>
      </c>
    </row>
    <row r="32" spans="2:9" ht="15" customHeight="1" x14ac:dyDescent="0.2">
      <c r="B32" t="s">
        <v>92</v>
      </c>
      <c r="C32" s="12">
        <v>50</v>
      </c>
      <c r="D32" s="8">
        <v>3.72</v>
      </c>
      <c r="E32" s="12">
        <v>31</v>
      </c>
      <c r="F32" s="8">
        <v>3.59</v>
      </c>
      <c r="G32" s="12">
        <v>19</v>
      </c>
      <c r="H32" s="8">
        <v>4.1100000000000003</v>
      </c>
      <c r="I32" s="12">
        <v>0</v>
      </c>
    </row>
    <row r="33" spans="2:9" ht="15" customHeight="1" x14ac:dyDescent="0.2">
      <c r="B33" t="s">
        <v>85</v>
      </c>
      <c r="C33" s="12">
        <v>45</v>
      </c>
      <c r="D33" s="8">
        <v>3.35</v>
      </c>
      <c r="E33" s="12">
        <v>18</v>
      </c>
      <c r="F33" s="8">
        <v>2.08</v>
      </c>
      <c r="G33" s="12">
        <v>27</v>
      </c>
      <c r="H33" s="8">
        <v>5.84</v>
      </c>
      <c r="I33" s="12">
        <v>0</v>
      </c>
    </row>
    <row r="34" spans="2:9" ht="15" customHeight="1" x14ac:dyDescent="0.2">
      <c r="B34" t="s">
        <v>88</v>
      </c>
      <c r="C34" s="12">
        <v>33</v>
      </c>
      <c r="D34" s="8">
        <v>2.46</v>
      </c>
      <c r="E34" s="12">
        <v>16</v>
      </c>
      <c r="F34" s="8">
        <v>1.85</v>
      </c>
      <c r="G34" s="12">
        <v>17</v>
      </c>
      <c r="H34" s="8">
        <v>3.68</v>
      </c>
      <c r="I34" s="12">
        <v>0</v>
      </c>
    </row>
    <row r="35" spans="2:9" ht="15" customHeight="1" x14ac:dyDescent="0.2">
      <c r="B35" t="s">
        <v>110</v>
      </c>
      <c r="C35" s="12">
        <v>29</v>
      </c>
      <c r="D35" s="8">
        <v>2.16</v>
      </c>
      <c r="E35" s="12">
        <v>13</v>
      </c>
      <c r="F35" s="8">
        <v>1.5</v>
      </c>
      <c r="G35" s="12">
        <v>16</v>
      </c>
      <c r="H35" s="8">
        <v>3.46</v>
      </c>
      <c r="I35" s="12">
        <v>0</v>
      </c>
    </row>
    <row r="36" spans="2:9" ht="15" customHeight="1" x14ac:dyDescent="0.2">
      <c r="B36" t="s">
        <v>94</v>
      </c>
      <c r="C36" s="12">
        <v>29</v>
      </c>
      <c r="D36" s="8">
        <v>2.16</v>
      </c>
      <c r="E36" s="12">
        <v>14</v>
      </c>
      <c r="F36" s="8">
        <v>1.62</v>
      </c>
      <c r="G36" s="12">
        <v>15</v>
      </c>
      <c r="H36" s="8">
        <v>3.25</v>
      </c>
      <c r="I36" s="12">
        <v>0</v>
      </c>
    </row>
    <row r="37" spans="2:9" ht="15" customHeight="1" x14ac:dyDescent="0.2">
      <c r="B37" t="s">
        <v>100</v>
      </c>
      <c r="C37" s="12">
        <v>28</v>
      </c>
      <c r="D37" s="8">
        <v>2.08</v>
      </c>
      <c r="E37" s="12">
        <v>27</v>
      </c>
      <c r="F37" s="8">
        <v>3.13</v>
      </c>
      <c r="G37" s="12">
        <v>1</v>
      </c>
      <c r="H37" s="8">
        <v>0.22</v>
      </c>
      <c r="I37" s="12">
        <v>0</v>
      </c>
    </row>
    <row r="38" spans="2:9" ht="15" customHeight="1" x14ac:dyDescent="0.2">
      <c r="B38" t="s">
        <v>101</v>
      </c>
      <c r="C38" s="12">
        <v>24</v>
      </c>
      <c r="D38" s="8">
        <v>1.79</v>
      </c>
      <c r="E38" s="12">
        <v>0</v>
      </c>
      <c r="F38" s="8">
        <v>0</v>
      </c>
      <c r="G38" s="12">
        <v>23</v>
      </c>
      <c r="H38" s="8">
        <v>4.9800000000000004</v>
      </c>
      <c r="I38" s="12">
        <v>0</v>
      </c>
    </row>
    <row r="39" spans="2:9" ht="15" customHeight="1" x14ac:dyDescent="0.2">
      <c r="B39" t="s">
        <v>105</v>
      </c>
      <c r="C39" s="12">
        <v>23</v>
      </c>
      <c r="D39" s="8">
        <v>1.71</v>
      </c>
      <c r="E39" s="12">
        <v>14</v>
      </c>
      <c r="F39" s="8">
        <v>1.62</v>
      </c>
      <c r="G39" s="12">
        <v>9</v>
      </c>
      <c r="H39" s="8">
        <v>1.95</v>
      </c>
      <c r="I39" s="12">
        <v>0</v>
      </c>
    </row>
    <row r="40" spans="2:9" ht="15" customHeight="1" x14ac:dyDescent="0.2">
      <c r="B40" t="s">
        <v>95</v>
      </c>
      <c r="C40" s="12">
        <v>20</v>
      </c>
      <c r="D40" s="8">
        <v>1.49</v>
      </c>
      <c r="E40" s="12">
        <v>17</v>
      </c>
      <c r="F40" s="8">
        <v>1.97</v>
      </c>
      <c r="G40" s="12">
        <v>3</v>
      </c>
      <c r="H40" s="8">
        <v>0.65</v>
      </c>
      <c r="I40" s="12">
        <v>0</v>
      </c>
    </row>
    <row r="41" spans="2:9" ht="15" customHeight="1" x14ac:dyDescent="0.2">
      <c r="B41" t="s">
        <v>113</v>
      </c>
      <c r="C41" s="12">
        <v>20</v>
      </c>
      <c r="D41" s="8">
        <v>1.49</v>
      </c>
      <c r="E41" s="12">
        <v>3</v>
      </c>
      <c r="F41" s="8">
        <v>0.35</v>
      </c>
      <c r="G41" s="12">
        <v>15</v>
      </c>
      <c r="H41" s="8">
        <v>3.25</v>
      </c>
      <c r="I41" s="12">
        <v>0</v>
      </c>
    </row>
    <row r="42" spans="2:9" ht="15" customHeight="1" x14ac:dyDescent="0.2">
      <c r="B42" t="s">
        <v>102</v>
      </c>
      <c r="C42" s="12">
        <v>20</v>
      </c>
      <c r="D42" s="8">
        <v>1.49</v>
      </c>
      <c r="E42" s="12">
        <v>16</v>
      </c>
      <c r="F42" s="8">
        <v>1.85</v>
      </c>
      <c r="G42" s="12">
        <v>4</v>
      </c>
      <c r="H42" s="8">
        <v>0.87</v>
      </c>
      <c r="I42" s="12">
        <v>0</v>
      </c>
    </row>
    <row r="43" spans="2:9" ht="15" customHeight="1" x14ac:dyDescent="0.2">
      <c r="B43" t="s">
        <v>106</v>
      </c>
      <c r="C43" s="12">
        <v>18</v>
      </c>
      <c r="D43" s="8">
        <v>1.34</v>
      </c>
      <c r="E43" s="12">
        <v>4</v>
      </c>
      <c r="F43" s="8">
        <v>0.46</v>
      </c>
      <c r="G43" s="12">
        <v>14</v>
      </c>
      <c r="H43" s="8">
        <v>3.03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82</v>
      </c>
      <c r="D47" s="8">
        <v>6.11</v>
      </c>
      <c r="E47" s="12">
        <v>79</v>
      </c>
      <c r="F47" s="8">
        <v>9.14</v>
      </c>
      <c r="G47" s="12">
        <v>3</v>
      </c>
      <c r="H47" s="8">
        <v>0.65</v>
      </c>
      <c r="I47" s="12">
        <v>0</v>
      </c>
    </row>
    <row r="48" spans="2:9" ht="15" customHeight="1" x14ac:dyDescent="0.2">
      <c r="B48" t="s">
        <v>173</v>
      </c>
      <c r="C48" s="12">
        <v>77</v>
      </c>
      <c r="D48" s="8">
        <v>5.73</v>
      </c>
      <c r="E48" s="12">
        <v>77</v>
      </c>
      <c r="F48" s="8">
        <v>8.91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170</v>
      </c>
      <c r="C49" s="12">
        <v>42</v>
      </c>
      <c r="D49" s="8">
        <v>3.13</v>
      </c>
      <c r="E49" s="12">
        <v>35</v>
      </c>
      <c r="F49" s="8">
        <v>4.05</v>
      </c>
      <c r="G49" s="12">
        <v>7</v>
      </c>
      <c r="H49" s="8">
        <v>1.52</v>
      </c>
      <c r="I49" s="12">
        <v>0</v>
      </c>
    </row>
    <row r="50" spans="2:9" ht="15" customHeight="1" x14ac:dyDescent="0.2">
      <c r="B50" t="s">
        <v>168</v>
      </c>
      <c r="C50" s="12">
        <v>41</v>
      </c>
      <c r="D50" s="8">
        <v>3.05</v>
      </c>
      <c r="E50" s="12">
        <v>30</v>
      </c>
      <c r="F50" s="8">
        <v>3.47</v>
      </c>
      <c r="G50" s="12">
        <v>11</v>
      </c>
      <c r="H50" s="8">
        <v>2.38</v>
      </c>
      <c r="I50" s="12">
        <v>0</v>
      </c>
    </row>
    <row r="51" spans="2:9" ht="15" customHeight="1" x14ac:dyDescent="0.2">
      <c r="B51" t="s">
        <v>160</v>
      </c>
      <c r="C51" s="12">
        <v>39</v>
      </c>
      <c r="D51" s="8">
        <v>2.9</v>
      </c>
      <c r="E51" s="12">
        <v>32</v>
      </c>
      <c r="F51" s="8">
        <v>3.7</v>
      </c>
      <c r="G51" s="12">
        <v>7</v>
      </c>
      <c r="H51" s="8">
        <v>1.52</v>
      </c>
      <c r="I51" s="12">
        <v>0</v>
      </c>
    </row>
    <row r="52" spans="2:9" ht="15" customHeight="1" x14ac:dyDescent="0.2">
      <c r="B52" t="s">
        <v>191</v>
      </c>
      <c r="C52" s="12">
        <v>36</v>
      </c>
      <c r="D52" s="8">
        <v>2.68</v>
      </c>
      <c r="E52" s="12">
        <v>28</v>
      </c>
      <c r="F52" s="8">
        <v>3.24</v>
      </c>
      <c r="G52" s="12">
        <v>8</v>
      </c>
      <c r="H52" s="8">
        <v>1.73</v>
      </c>
      <c r="I52" s="12">
        <v>0</v>
      </c>
    </row>
    <row r="53" spans="2:9" ht="15" customHeight="1" x14ac:dyDescent="0.2">
      <c r="B53" t="s">
        <v>172</v>
      </c>
      <c r="C53" s="12">
        <v>31</v>
      </c>
      <c r="D53" s="8">
        <v>2.31</v>
      </c>
      <c r="E53" s="12">
        <v>30</v>
      </c>
      <c r="F53" s="8">
        <v>3.47</v>
      </c>
      <c r="G53" s="12">
        <v>1</v>
      </c>
      <c r="H53" s="8">
        <v>0.22</v>
      </c>
      <c r="I53" s="12">
        <v>0</v>
      </c>
    </row>
    <row r="54" spans="2:9" ht="15" customHeight="1" x14ac:dyDescent="0.2">
      <c r="B54" t="s">
        <v>163</v>
      </c>
      <c r="C54" s="12">
        <v>29</v>
      </c>
      <c r="D54" s="8">
        <v>2.16</v>
      </c>
      <c r="E54" s="12">
        <v>22</v>
      </c>
      <c r="F54" s="8">
        <v>2.5499999999999998</v>
      </c>
      <c r="G54" s="12">
        <v>7</v>
      </c>
      <c r="H54" s="8">
        <v>1.52</v>
      </c>
      <c r="I54" s="12">
        <v>0</v>
      </c>
    </row>
    <row r="55" spans="2:9" ht="15" customHeight="1" x14ac:dyDescent="0.2">
      <c r="B55" t="s">
        <v>164</v>
      </c>
      <c r="C55" s="12">
        <v>29</v>
      </c>
      <c r="D55" s="8">
        <v>2.16</v>
      </c>
      <c r="E55" s="12">
        <v>23</v>
      </c>
      <c r="F55" s="8">
        <v>2.66</v>
      </c>
      <c r="G55" s="12">
        <v>6</v>
      </c>
      <c r="H55" s="8">
        <v>1.3</v>
      </c>
      <c r="I55" s="12">
        <v>0</v>
      </c>
    </row>
    <row r="56" spans="2:9" ht="15" customHeight="1" x14ac:dyDescent="0.2">
      <c r="B56" t="s">
        <v>166</v>
      </c>
      <c r="C56" s="12">
        <v>27</v>
      </c>
      <c r="D56" s="8">
        <v>2.0099999999999998</v>
      </c>
      <c r="E56" s="12">
        <v>23</v>
      </c>
      <c r="F56" s="8">
        <v>2.66</v>
      </c>
      <c r="G56" s="12">
        <v>4</v>
      </c>
      <c r="H56" s="8">
        <v>0.87</v>
      </c>
      <c r="I56" s="12">
        <v>0</v>
      </c>
    </row>
    <row r="57" spans="2:9" ht="15" customHeight="1" x14ac:dyDescent="0.2">
      <c r="B57" t="s">
        <v>185</v>
      </c>
      <c r="C57" s="12">
        <v>25</v>
      </c>
      <c r="D57" s="8">
        <v>1.86</v>
      </c>
      <c r="E57" s="12">
        <v>9</v>
      </c>
      <c r="F57" s="8">
        <v>1.04</v>
      </c>
      <c r="G57" s="12">
        <v>16</v>
      </c>
      <c r="H57" s="8">
        <v>3.46</v>
      </c>
      <c r="I57" s="12">
        <v>0</v>
      </c>
    </row>
    <row r="58" spans="2:9" ht="15" customHeight="1" x14ac:dyDescent="0.2">
      <c r="B58" t="s">
        <v>161</v>
      </c>
      <c r="C58" s="12">
        <v>24</v>
      </c>
      <c r="D58" s="8">
        <v>1.79</v>
      </c>
      <c r="E58" s="12">
        <v>11</v>
      </c>
      <c r="F58" s="8">
        <v>1.27</v>
      </c>
      <c r="G58" s="12">
        <v>13</v>
      </c>
      <c r="H58" s="8">
        <v>2.81</v>
      </c>
      <c r="I58" s="12">
        <v>0</v>
      </c>
    </row>
    <row r="59" spans="2:9" ht="15" customHeight="1" x14ac:dyDescent="0.2">
      <c r="B59" t="s">
        <v>175</v>
      </c>
      <c r="C59" s="12">
        <v>24</v>
      </c>
      <c r="D59" s="8">
        <v>1.79</v>
      </c>
      <c r="E59" s="12">
        <v>15</v>
      </c>
      <c r="F59" s="8">
        <v>1.74</v>
      </c>
      <c r="G59" s="12">
        <v>9</v>
      </c>
      <c r="H59" s="8">
        <v>1.95</v>
      </c>
      <c r="I59" s="12">
        <v>0</v>
      </c>
    </row>
    <row r="60" spans="2:9" ht="15" customHeight="1" x14ac:dyDescent="0.2">
      <c r="B60" t="s">
        <v>158</v>
      </c>
      <c r="C60" s="12">
        <v>23</v>
      </c>
      <c r="D60" s="8">
        <v>1.71</v>
      </c>
      <c r="E60" s="12">
        <v>5</v>
      </c>
      <c r="F60" s="8">
        <v>0.57999999999999996</v>
      </c>
      <c r="G60" s="12">
        <v>18</v>
      </c>
      <c r="H60" s="8">
        <v>3.9</v>
      </c>
      <c r="I60" s="12">
        <v>0</v>
      </c>
    </row>
    <row r="61" spans="2:9" ht="15" customHeight="1" x14ac:dyDescent="0.2">
      <c r="B61" t="s">
        <v>190</v>
      </c>
      <c r="C61" s="12">
        <v>23</v>
      </c>
      <c r="D61" s="8">
        <v>1.71</v>
      </c>
      <c r="E61" s="12">
        <v>13</v>
      </c>
      <c r="F61" s="8">
        <v>1.5</v>
      </c>
      <c r="G61" s="12">
        <v>10</v>
      </c>
      <c r="H61" s="8">
        <v>2.16</v>
      </c>
      <c r="I61" s="12">
        <v>0</v>
      </c>
    </row>
    <row r="62" spans="2:9" ht="15" customHeight="1" x14ac:dyDescent="0.2">
      <c r="B62" t="s">
        <v>181</v>
      </c>
      <c r="C62" s="12">
        <v>22</v>
      </c>
      <c r="D62" s="8">
        <v>1.64</v>
      </c>
      <c r="E62" s="12">
        <v>22</v>
      </c>
      <c r="F62" s="8">
        <v>2.5499999999999998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178</v>
      </c>
      <c r="C63" s="12">
        <v>21</v>
      </c>
      <c r="D63" s="8">
        <v>1.56</v>
      </c>
      <c r="E63" s="12">
        <v>19</v>
      </c>
      <c r="F63" s="8">
        <v>2.2000000000000002</v>
      </c>
      <c r="G63" s="12">
        <v>2</v>
      </c>
      <c r="H63" s="8">
        <v>0.43</v>
      </c>
      <c r="I63" s="12">
        <v>0</v>
      </c>
    </row>
    <row r="64" spans="2:9" ht="15" customHeight="1" x14ac:dyDescent="0.2">
      <c r="B64" t="s">
        <v>171</v>
      </c>
      <c r="C64" s="12">
        <v>21</v>
      </c>
      <c r="D64" s="8">
        <v>1.56</v>
      </c>
      <c r="E64" s="12">
        <v>19</v>
      </c>
      <c r="F64" s="8">
        <v>2.2000000000000002</v>
      </c>
      <c r="G64" s="12">
        <v>2</v>
      </c>
      <c r="H64" s="8">
        <v>0.43</v>
      </c>
      <c r="I64" s="12">
        <v>0</v>
      </c>
    </row>
    <row r="65" spans="2:9" ht="15" customHeight="1" x14ac:dyDescent="0.2">
      <c r="B65" t="s">
        <v>186</v>
      </c>
      <c r="C65" s="12">
        <v>20</v>
      </c>
      <c r="D65" s="8">
        <v>1.49</v>
      </c>
      <c r="E65" s="12">
        <v>3</v>
      </c>
      <c r="F65" s="8">
        <v>0.35</v>
      </c>
      <c r="G65" s="12">
        <v>15</v>
      </c>
      <c r="H65" s="8">
        <v>3.25</v>
      </c>
      <c r="I65" s="12">
        <v>0</v>
      </c>
    </row>
    <row r="66" spans="2:9" ht="15" customHeight="1" x14ac:dyDescent="0.2">
      <c r="B66" t="s">
        <v>177</v>
      </c>
      <c r="C66" s="12">
        <v>20</v>
      </c>
      <c r="D66" s="8">
        <v>1.49</v>
      </c>
      <c r="E66" s="12">
        <v>16</v>
      </c>
      <c r="F66" s="8">
        <v>1.85</v>
      </c>
      <c r="G66" s="12">
        <v>4</v>
      </c>
      <c r="H66" s="8">
        <v>0.87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970C-9854-4FD9-A159-75FD019DC1B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0.1</v>
      </c>
      <c r="E5" s="12">
        <v>0</v>
      </c>
      <c r="F5" s="8">
        <v>0</v>
      </c>
      <c r="G5" s="12">
        <v>1</v>
      </c>
      <c r="H5" s="8">
        <v>0.26</v>
      </c>
      <c r="I5" s="12">
        <v>0</v>
      </c>
    </row>
    <row r="6" spans="2:9" ht="15" customHeight="1" x14ac:dyDescent="0.2">
      <c r="B6" t="s">
        <v>61</v>
      </c>
      <c r="C6" s="12">
        <v>136</v>
      </c>
      <c r="D6" s="8">
        <v>14.02</v>
      </c>
      <c r="E6" s="12">
        <v>62</v>
      </c>
      <c r="F6" s="8">
        <v>10.93</v>
      </c>
      <c r="G6" s="12">
        <v>74</v>
      </c>
      <c r="H6" s="8">
        <v>19.12</v>
      </c>
      <c r="I6" s="12">
        <v>0</v>
      </c>
    </row>
    <row r="7" spans="2:9" ht="15" customHeight="1" x14ac:dyDescent="0.2">
      <c r="B7" t="s">
        <v>62</v>
      </c>
      <c r="C7" s="12">
        <v>72</v>
      </c>
      <c r="D7" s="8">
        <v>7.42</v>
      </c>
      <c r="E7" s="12">
        <v>19</v>
      </c>
      <c r="F7" s="8">
        <v>3.35</v>
      </c>
      <c r="G7" s="12">
        <v>53</v>
      </c>
      <c r="H7" s="8">
        <v>13.7</v>
      </c>
      <c r="I7" s="12">
        <v>0</v>
      </c>
    </row>
    <row r="8" spans="2:9" ht="15" customHeight="1" x14ac:dyDescent="0.2">
      <c r="B8" t="s">
        <v>63</v>
      </c>
      <c r="C8" s="12">
        <v>3</v>
      </c>
      <c r="D8" s="8">
        <v>0.31</v>
      </c>
      <c r="E8" s="12">
        <v>0</v>
      </c>
      <c r="F8" s="8">
        <v>0</v>
      </c>
      <c r="G8" s="12">
        <v>3</v>
      </c>
      <c r="H8" s="8">
        <v>0.78</v>
      </c>
      <c r="I8" s="12">
        <v>0</v>
      </c>
    </row>
    <row r="9" spans="2:9" ht="15" customHeight="1" x14ac:dyDescent="0.2">
      <c r="B9" t="s">
        <v>64</v>
      </c>
      <c r="C9" s="12">
        <v>4</v>
      </c>
      <c r="D9" s="8">
        <v>0.41</v>
      </c>
      <c r="E9" s="12">
        <v>0</v>
      </c>
      <c r="F9" s="8">
        <v>0</v>
      </c>
      <c r="G9" s="12">
        <v>4</v>
      </c>
      <c r="H9" s="8">
        <v>1.03</v>
      </c>
      <c r="I9" s="12">
        <v>0</v>
      </c>
    </row>
    <row r="10" spans="2:9" ht="15" customHeight="1" x14ac:dyDescent="0.2">
      <c r="B10" t="s">
        <v>65</v>
      </c>
      <c r="C10" s="12">
        <v>6</v>
      </c>
      <c r="D10" s="8">
        <v>0.62</v>
      </c>
      <c r="E10" s="12">
        <v>1</v>
      </c>
      <c r="F10" s="8">
        <v>0.18</v>
      </c>
      <c r="G10" s="12">
        <v>4</v>
      </c>
      <c r="H10" s="8">
        <v>1.03</v>
      </c>
      <c r="I10" s="12">
        <v>1</v>
      </c>
    </row>
    <row r="11" spans="2:9" ht="15" customHeight="1" x14ac:dyDescent="0.2">
      <c r="B11" t="s">
        <v>66</v>
      </c>
      <c r="C11" s="12">
        <v>249</v>
      </c>
      <c r="D11" s="8">
        <v>25.67</v>
      </c>
      <c r="E11" s="12">
        <v>118</v>
      </c>
      <c r="F11" s="8">
        <v>20.81</v>
      </c>
      <c r="G11" s="12">
        <v>130</v>
      </c>
      <c r="H11" s="8">
        <v>33.590000000000003</v>
      </c>
      <c r="I11" s="12">
        <v>1</v>
      </c>
    </row>
    <row r="12" spans="2:9" ht="15" customHeight="1" x14ac:dyDescent="0.2">
      <c r="B12" t="s">
        <v>67</v>
      </c>
      <c r="C12" s="12">
        <v>9</v>
      </c>
      <c r="D12" s="8">
        <v>0.93</v>
      </c>
      <c r="E12" s="12">
        <v>1</v>
      </c>
      <c r="F12" s="8">
        <v>0.18</v>
      </c>
      <c r="G12" s="12">
        <v>8</v>
      </c>
      <c r="H12" s="8">
        <v>2.0699999999999998</v>
      </c>
      <c r="I12" s="12">
        <v>0</v>
      </c>
    </row>
    <row r="13" spans="2:9" ht="15" customHeight="1" x14ac:dyDescent="0.2">
      <c r="B13" t="s">
        <v>68</v>
      </c>
      <c r="C13" s="12">
        <v>70</v>
      </c>
      <c r="D13" s="8">
        <v>7.22</v>
      </c>
      <c r="E13" s="12">
        <v>43</v>
      </c>
      <c r="F13" s="8">
        <v>7.58</v>
      </c>
      <c r="G13" s="12">
        <v>27</v>
      </c>
      <c r="H13" s="8">
        <v>6.98</v>
      </c>
      <c r="I13" s="12">
        <v>0</v>
      </c>
    </row>
    <row r="14" spans="2:9" ht="15" customHeight="1" x14ac:dyDescent="0.2">
      <c r="B14" t="s">
        <v>69</v>
      </c>
      <c r="C14" s="12">
        <v>45</v>
      </c>
      <c r="D14" s="8">
        <v>4.6399999999999997</v>
      </c>
      <c r="E14" s="12">
        <v>24</v>
      </c>
      <c r="F14" s="8">
        <v>4.2300000000000004</v>
      </c>
      <c r="G14" s="12">
        <v>20</v>
      </c>
      <c r="H14" s="8">
        <v>5.17</v>
      </c>
      <c r="I14" s="12">
        <v>0</v>
      </c>
    </row>
    <row r="15" spans="2:9" ht="15" customHeight="1" x14ac:dyDescent="0.2">
      <c r="B15" t="s">
        <v>70</v>
      </c>
      <c r="C15" s="12">
        <v>143</v>
      </c>
      <c r="D15" s="8">
        <v>14.74</v>
      </c>
      <c r="E15" s="12">
        <v>118</v>
      </c>
      <c r="F15" s="8">
        <v>20.81</v>
      </c>
      <c r="G15" s="12">
        <v>25</v>
      </c>
      <c r="H15" s="8">
        <v>6.46</v>
      </c>
      <c r="I15" s="12">
        <v>0</v>
      </c>
    </row>
    <row r="16" spans="2:9" ht="15" customHeight="1" x14ac:dyDescent="0.2">
      <c r="B16" t="s">
        <v>71</v>
      </c>
      <c r="C16" s="12">
        <v>131</v>
      </c>
      <c r="D16" s="8">
        <v>13.51</v>
      </c>
      <c r="E16" s="12">
        <v>118</v>
      </c>
      <c r="F16" s="8">
        <v>20.81</v>
      </c>
      <c r="G16" s="12">
        <v>13</v>
      </c>
      <c r="H16" s="8">
        <v>3.36</v>
      </c>
      <c r="I16" s="12">
        <v>0</v>
      </c>
    </row>
    <row r="17" spans="2:9" ht="15" customHeight="1" x14ac:dyDescent="0.2">
      <c r="B17" t="s">
        <v>72</v>
      </c>
      <c r="C17" s="12">
        <v>35</v>
      </c>
      <c r="D17" s="8">
        <v>3.61</v>
      </c>
      <c r="E17" s="12">
        <v>21</v>
      </c>
      <c r="F17" s="8">
        <v>3.7</v>
      </c>
      <c r="G17" s="12">
        <v>4</v>
      </c>
      <c r="H17" s="8">
        <v>1.03</v>
      </c>
      <c r="I17" s="12">
        <v>0</v>
      </c>
    </row>
    <row r="18" spans="2:9" ht="15" customHeight="1" x14ac:dyDescent="0.2">
      <c r="B18" t="s">
        <v>73</v>
      </c>
      <c r="C18" s="12">
        <v>33</v>
      </c>
      <c r="D18" s="8">
        <v>3.4</v>
      </c>
      <c r="E18" s="12">
        <v>21</v>
      </c>
      <c r="F18" s="8">
        <v>3.7</v>
      </c>
      <c r="G18" s="12">
        <v>11</v>
      </c>
      <c r="H18" s="8">
        <v>2.84</v>
      </c>
      <c r="I18" s="12">
        <v>0</v>
      </c>
    </row>
    <row r="19" spans="2:9" ht="15" customHeight="1" x14ac:dyDescent="0.2">
      <c r="B19" t="s">
        <v>74</v>
      </c>
      <c r="C19" s="12">
        <v>33</v>
      </c>
      <c r="D19" s="8">
        <v>3.4</v>
      </c>
      <c r="E19" s="12">
        <v>21</v>
      </c>
      <c r="F19" s="8">
        <v>3.7</v>
      </c>
      <c r="G19" s="12">
        <v>10</v>
      </c>
      <c r="H19" s="8">
        <v>2.58</v>
      </c>
      <c r="I19" s="12">
        <v>0</v>
      </c>
    </row>
    <row r="20" spans="2:9" ht="15" customHeight="1" x14ac:dyDescent="0.2">
      <c r="B20" s="9" t="s">
        <v>337</v>
      </c>
      <c r="C20" s="12">
        <f>SUM(LTBL_07209[総数／事業所数])</f>
        <v>970</v>
      </c>
      <c r="E20" s="12">
        <f>SUBTOTAL(109,LTBL_07209[個人／事業所数])</f>
        <v>567</v>
      </c>
      <c r="G20" s="12">
        <f>SUBTOTAL(109,LTBL_07209[法人／事業所数])</f>
        <v>387</v>
      </c>
      <c r="I20" s="12">
        <f>SUBTOTAL(109,LTBL_07209[法人以外の団体／事業所数])</f>
        <v>2</v>
      </c>
    </row>
    <row r="21" spans="2:9" ht="15" customHeight="1" x14ac:dyDescent="0.2">
      <c r="E21" s="11">
        <f>LTBL_07209[[#Totals],[個人／事業所数]]/LTBL_07209[[#Totals],[総数／事業所数]]</f>
        <v>0.58453608247422684</v>
      </c>
      <c r="G21" s="11">
        <f>LTBL_07209[[#Totals],[法人／事業所数]]/LTBL_07209[[#Totals],[総数／事業所数]]</f>
        <v>0.39896907216494848</v>
      </c>
      <c r="I21" s="11">
        <f>LTBL_07209[[#Totals],[法人以外の団体／事業所数]]/LTBL_07209[[#Totals],[総数／事業所数]]</f>
        <v>2.0618556701030928E-3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121</v>
      </c>
      <c r="D24" s="8">
        <v>12.47</v>
      </c>
      <c r="E24" s="12">
        <v>107</v>
      </c>
      <c r="F24" s="8">
        <v>18.87</v>
      </c>
      <c r="G24" s="12">
        <v>14</v>
      </c>
      <c r="H24" s="8">
        <v>3.62</v>
      </c>
      <c r="I24" s="12">
        <v>0</v>
      </c>
    </row>
    <row r="25" spans="2:9" ht="15" customHeight="1" x14ac:dyDescent="0.2">
      <c r="B25" t="s">
        <v>97</v>
      </c>
      <c r="C25" s="12">
        <v>115</v>
      </c>
      <c r="D25" s="8">
        <v>11.86</v>
      </c>
      <c r="E25" s="12">
        <v>110</v>
      </c>
      <c r="F25" s="8">
        <v>19.399999999999999</v>
      </c>
      <c r="G25" s="12">
        <v>5</v>
      </c>
      <c r="H25" s="8">
        <v>1.29</v>
      </c>
      <c r="I25" s="12">
        <v>0</v>
      </c>
    </row>
    <row r="26" spans="2:9" ht="15" customHeight="1" x14ac:dyDescent="0.2">
      <c r="B26" t="s">
        <v>91</v>
      </c>
      <c r="C26" s="12">
        <v>105</v>
      </c>
      <c r="D26" s="8">
        <v>10.82</v>
      </c>
      <c r="E26" s="12">
        <v>48</v>
      </c>
      <c r="F26" s="8">
        <v>8.4700000000000006</v>
      </c>
      <c r="G26" s="12">
        <v>56</v>
      </c>
      <c r="H26" s="8">
        <v>14.47</v>
      </c>
      <c r="I26" s="12">
        <v>1</v>
      </c>
    </row>
    <row r="27" spans="2:9" ht="15" customHeight="1" x14ac:dyDescent="0.2">
      <c r="B27" t="s">
        <v>83</v>
      </c>
      <c r="C27" s="12">
        <v>61</v>
      </c>
      <c r="D27" s="8">
        <v>6.29</v>
      </c>
      <c r="E27" s="12">
        <v>20</v>
      </c>
      <c r="F27" s="8">
        <v>3.53</v>
      </c>
      <c r="G27" s="12">
        <v>41</v>
      </c>
      <c r="H27" s="8">
        <v>10.59</v>
      </c>
      <c r="I27" s="12">
        <v>0</v>
      </c>
    </row>
    <row r="28" spans="2:9" ht="15" customHeight="1" x14ac:dyDescent="0.2">
      <c r="B28" t="s">
        <v>92</v>
      </c>
      <c r="C28" s="12">
        <v>58</v>
      </c>
      <c r="D28" s="8">
        <v>5.98</v>
      </c>
      <c r="E28" s="12">
        <v>43</v>
      </c>
      <c r="F28" s="8">
        <v>7.58</v>
      </c>
      <c r="G28" s="12">
        <v>15</v>
      </c>
      <c r="H28" s="8">
        <v>3.88</v>
      </c>
      <c r="I28" s="12">
        <v>0</v>
      </c>
    </row>
    <row r="29" spans="2:9" ht="15" customHeight="1" x14ac:dyDescent="0.2">
      <c r="B29" t="s">
        <v>89</v>
      </c>
      <c r="C29" s="12">
        <v>43</v>
      </c>
      <c r="D29" s="8">
        <v>4.43</v>
      </c>
      <c r="E29" s="12">
        <v>24</v>
      </c>
      <c r="F29" s="8">
        <v>4.2300000000000004</v>
      </c>
      <c r="G29" s="12">
        <v>19</v>
      </c>
      <c r="H29" s="8">
        <v>4.91</v>
      </c>
      <c r="I29" s="12">
        <v>0</v>
      </c>
    </row>
    <row r="30" spans="2:9" ht="15" customHeight="1" x14ac:dyDescent="0.2">
      <c r="B30" t="s">
        <v>84</v>
      </c>
      <c r="C30" s="12">
        <v>38</v>
      </c>
      <c r="D30" s="8">
        <v>3.92</v>
      </c>
      <c r="E30" s="12">
        <v>25</v>
      </c>
      <c r="F30" s="8">
        <v>4.41</v>
      </c>
      <c r="G30" s="12">
        <v>13</v>
      </c>
      <c r="H30" s="8">
        <v>3.36</v>
      </c>
      <c r="I30" s="12">
        <v>0</v>
      </c>
    </row>
    <row r="31" spans="2:9" ht="15" customHeight="1" x14ac:dyDescent="0.2">
      <c r="B31" t="s">
        <v>85</v>
      </c>
      <c r="C31" s="12">
        <v>37</v>
      </c>
      <c r="D31" s="8">
        <v>3.81</v>
      </c>
      <c r="E31" s="12">
        <v>17</v>
      </c>
      <c r="F31" s="8">
        <v>3</v>
      </c>
      <c r="G31" s="12">
        <v>20</v>
      </c>
      <c r="H31" s="8">
        <v>5.17</v>
      </c>
      <c r="I31" s="12">
        <v>0</v>
      </c>
    </row>
    <row r="32" spans="2:9" ht="15" customHeight="1" x14ac:dyDescent="0.2">
      <c r="B32" t="s">
        <v>99</v>
      </c>
      <c r="C32" s="12">
        <v>35</v>
      </c>
      <c r="D32" s="8">
        <v>3.61</v>
      </c>
      <c r="E32" s="12">
        <v>21</v>
      </c>
      <c r="F32" s="8">
        <v>3.7</v>
      </c>
      <c r="G32" s="12">
        <v>4</v>
      </c>
      <c r="H32" s="8">
        <v>1.03</v>
      </c>
      <c r="I32" s="12">
        <v>0</v>
      </c>
    </row>
    <row r="33" spans="2:9" ht="15" customHeight="1" x14ac:dyDescent="0.2">
      <c r="B33" t="s">
        <v>88</v>
      </c>
      <c r="C33" s="12">
        <v>29</v>
      </c>
      <c r="D33" s="8">
        <v>2.99</v>
      </c>
      <c r="E33" s="12">
        <v>15</v>
      </c>
      <c r="F33" s="8">
        <v>2.65</v>
      </c>
      <c r="G33" s="12">
        <v>14</v>
      </c>
      <c r="H33" s="8">
        <v>3.62</v>
      </c>
      <c r="I33" s="12">
        <v>0</v>
      </c>
    </row>
    <row r="34" spans="2:9" ht="15" customHeight="1" x14ac:dyDescent="0.2">
      <c r="B34" t="s">
        <v>94</v>
      </c>
      <c r="C34" s="12">
        <v>24</v>
      </c>
      <c r="D34" s="8">
        <v>2.4700000000000002</v>
      </c>
      <c r="E34" s="12">
        <v>9</v>
      </c>
      <c r="F34" s="8">
        <v>1.59</v>
      </c>
      <c r="G34" s="12">
        <v>14</v>
      </c>
      <c r="H34" s="8">
        <v>3.62</v>
      </c>
      <c r="I34" s="12">
        <v>0</v>
      </c>
    </row>
    <row r="35" spans="2:9" ht="15" customHeight="1" x14ac:dyDescent="0.2">
      <c r="B35" t="s">
        <v>100</v>
      </c>
      <c r="C35" s="12">
        <v>23</v>
      </c>
      <c r="D35" s="8">
        <v>2.37</v>
      </c>
      <c r="E35" s="12">
        <v>21</v>
      </c>
      <c r="F35" s="8">
        <v>3.7</v>
      </c>
      <c r="G35" s="12">
        <v>2</v>
      </c>
      <c r="H35" s="8">
        <v>0.52</v>
      </c>
      <c r="I35" s="12">
        <v>0</v>
      </c>
    </row>
    <row r="36" spans="2:9" ht="15" customHeight="1" x14ac:dyDescent="0.2">
      <c r="B36" t="s">
        <v>90</v>
      </c>
      <c r="C36" s="12">
        <v>22</v>
      </c>
      <c r="D36" s="8">
        <v>2.27</v>
      </c>
      <c r="E36" s="12">
        <v>16</v>
      </c>
      <c r="F36" s="8">
        <v>2.82</v>
      </c>
      <c r="G36" s="12">
        <v>6</v>
      </c>
      <c r="H36" s="8">
        <v>1.55</v>
      </c>
      <c r="I36" s="12">
        <v>0</v>
      </c>
    </row>
    <row r="37" spans="2:9" ht="15" customHeight="1" x14ac:dyDescent="0.2">
      <c r="B37" t="s">
        <v>93</v>
      </c>
      <c r="C37" s="12">
        <v>21</v>
      </c>
      <c r="D37" s="8">
        <v>2.16</v>
      </c>
      <c r="E37" s="12">
        <v>15</v>
      </c>
      <c r="F37" s="8">
        <v>2.65</v>
      </c>
      <c r="G37" s="12">
        <v>6</v>
      </c>
      <c r="H37" s="8">
        <v>1.55</v>
      </c>
      <c r="I37" s="12">
        <v>0</v>
      </c>
    </row>
    <row r="38" spans="2:9" ht="15" customHeight="1" x14ac:dyDescent="0.2">
      <c r="B38" t="s">
        <v>102</v>
      </c>
      <c r="C38" s="12">
        <v>19</v>
      </c>
      <c r="D38" s="8">
        <v>1.96</v>
      </c>
      <c r="E38" s="12">
        <v>17</v>
      </c>
      <c r="F38" s="8">
        <v>3</v>
      </c>
      <c r="G38" s="12">
        <v>2</v>
      </c>
      <c r="H38" s="8">
        <v>0.52</v>
      </c>
      <c r="I38" s="12">
        <v>0</v>
      </c>
    </row>
    <row r="39" spans="2:9" ht="15" customHeight="1" x14ac:dyDescent="0.2">
      <c r="B39" t="s">
        <v>110</v>
      </c>
      <c r="C39" s="12">
        <v>14</v>
      </c>
      <c r="D39" s="8">
        <v>1.44</v>
      </c>
      <c r="E39" s="12">
        <v>2</v>
      </c>
      <c r="F39" s="8">
        <v>0.35</v>
      </c>
      <c r="G39" s="12">
        <v>12</v>
      </c>
      <c r="H39" s="8">
        <v>3.1</v>
      </c>
      <c r="I39" s="12">
        <v>0</v>
      </c>
    </row>
    <row r="40" spans="2:9" ht="15" customHeight="1" x14ac:dyDescent="0.2">
      <c r="B40" t="s">
        <v>95</v>
      </c>
      <c r="C40" s="12">
        <v>13</v>
      </c>
      <c r="D40" s="8">
        <v>1.34</v>
      </c>
      <c r="E40" s="12">
        <v>10</v>
      </c>
      <c r="F40" s="8">
        <v>1.76</v>
      </c>
      <c r="G40" s="12">
        <v>3</v>
      </c>
      <c r="H40" s="8">
        <v>0.78</v>
      </c>
      <c r="I40" s="12">
        <v>0</v>
      </c>
    </row>
    <row r="41" spans="2:9" ht="15" customHeight="1" x14ac:dyDescent="0.2">
      <c r="B41" t="s">
        <v>114</v>
      </c>
      <c r="C41" s="12">
        <v>12</v>
      </c>
      <c r="D41" s="8">
        <v>1.24</v>
      </c>
      <c r="E41" s="12">
        <v>1</v>
      </c>
      <c r="F41" s="8">
        <v>0.18</v>
      </c>
      <c r="G41" s="12">
        <v>11</v>
      </c>
      <c r="H41" s="8">
        <v>2.84</v>
      </c>
      <c r="I41" s="12">
        <v>0</v>
      </c>
    </row>
    <row r="42" spans="2:9" ht="15" customHeight="1" x14ac:dyDescent="0.2">
      <c r="B42" t="s">
        <v>87</v>
      </c>
      <c r="C42" s="12">
        <v>12</v>
      </c>
      <c r="D42" s="8">
        <v>1.24</v>
      </c>
      <c r="E42" s="12">
        <v>1</v>
      </c>
      <c r="F42" s="8">
        <v>0.18</v>
      </c>
      <c r="G42" s="12">
        <v>11</v>
      </c>
      <c r="H42" s="8">
        <v>2.84</v>
      </c>
      <c r="I42" s="12">
        <v>0</v>
      </c>
    </row>
    <row r="43" spans="2:9" ht="15" customHeight="1" x14ac:dyDescent="0.2">
      <c r="B43" t="s">
        <v>103</v>
      </c>
      <c r="C43" s="12">
        <v>12</v>
      </c>
      <c r="D43" s="8">
        <v>1.24</v>
      </c>
      <c r="E43" s="12">
        <v>5</v>
      </c>
      <c r="F43" s="8">
        <v>0.88</v>
      </c>
      <c r="G43" s="12">
        <v>7</v>
      </c>
      <c r="H43" s="8">
        <v>1.81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66</v>
      </c>
      <c r="D47" s="8">
        <v>6.8</v>
      </c>
      <c r="E47" s="12">
        <v>65</v>
      </c>
      <c r="F47" s="8">
        <v>11.46</v>
      </c>
      <c r="G47" s="12">
        <v>1</v>
      </c>
      <c r="H47" s="8">
        <v>0.26</v>
      </c>
      <c r="I47" s="12">
        <v>0</v>
      </c>
    </row>
    <row r="48" spans="2:9" ht="15" customHeight="1" x14ac:dyDescent="0.2">
      <c r="B48" t="s">
        <v>168</v>
      </c>
      <c r="C48" s="12">
        <v>45</v>
      </c>
      <c r="D48" s="8">
        <v>4.6399999999999997</v>
      </c>
      <c r="E48" s="12">
        <v>35</v>
      </c>
      <c r="F48" s="8">
        <v>6.17</v>
      </c>
      <c r="G48" s="12">
        <v>10</v>
      </c>
      <c r="H48" s="8">
        <v>2.58</v>
      </c>
      <c r="I48" s="12">
        <v>0</v>
      </c>
    </row>
    <row r="49" spans="2:9" ht="15" customHeight="1" x14ac:dyDescent="0.2">
      <c r="B49" t="s">
        <v>173</v>
      </c>
      <c r="C49" s="12">
        <v>37</v>
      </c>
      <c r="D49" s="8">
        <v>3.81</v>
      </c>
      <c r="E49" s="12">
        <v>37</v>
      </c>
      <c r="F49" s="8">
        <v>6.53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171</v>
      </c>
      <c r="C50" s="12">
        <v>32</v>
      </c>
      <c r="D50" s="8">
        <v>3.3</v>
      </c>
      <c r="E50" s="12">
        <v>29</v>
      </c>
      <c r="F50" s="8">
        <v>5.1100000000000003</v>
      </c>
      <c r="G50" s="12">
        <v>3</v>
      </c>
      <c r="H50" s="8">
        <v>0.78</v>
      </c>
      <c r="I50" s="12">
        <v>0</v>
      </c>
    </row>
    <row r="51" spans="2:9" ht="15" customHeight="1" x14ac:dyDescent="0.2">
      <c r="B51" t="s">
        <v>172</v>
      </c>
      <c r="C51" s="12">
        <v>31</v>
      </c>
      <c r="D51" s="8">
        <v>3.2</v>
      </c>
      <c r="E51" s="12">
        <v>30</v>
      </c>
      <c r="F51" s="8">
        <v>5.29</v>
      </c>
      <c r="G51" s="12">
        <v>1</v>
      </c>
      <c r="H51" s="8">
        <v>0.26</v>
      </c>
      <c r="I51" s="12">
        <v>0</v>
      </c>
    </row>
    <row r="52" spans="2:9" ht="15" customHeight="1" x14ac:dyDescent="0.2">
      <c r="B52" t="s">
        <v>170</v>
      </c>
      <c r="C52" s="12">
        <v>29</v>
      </c>
      <c r="D52" s="8">
        <v>2.99</v>
      </c>
      <c r="E52" s="12">
        <v>23</v>
      </c>
      <c r="F52" s="8">
        <v>4.0599999999999996</v>
      </c>
      <c r="G52" s="12">
        <v>6</v>
      </c>
      <c r="H52" s="8">
        <v>1.55</v>
      </c>
      <c r="I52" s="12">
        <v>0</v>
      </c>
    </row>
    <row r="53" spans="2:9" ht="15" customHeight="1" x14ac:dyDescent="0.2">
      <c r="B53" t="s">
        <v>166</v>
      </c>
      <c r="C53" s="12">
        <v>28</v>
      </c>
      <c r="D53" s="8">
        <v>2.89</v>
      </c>
      <c r="E53" s="12">
        <v>16</v>
      </c>
      <c r="F53" s="8">
        <v>2.82</v>
      </c>
      <c r="G53" s="12">
        <v>12</v>
      </c>
      <c r="H53" s="8">
        <v>3.1</v>
      </c>
      <c r="I53" s="12">
        <v>0</v>
      </c>
    </row>
    <row r="54" spans="2:9" ht="15" customHeight="1" x14ac:dyDescent="0.2">
      <c r="B54" t="s">
        <v>161</v>
      </c>
      <c r="C54" s="12">
        <v>22</v>
      </c>
      <c r="D54" s="8">
        <v>2.27</v>
      </c>
      <c r="E54" s="12">
        <v>11</v>
      </c>
      <c r="F54" s="8">
        <v>1.94</v>
      </c>
      <c r="G54" s="12">
        <v>11</v>
      </c>
      <c r="H54" s="8">
        <v>2.84</v>
      </c>
      <c r="I54" s="12">
        <v>0</v>
      </c>
    </row>
    <row r="55" spans="2:9" ht="15" customHeight="1" x14ac:dyDescent="0.2">
      <c r="B55" t="s">
        <v>165</v>
      </c>
      <c r="C55" s="12">
        <v>22</v>
      </c>
      <c r="D55" s="8">
        <v>2.27</v>
      </c>
      <c r="E55" s="12">
        <v>9</v>
      </c>
      <c r="F55" s="8">
        <v>1.59</v>
      </c>
      <c r="G55" s="12">
        <v>13</v>
      </c>
      <c r="H55" s="8">
        <v>3.36</v>
      </c>
      <c r="I55" s="12">
        <v>0</v>
      </c>
    </row>
    <row r="56" spans="2:9" ht="15" customHeight="1" x14ac:dyDescent="0.2">
      <c r="B56" t="s">
        <v>158</v>
      </c>
      <c r="C56" s="12">
        <v>21</v>
      </c>
      <c r="D56" s="8">
        <v>2.16</v>
      </c>
      <c r="E56" s="12">
        <v>3</v>
      </c>
      <c r="F56" s="8">
        <v>0.53</v>
      </c>
      <c r="G56" s="12">
        <v>18</v>
      </c>
      <c r="H56" s="8">
        <v>4.6500000000000004</v>
      </c>
      <c r="I56" s="12">
        <v>0</v>
      </c>
    </row>
    <row r="57" spans="2:9" ht="15" customHeight="1" x14ac:dyDescent="0.2">
      <c r="B57" t="s">
        <v>160</v>
      </c>
      <c r="C57" s="12">
        <v>21</v>
      </c>
      <c r="D57" s="8">
        <v>2.16</v>
      </c>
      <c r="E57" s="12">
        <v>14</v>
      </c>
      <c r="F57" s="8">
        <v>2.4700000000000002</v>
      </c>
      <c r="G57" s="12">
        <v>7</v>
      </c>
      <c r="H57" s="8">
        <v>1.81</v>
      </c>
      <c r="I57" s="12">
        <v>0</v>
      </c>
    </row>
    <row r="58" spans="2:9" ht="15" customHeight="1" x14ac:dyDescent="0.2">
      <c r="B58" t="s">
        <v>177</v>
      </c>
      <c r="C58" s="12">
        <v>19</v>
      </c>
      <c r="D58" s="8">
        <v>1.96</v>
      </c>
      <c r="E58" s="12">
        <v>17</v>
      </c>
      <c r="F58" s="8">
        <v>3</v>
      </c>
      <c r="G58" s="12">
        <v>2</v>
      </c>
      <c r="H58" s="8">
        <v>0.52</v>
      </c>
      <c r="I58" s="12">
        <v>0</v>
      </c>
    </row>
    <row r="59" spans="2:9" ht="15" customHeight="1" x14ac:dyDescent="0.2">
      <c r="B59" t="s">
        <v>163</v>
      </c>
      <c r="C59" s="12">
        <v>18</v>
      </c>
      <c r="D59" s="8">
        <v>1.86</v>
      </c>
      <c r="E59" s="12">
        <v>6</v>
      </c>
      <c r="F59" s="8">
        <v>1.06</v>
      </c>
      <c r="G59" s="12">
        <v>12</v>
      </c>
      <c r="H59" s="8">
        <v>3.1</v>
      </c>
      <c r="I59" s="12">
        <v>0</v>
      </c>
    </row>
    <row r="60" spans="2:9" ht="15" customHeight="1" x14ac:dyDescent="0.2">
      <c r="B60" t="s">
        <v>190</v>
      </c>
      <c r="C60" s="12">
        <v>15</v>
      </c>
      <c r="D60" s="8">
        <v>1.55</v>
      </c>
      <c r="E60" s="12">
        <v>8</v>
      </c>
      <c r="F60" s="8">
        <v>1.41</v>
      </c>
      <c r="G60" s="12">
        <v>7</v>
      </c>
      <c r="H60" s="8">
        <v>1.81</v>
      </c>
      <c r="I60" s="12">
        <v>0</v>
      </c>
    </row>
    <row r="61" spans="2:9" ht="15" customHeight="1" x14ac:dyDescent="0.2">
      <c r="B61" t="s">
        <v>175</v>
      </c>
      <c r="C61" s="12">
        <v>15</v>
      </c>
      <c r="D61" s="8">
        <v>1.55</v>
      </c>
      <c r="E61" s="12">
        <v>13</v>
      </c>
      <c r="F61" s="8">
        <v>2.29</v>
      </c>
      <c r="G61" s="12">
        <v>2</v>
      </c>
      <c r="H61" s="8">
        <v>0.52</v>
      </c>
      <c r="I61" s="12">
        <v>0</v>
      </c>
    </row>
    <row r="62" spans="2:9" ht="15" customHeight="1" x14ac:dyDescent="0.2">
      <c r="B62" t="s">
        <v>176</v>
      </c>
      <c r="C62" s="12">
        <v>15</v>
      </c>
      <c r="D62" s="8">
        <v>1.55</v>
      </c>
      <c r="E62" s="12">
        <v>13</v>
      </c>
      <c r="F62" s="8">
        <v>2.29</v>
      </c>
      <c r="G62" s="12">
        <v>2</v>
      </c>
      <c r="H62" s="8">
        <v>0.52</v>
      </c>
      <c r="I62" s="12">
        <v>0</v>
      </c>
    </row>
    <row r="63" spans="2:9" ht="15" customHeight="1" x14ac:dyDescent="0.2">
      <c r="B63" t="s">
        <v>185</v>
      </c>
      <c r="C63" s="12">
        <v>14</v>
      </c>
      <c r="D63" s="8">
        <v>1.44</v>
      </c>
      <c r="E63" s="12">
        <v>1</v>
      </c>
      <c r="F63" s="8">
        <v>0.18</v>
      </c>
      <c r="G63" s="12">
        <v>13</v>
      </c>
      <c r="H63" s="8">
        <v>3.36</v>
      </c>
      <c r="I63" s="12">
        <v>0</v>
      </c>
    </row>
    <row r="64" spans="2:9" ht="15" customHeight="1" x14ac:dyDescent="0.2">
      <c r="B64" t="s">
        <v>169</v>
      </c>
      <c r="C64" s="12">
        <v>14</v>
      </c>
      <c r="D64" s="8">
        <v>1.44</v>
      </c>
      <c r="E64" s="12">
        <v>2</v>
      </c>
      <c r="F64" s="8">
        <v>0.35</v>
      </c>
      <c r="G64" s="12">
        <v>11</v>
      </c>
      <c r="H64" s="8">
        <v>2.84</v>
      </c>
      <c r="I64" s="12">
        <v>0</v>
      </c>
    </row>
    <row r="65" spans="2:9" ht="15" customHeight="1" x14ac:dyDescent="0.2">
      <c r="B65" t="s">
        <v>192</v>
      </c>
      <c r="C65" s="12">
        <v>12</v>
      </c>
      <c r="D65" s="8">
        <v>1.24</v>
      </c>
      <c r="E65" s="12">
        <v>1</v>
      </c>
      <c r="F65" s="8">
        <v>0.18</v>
      </c>
      <c r="G65" s="12">
        <v>11</v>
      </c>
      <c r="H65" s="8">
        <v>2.84</v>
      </c>
      <c r="I65" s="12">
        <v>0</v>
      </c>
    </row>
    <row r="66" spans="2:9" ht="15" customHeight="1" x14ac:dyDescent="0.2">
      <c r="B66" t="s">
        <v>178</v>
      </c>
      <c r="C66" s="12">
        <v>12</v>
      </c>
      <c r="D66" s="8">
        <v>1.24</v>
      </c>
      <c r="E66" s="12">
        <v>7</v>
      </c>
      <c r="F66" s="8">
        <v>1.23</v>
      </c>
      <c r="G66" s="12">
        <v>5</v>
      </c>
      <c r="H66" s="8">
        <v>1.29</v>
      </c>
      <c r="I66" s="12">
        <v>0</v>
      </c>
    </row>
    <row r="67" spans="2:9" ht="15" customHeight="1" x14ac:dyDescent="0.2">
      <c r="B67" t="s">
        <v>193</v>
      </c>
      <c r="C67" s="12">
        <v>12</v>
      </c>
      <c r="D67" s="8">
        <v>1.24</v>
      </c>
      <c r="E67" s="12">
        <v>10</v>
      </c>
      <c r="F67" s="8">
        <v>1.76</v>
      </c>
      <c r="G67" s="12">
        <v>2</v>
      </c>
      <c r="H67" s="8">
        <v>0.52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2F57-2B9E-4F92-B04F-80B38A67ECF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3</v>
      </c>
      <c r="D5" s="8">
        <v>0.21</v>
      </c>
      <c r="E5" s="12">
        <v>2</v>
      </c>
      <c r="F5" s="8">
        <v>0.23</v>
      </c>
      <c r="G5" s="12">
        <v>1</v>
      </c>
      <c r="H5" s="8">
        <v>0.19</v>
      </c>
      <c r="I5" s="12">
        <v>0</v>
      </c>
    </row>
    <row r="6" spans="2:9" ht="15" customHeight="1" x14ac:dyDescent="0.2">
      <c r="B6" t="s">
        <v>61</v>
      </c>
      <c r="C6" s="12">
        <v>264</v>
      </c>
      <c r="D6" s="8">
        <v>18.670000000000002</v>
      </c>
      <c r="E6" s="12">
        <v>126</v>
      </c>
      <c r="F6" s="8">
        <v>14.7</v>
      </c>
      <c r="G6" s="12">
        <v>138</v>
      </c>
      <c r="H6" s="8">
        <v>25.65</v>
      </c>
      <c r="I6" s="12">
        <v>0</v>
      </c>
    </row>
    <row r="7" spans="2:9" ht="15" customHeight="1" x14ac:dyDescent="0.2">
      <c r="B7" t="s">
        <v>62</v>
      </c>
      <c r="C7" s="12">
        <v>131</v>
      </c>
      <c r="D7" s="8">
        <v>9.26</v>
      </c>
      <c r="E7" s="12">
        <v>47</v>
      </c>
      <c r="F7" s="8">
        <v>5.48</v>
      </c>
      <c r="G7" s="12">
        <v>83</v>
      </c>
      <c r="H7" s="8">
        <v>15.43</v>
      </c>
      <c r="I7" s="12">
        <v>0</v>
      </c>
    </row>
    <row r="8" spans="2:9" ht="15" customHeight="1" x14ac:dyDescent="0.2">
      <c r="B8" t="s">
        <v>63</v>
      </c>
      <c r="C8" s="12">
        <v>4</v>
      </c>
      <c r="D8" s="8">
        <v>0.28000000000000003</v>
      </c>
      <c r="E8" s="12">
        <v>0</v>
      </c>
      <c r="F8" s="8">
        <v>0</v>
      </c>
      <c r="G8" s="12">
        <v>4</v>
      </c>
      <c r="H8" s="8">
        <v>0.74</v>
      </c>
      <c r="I8" s="12">
        <v>0</v>
      </c>
    </row>
    <row r="9" spans="2:9" ht="15" customHeight="1" x14ac:dyDescent="0.2">
      <c r="B9" t="s">
        <v>64</v>
      </c>
      <c r="C9" s="12">
        <v>3</v>
      </c>
      <c r="D9" s="8">
        <v>0.21</v>
      </c>
      <c r="E9" s="12">
        <v>1</v>
      </c>
      <c r="F9" s="8">
        <v>0.12</v>
      </c>
      <c r="G9" s="12">
        <v>2</v>
      </c>
      <c r="H9" s="8">
        <v>0.37</v>
      </c>
      <c r="I9" s="12">
        <v>0</v>
      </c>
    </row>
    <row r="10" spans="2:9" ht="15" customHeight="1" x14ac:dyDescent="0.2">
      <c r="B10" t="s">
        <v>65</v>
      </c>
      <c r="C10" s="12">
        <v>9</v>
      </c>
      <c r="D10" s="8">
        <v>0.64</v>
      </c>
      <c r="E10" s="12">
        <v>4</v>
      </c>
      <c r="F10" s="8">
        <v>0.47</v>
      </c>
      <c r="G10" s="12">
        <v>4</v>
      </c>
      <c r="H10" s="8">
        <v>0.74</v>
      </c>
      <c r="I10" s="12">
        <v>1</v>
      </c>
    </row>
    <row r="11" spans="2:9" ht="15" customHeight="1" x14ac:dyDescent="0.2">
      <c r="B11" t="s">
        <v>66</v>
      </c>
      <c r="C11" s="12">
        <v>350</v>
      </c>
      <c r="D11" s="8">
        <v>24.75</v>
      </c>
      <c r="E11" s="12">
        <v>200</v>
      </c>
      <c r="F11" s="8">
        <v>23.34</v>
      </c>
      <c r="G11" s="12">
        <v>150</v>
      </c>
      <c r="H11" s="8">
        <v>27.88</v>
      </c>
      <c r="I11" s="12">
        <v>0</v>
      </c>
    </row>
    <row r="12" spans="2:9" ht="15" customHeight="1" x14ac:dyDescent="0.2">
      <c r="B12" t="s">
        <v>67</v>
      </c>
      <c r="C12" s="12">
        <v>6</v>
      </c>
      <c r="D12" s="8">
        <v>0.42</v>
      </c>
      <c r="E12" s="12">
        <v>2</v>
      </c>
      <c r="F12" s="8">
        <v>0.23</v>
      </c>
      <c r="G12" s="12">
        <v>4</v>
      </c>
      <c r="H12" s="8">
        <v>0.74</v>
      </c>
      <c r="I12" s="12">
        <v>0</v>
      </c>
    </row>
    <row r="13" spans="2:9" ht="15" customHeight="1" x14ac:dyDescent="0.2">
      <c r="B13" t="s">
        <v>68</v>
      </c>
      <c r="C13" s="12">
        <v>155</v>
      </c>
      <c r="D13" s="8">
        <v>10.96</v>
      </c>
      <c r="E13" s="12">
        <v>123</v>
      </c>
      <c r="F13" s="8">
        <v>14.35</v>
      </c>
      <c r="G13" s="12">
        <v>32</v>
      </c>
      <c r="H13" s="8">
        <v>5.95</v>
      </c>
      <c r="I13" s="12">
        <v>0</v>
      </c>
    </row>
    <row r="14" spans="2:9" ht="15" customHeight="1" x14ac:dyDescent="0.2">
      <c r="B14" t="s">
        <v>69</v>
      </c>
      <c r="C14" s="12">
        <v>37</v>
      </c>
      <c r="D14" s="8">
        <v>2.62</v>
      </c>
      <c r="E14" s="12">
        <v>23</v>
      </c>
      <c r="F14" s="8">
        <v>2.68</v>
      </c>
      <c r="G14" s="12">
        <v>14</v>
      </c>
      <c r="H14" s="8">
        <v>2.6</v>
      </c>
      <c r="I14" s="12">
        <v>0</v>
      </c>
    </row>
    <row r="15" spans="2:9" ht="15" customHeight="1" x14ac:dyDescent="0.2">
      <c r="B15" t="s">
        <v>70</v>
      </c>
      <c r="C15" s="12">
        <v>142</v>
      </c>
      <c r="D15" s="8">
        <v>10.039999999999999</v>
      </c>
      <c r="E15" s="12">
        <v>102</v>
      </c>
      <c r="F15" s="8">
        <v>11.9</v>
      </c>
      <c r="G15" s="12">
        <v>38</v>
      </c>
      <c r="H15" s="8">
        <v>7.06</v>
      </c>
      <c r="I15" s="12">
        <v>0</v>
      </c>
    </row>
    <row r="16" spans="2:9" ht="15" customHeight="1" x14ac:dyDescent="0.2">
      <c r="B16" t="s">
        <v>71</v>
      </c>
      <c r="C16" s="12">
        <v>170</v>
      </c>
      <c r="D16" s="8">
        <v>12.02</v>
      </c>
      <c r="E16" s="12">
        <v>144</v>
      </c>
      <c r="F16" s="8">
        <v>16.8</v>
      </c>
      <c r="G16" s="12">
        <v>25</v>
      </c>
      <c r="H16" s="8">
        <v>4.6500000000000004</v>
      </c>
      <c r="I16" s="12">
        <v>0</v>
      </c>
    </row>
    <row r="17" spans="2:9" ht="15" customHeight="1" x14ac:dyDescent="0.2">
      <c r="B17" t="s">
        <v>72</v>
      </c>
      <c r="C17" s="12">
        <v>29</v>
      </c>
      <c r="D17" s="8">
        <v>2.0499999999999998</v>
      </c>
      <c r="E17" s="12">
        <v>19</v>
      </c>
      <c r="F17" s="8">
        <v>2.2200000000000002</v>
      </c>
      <c r="G17" s="12">
        <v>7</v>
      </c>
      <c r="H17" s="8">
        <v>1.3</v>
      </c>
      <c r="I17" s="12">
        <v>0</v>
      </c>
    </row>
    <row r="18" spans="2:9" ht="15" customHeight="1" x14ac:dyDescent="0.2">
      <c r="B18" t="s">
        <v>73</v>
      </c>
      <c r="C18" s="12">
        <v>57</v>
      </c>
      <c r="D18" s="8">
        <v>4.03</v>
      </c>
      <c r="E18" s="12">
        <v>34</v>
      </c>
      <c r="F18" s="8">
        <v>3.97</v>
      </c>
      <c r="G18" s="12">
        <v>15</v>
      </c>
      <c r="H18" s="8">
        <v>2.79</v>
      </c>
      <c r="I18" s="12">
        <v>0</v>
      </c>
    </row>
    <row r="19" spans="2:9" ht="15" customHeight="1" x14ac:dyDescent="0.2">
      <c r="B19" t="s">
        <v>74</v>
      </c>
      <c r="C19" s="12">
        <v>54</v>
      </c>
      <c r="D19" s="8">
        <v>3.82</v>
      </c>
      <c r="E19" s="12">
        <v>30</v>
      </c>
      <c r="F19" s="8">
        <v>3.5</v>
      </c>
      <c r="G19" s="12">
        <v>21</v>
      </c>
      <c r="H19" s="8">
        <v>3.9</v>
      </c>
      <c r="I19" s="12">
        <v>2</v>
      </c>
    </row>
    <row r="20" spans="2:9" ht="15" customHeight="1" x14ac:dyDescent="0.2">
      <c r="B20" s="9" t="s">
        <v>337</v>
      </c>
      <c r="C20" s="12">
        <f>SUM(LTBL_07210[総数／事業所数])</f>
        <v>1414</v>
      </c>
      <c r="E20" s="12">
        <f>SUBTOTAL(109,LTBL_07210[個人／事業所数])</f>
        <v>857</v>
      </c>
      <c r="G20" s="12">
        <f>SUBTOTAL(109,LTBL_07210[法人／事業所数])</f>
        <v>538</v>
      </c>
      <c r="I20" s="12">
        <f>SUBTOTAL(109,LTBL_07210[法人以外の団体／事業所数])</f>
        <v>3</v>
      </c>
    </row>
    <row r="21" spans="2:9" ht="15" customHeight="1" x14ac:dyDescent="0.2">
      <c r="E21" s="11">
        <f>LTBL_07210[[#Totals],[個人／事業所数]]/LTBL_07210[[#Totals],[総数／事業所数]]</f>
        <v>0.60608203677510608</v>
      </c>
      <c r="G21" s="11">
        <f>LTBL_07210[[#Totals],[法人／事業所数]]/LTBL_07210[[#Totals],[総数／事業所数]]</f>
        <v>0.38048090523338046</v>
      </c>
      <c r="I21" s="11">
        <f>LTBL_07210[[#Totals],[法人以外の団体／事業所数]]/LTBL_07210[[#Totals],[総数／事業所数]]</f>
        <v>2.1216407355021216E-3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150</v>
      </c>
      <c r="D24" s="8">
        <v>10.61</v>
      </c>
      <c r="E24" s="12">
        <v>134</v>
      </c>
      <c r="F24" s="8">
        <v>15.64</v>
      </c>
      <c r="G24" s="12">
        <v>16</v>
      </c>
      <c r="H24" s="8">
        <v>2.97</v>
      </c>
      <c r="I24" s="12">
        <v>0</v>
      </c>
    </row>
    <row r="25" spans="2:9" ht="15" customHeight="1" x14ac:dyDescent="0.2">
      <c r="B25" t="s">
        <v>92</v>
      </c>
      <c r="C25" s="12">
        <v>139</v>
      </c>
      <c r="D25" s="8">
        <v>9.83</v>
      </c>
      <c r="E25" s="12">
        <v>119</v>
      </c>
      <c r="F25" s="8">
        <v>13.89</v>
      </c>
      <c r="G25" s="12">
        <v>20</v>
      </c>
      <c r="H25" s="8">
        <v>3.72</v>
      </c>
      <c r="I25" s="12">
        <v>0</v>
      </c>
    </row>
    <row r="26" spans="2:9" ht="15" customHeight="1" x14ac:dyDescent="0.2">
      <c r="B26" t="s">
        <v>84</v>
      </c>
      <c r="C26" s="12">
        <v>117</v>
      </c>
      <c r="D26" s="8">
        <v>8.27</v>
      </c>
      <c r="E26" s="12">
        <v>66</v>
      </c>
      <c r="F26" s="8">
        <v>7.7</v>
      </c>
      <c r="G26" s="12">
        <v>51</v>
      </c>
      <c r="H26" s="8">
        <v>9.48</v>
      </c>
      <c r="I26" s="12">
        <v>0</v>
      </c>
    </row>
    <row r="27" spans="2:9" ht="15" customHeight="1" x14ac:dyDescent="0.2">
      <c r="B27" t="s">
        <v>96</v>
      </c>
      <c r="C27" s="12">
        <v>116</v>
      </c>
      <c r="D27" s="8">
        <v>8.1999999999999993</v>
      </c>
      <c r="E27" s="12">
        <v>94</v>
      </c>
      <c r="F27" s="8">
        <v>10.97</v>
      </c>
      <c r="G27" s="12">
        <v>22</v>
      </c>
      <c r="H27" s="8">
        <v>4.09</v>
      </c>
      <c r="I27" s="12">
        <v>0</v>
      </c>
    </row>
    <row r="28" spans="2:9" ht="15" customHeight="1" x14ac:dyDescent="0.2">
      <c r="B28" t="s">
        <v>91</v>
      </c>
      <c r="C28" s="12">
        <v>111</v>
      </c>
      <c r="D28" s="8">
        <v>7.85</v>
      </c>
      <c r="E28" s="12">
        <v>59</v>
      </c>
      <c r="F28" s="8">
        <v>6.88</v>
      </c>
      <c r="G28" s="12">
        <v>52</v>
      </c>
      <c r="H28" s="8">
        <v>9.67</v>
      </c>
      <c r="I28" s="12">
        <v>0</v>
      </c>
    </row>
    <row r="29" spans="2:9" ht="15" customHeight="1" x14ac:dyDescent="0.2">
      <c r="B29" t="s">
        <v>83</v>
      </c>
      <c r="C29" s="12">
        <v>100</v>
      </c>
      <c r="D29" s="8">
        <v>7.07</v>
      </c>
      <c r="E29" s="12">
        <v>44</v>
      </c>
      <c r="F29" s="8">
        <v>5.13</v>
      </c>
      <c r="G29" s="12">
        <v>56</v>
      </c>
      <c r="H29" s="8">
        <v>10.41</v>
      </c>
      <c r="I29" s="12">
        <v>0</v>
      </c>
    </row>
    <row r="30" spans="2:9" ht="15" customHeight="1" x14ac:dyDescent="0.2">
      <c r="B30" t="s">
        <v>89</v>
      </c>
      <c r="C30" s="12">
        <v>97</v>
      </c>
      <c r="D30" s="8">
        <v>6.86</v>
      </c>
      <c r="E30" s="12">
        <v>75</v>
      </c>
      <c r="F30" s="8">
        <v>8.75</v>
      </c>
      <c r="G30" s="12">
        <v>22</v>
      </c>
      <c r="H30" s="8">
        <v>4.09</v>
      </c>
      <c r="I30" s="12">
        <v>0</v>
      </c>
    </row>
    <row r="31" spans="2:9" ht="15" customHeight="1" x14ac:dyDescent="0.2">
      <c r="B31" t="s">
        <v>85</v>
      </c>
      <c r="C31" s="12">
        <v>47</v>
      </c>
      <c r="D31" s="8">
        <v>3.32</v>
      </c>
      <c r="E31" s="12">
        <v>16</v>
      </c>
      <c r="F31" s="8">
        <v>1.87</v>
      </c>
      <c r="G31" s="12">
        <v>31</v>
      </c>
      <c r="H31" s="8">
        <v>5.76</v>
      </c>
      <c r="I31" s="12">
        <v>0</v>
      </c>
    </row>
    <row r="32" spans="2:9" ht="15" customHeight="1" x14ac:dyDescent="0.2">
      <c r="B32" t="s">
        <v>90</v>
      </c>
      <c r="C32" s="12">
        <v>45</v>
      </c>
      <c r="D32" s="8">
        <v>3.18</v>
      </c>
      <c r="E32" s="12">
        <v>25</v>
      </c>
      <c r="F32" s="8">
        <v>2.92</v>
      </c>
      <c r="G32" s="12">
        <v>20</v>
      </c>
      <c r="H32" s="8">
        <v>3.72</v>
      </c>
      <c r="I32" s="12">
        <v>0</v>
      </c>
    </row>
    <row r="33" spans="2:9" ht="15" customHeight="1" x14ac:dyDescent="0.2">
      <c r="B33" t="s">
        <v>100</v>
      </c>
      <c r="C33" s="12">
        <v>36</v>
      </c>
      <c r="D33" s="8">
        <v>2.5499999999999998</v>
      </c>
      <c r="E33" s="12">
        <v>34</v>
      </c>
      <c r="F33" s="8">
        <v>3.97</v>
      </c>
      <c r="G33" s="12">
        <v>2</v>
      </c>
      <c r="H33" s="8">
        <v>0.37</v>
      </c>
      <c r="I33" s="12">
        <v>0</v>
      </c>
    </row>
    <row r="34" spans="2:9" ht="15" customHeight="1" x14ac:dyDescent="0.2">
      <c r="B34" t="s">
        <v>102</v>
      </c>
      <c r="C34" s="12">
        <v>32</v>
      </c>
      <c r="D34" s="8">
        <v>2.2599999999999998</v>
      </c>
      <c r="E34" s="12">
        <v>25</v>
      </c>
      <c r="F34" s="8">
        <v>2.92</v>
      </c>
      <c r="G34" s="12">
        <v>7</v>
      </c>
      <c r="H34" s="8">
        <v>1.3</v>
      </c>
      <c r="I34" s="12">
        <v>0</v>
      </c>
    </row>
    <row r="35" spans="2:9" ht="15" customHeight="1" x14ac:dyDescent="0.2">
      <c r="B35" t="s">
        <v>88</v>
      </c>
      <c r="C35" s="12">
        <v>31</v>
      </c>
      <c r="D35" s="8">
        <v>2.19</v>
      </c>
      <c r="E35" s="12">
        <v>23</v>
      </c>
      <c r="F35" s="8">
        <v>2.68</v>
      </c>
      <c r="G35" s="12">
        <v>8</v>
      </c>
      <c r="H35" s="8">
        <v>1.49</v>
      </c>
      <c r="I35" s="12">
        <v>0</v>
      </c>
    </row>
    <row r="36" spans="2:9" ht="15" customHeight="1" x14ac:dyDescent="0.2">
      <c r="B36" t="s">
        <v>99</v>
      </c>
      <c r="C36" s="12">
        <v>29</v>
      </c>
      <c r="D36" s="8">
        <v>2.0499999999999998</v>
      </c>
      <c r="E36" s="12">
        <v>19</v>
      </c>
      <c r="F36" s="8">
        <v>2.2200000000000002</v>
      </c>
      <c r="G36" s="12">
        <v>7</v>
      </c>
      <c r="H36" s="8">
        <v>1.3</v>
      </c>
      <c r="I36" s="12">
        <v>0</v>
      </c>
    </row>
    <row r="37" spans="2:9" ht="15" customHeight="1" x14ac:dyDescent="0.2">
      <c r="B37" t="s">
        <v>101</v>
      </c>
      <c r="C37" s="12">
        <v>21</v>
      </c>
      <c r="D37" s="8">
        <v>1.49</v>
      </c>
      <c r="E37" s="12">
        <v>0</v>
      </c>
      <c r="F37" s="8">
        <v>0</v>
      </c>
      <c r="G37" s="12">
        <v>13</v>
      </c>
      <c r="H37" s="8">
        <v>2.42</v>
      </c>
      <c r="I37" s="12">
        <v>0</v>
      </c>
    </row>
    <row r="38" spans="2:9" ht="15" customHeight="1" x14ac:dyDescent="0.2">
      <c r="B38" t="s">
        <v>115</v>
      </c>
      <c r="C38" s="12">
        <v>20</v>
      </c>
      <c r="D38" s="8">
        <v>1.41</v>
      </c>
      <c r="E38" s="12">
        <v>10</v>
      </c>
      <c r="F38" s="8">
        <v>1.17</v>
      </c>
      <c r="G38" s="12">
        <v>10</v>
      </c>
      <c r="H38" s="8">
        <v>1.86</v>
      </c>
      <c r="I38" s="12">
        <v>0</v>
      </c>
    </row>
    <row r="39" spans="2:9" ht="15" customHeight="1" x14ac:dyDescent="0.2">
      <c r="B39" t="s">
        <v>93</v>
      </c>
      <c r="C39" s="12">
        <v>20</v>
      </c>
      <c r="D39" s="8">
        <v>1.41</v>
      </c>
      <c r="E39" s="12">
        <v>16</v>
      </c>
      <c r="F39" s="8">
        <v>1.87</v>
      </c>
      <c r="G39" s="12">
        <v>4</v>
      </c>
      <c r="H39" s="8">
        <v>0.74</v>
      </c>
      <c r="I39" s="12">
        <v>0</v>
      </c>
    </row>
    <row r="40" spans="2:9" ht="15" customHeight="1" x14ac:dyDescent="0.2">
      <c r="B40" t="s">
        <v>98</v>
      </c>
      <c r="C40" s="12">
        <v>18</v>
      </c>
      <c r="D40" s="8">
        <v>1.27</v>
      </c>
      <c r="E40" s="12">
        <v>9</v>
      </c>
      <c r="F40" s="8">
        <v>1.05</v>
      </c>
      <c r="G40" s="12">
        <v>8</v>
      </c>
      <c r="H40" s="8">
        <v>1.49</v>
      </c>
      <c r="I40" s="12">
        <v>0</v>
      </c>
    </row>
    <row r="41" spans="2:9" ht="15" customHeight="1" x14ac:dyDescent="0.2">
      <c r="B41" t="s">
        <v>106</v>
      </c>
      <c r="C41" s="12">
        <v>17</v>
      </c>
      <c r="D41" s="8">
        <v>1.2</v>
      </c>
      <c r="E41" s="12">
        <v>6</v>
      </c>
      <c r="F41" s="8">
        <v>0.7</v>
      </c>
      <c r="G41" s="12">
        <v>11</v>
      </c>
      <c r="H41" s="8">
        <v>2.04</v>
      </c>
      <c r="I41" s="12">
        <v>0</v>
      </c>
    </row>
    <row r="42" spans="2:9" ht="15" customHeight="1" x14ac:dyDescent="0.2">
      <c r="B42" t="s">
        <v>94</v>
      </c>
      <c r="C42" s="12">
        <v>17</v>
      </c>
      <c r="D42" s="8">
        <v>1.2</v>
      </c>
      <c r="E42" s="12">
        <v>7</v>
      </c>
      <c r="F42" s="8">
        <v>0.82</v>
      </c>
      <c r="G42" s="12">
        <v>10</v>
      </c>
      <c r="H42" s="8">
        <v>1.86</v>
      </c>
      <c r="I42" s="12">
        <v>0</v>
      </c>
    </row>
    <row r="43" spans="2:9" ht="15" customHeight="1" x14ac:dyDescent="0.2">
      <c r="B43" t="s">
        <v>110</v>
      </c>
      <c r="C43" s="12">
        <v>16</v>
      </c>
      <c r="D43" s="8">
        <v>1.1299999999999999</v>
      </c>
      <c r="E43" s="12">
        <v>7</v>
      </c>
      <c r="F43" s="8">
        <v>0.82</v>
      </c>
      <c r="G43" s="12">
        <v>9</v>
      </c>
      <c r="H43" s="8">
        <v>1.67</v>
      </c>
      <c r="I43" s="12">
        <v>0</v>
      </c>
    </row>
    <row r="44" spans="2:9" ht="15" customHeight="1" x14ac:dyDescent="0.2">
      <c r="B44" t="s">
        <v>86</v>
      </c>
      <c r="C44" s="12">
        <v>16</v>
      </c>
      <c r="D44" s="8">
        <v>1.1299999999999999</v>
      </c>
      <c r="E44" s="12">
        <v>5</v>
      </c>
      <c r="F44" s="8">
        <v>0.57999999999999996</v>
      </c>
      <c r="G44" s="12">
        <v>11</v>
      </c>
      <c r="H44" s="8">
        <v>2.04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168</v>
      </c>
      <c r="C48" s="12">
        <v>111</v>
      </c>
      <c r="D48" s="8">
        <v>7.85</v>
      </c>
      <c r="E48" s="12">
        <v>99</v>
      </c>
      <c r="F48" s="8">
        <v>11.55</v>
      </c>
      <c r="G48" s="12">
        <v>12</v>
      </c>
      <c r="H48" s="8">
        <v>2.23</v>
      </c>
      <c r="I48" s="12">
        <v>0</v>
      </c>
    </row>
    <row r="49" spans="2:9" ht="15" customHeight="1" x14ac:dyDescent="0.2">
      <c r="B49" t="s">
        <v>174</v>
      </c>
      <c r="C49" s="12">
        <v>77</v>
      </c>
      <c r="D49" s="8">
        <v>5.45</v>
      </c>
      <c r="E49" s="12">
        <v>75</v>
      </c>
      <c r="F49" s="8">
        <v>8.75</v>
      </c>
      <c r="G49" s="12">
        <v>2</v>
      </c>
      <c r="H49" s="8">
        <v>0.37</v>
      </c>
      <c r="I49" s="12">
        <v>0</v>
      </c>
    </row>
    <row r="50" spans="2:9" ht="15" customHeight="1" x14ac:dyDescent="0.2">
      <c r="B50" t="s">
        <v>173</v>
      </c>
      <c r="C50" s="12">
        <v>55</v>
      </c>
      <c r="D50" s="8">
        <v>3.89</v>
      </c>
      <c r="E50" s="12">
        <v>52</v>
      </c>
      <c r="F50" s="8">
        <v>6.07</v>
      </c>
      <c r="G50" s="12">
        <v>3</v>
      </c>
      <c r="H50" s="8">
        <v>0.56000000000000005</v>
      </c>
      <c r="I50" s="12">
        <v>0</v>
      </c>
    </row>
    <row r="51" spans="2:9" ht="15" customHeight="1" x14ac:dyDescent="0.2">
      <c r="B51" t="s">
        <v>158</v>
      </c>
      <c r="C51" s="12">
        <v>33</v>
      </c>
      <c r="D51" s="8">
        <v>2.33</v>
      </c>
      <c r="E51" s="12">
        <v>8</v>
      </c>
      <c r="F51" s="8">
        <v>0.93</v>
      </c>
      <c r="G51" s="12">
        <v>25</v>
      </c>
      <c r="H51" s="8">
        <v>4.6500000000000004</v>
      </c>
      <c r="I51" s="12">
        <v>0</v>
      </c>
    </row>
    <row r="52" spans="2:9" ht="15" customHeight="1" x14ac:dyDescent="0.2">
      <c r="B52" t="s">
        <v>166</v>
      </c>
      <c r="C52" s="12">
        <v>33</v>
      </c>
      <c r="D52" s="8">
        <v>2.33</v>
      </c>
      <c r="E52" s="12">
        <v>18</v>
      </c>
      <c r="F52" s="8">
        <v>2.1</v>
      </c>
      <c r="G52" s="12">
        <v>15</v>
      </c>
      <c r="H52" s="8">
        <v>2.79</v>
      </c>
      <c r="I52" s="12">
        <v>0</v>
      </c>
    </row>
    <row r="53" spans="2:9" ht="15" customHeight="1" x14ac:dyDescent="0.2">
      <c r="B53" t="s">
        <v>177</v>
      </c>
      <c r="C53" s="12">
        <v>32</v>
      </c>
      <c r="D53" s="8">
        <v>2.2599999999999998</v>
      </c>
      <c r="E53" s="12">
        <v>25</v>
      </c>
      <c r="F53" s="8">
        <v>2.92</v>
      </c>
      <c r="G53" s="12">
        <v>7</v>
      </c>
      <c r="H53" s="8">
        <v>1.3</v>
      </c>
      <c r="I53" s="12">
        <v>0</v>
      </c>
    </row>
    <row r="54" spans="2:9" ht="15" customHeight="1" x14ac:dyDescent="0.2">
      <c r="B54" t="s">
        <v>163</v>
      </c>
      <c r="C54" s="12">
        <v>31</v>
      </c>
      <c r="D54" s="8">
        <v>2.19</v>
      </c>
      <c r="E54" s="12">
        <v>23</v>
      </c>
      <c r="F54" s="8">
        <v>2.68</v>
      </c>
      <c r="G54" s="12">
        <v>8</v>
      </c>
      <c r="H54" s="8">
        <v>1.49</v>
      </c>
      <c r="I54" s="12">
        <v>0</v>
      </c>
    </row>
    <row r="55" spans="2:9" ht="15" customHeight="1" x14ac:dyDescent="0.2">
      <c r="B55" t="s">
        <v>160</v>
      </c>
      <c r="C55" s="12">
        <v>30</v>
      </c>
      <c r="D55" s="8">
        <v>2.12</v>
      </c>
      <c r="E55" s="12">
        <v>25</v>
      </c>
      <c r="F55" s="8">
        <v>2.92</v>
      </c>
      <c r="G55" s="12">
        <v>5</v>
      </c>
      <c r="H55" s="8">
        <v>0.93</v>
      </c>
      <c r="I55" s="12">
        <v>0</v>
      </c>
    </row>
    <row r="56" spans="2:9" ht="15" customHeight="1" x14ac:dyDescent="0.2">
      <c r="B56" t="s">
        <v>172</v>
      </c>
      <c r="C56" s="12">
        <v>30</v>
      </c>
      <c r="D56" s="8">
        <v>2.12</v>
      </c>
      <c r="E56" s="12">
        <v>29</v>
      </c>
      <c r="F56" s="8">
        <v>3.38</v>
      </c>
      <c r="G56" s="12">
        <v>1</v>
      </c>
      <c r="H56" s="8">
        <v>0.19</v>
      </c>
      <c r="I56" s="12">
        <v>0</v>
      </c>
    </row>
    <row r="57" spans="2:9" ht="15" customHeight="1" x14ac:dyDescent="0.2">
      <c r="B57" t="s">
        <v>178</v>
      </c>
      <c r="C57" s="12">
        <v>29</v>
      </c>
      <c r="D57" s="8">
        <v>2.0499999999999998</v>
      </c>
      <c r="E57" s="12">
        <v>21</v>
      </c>
      <c r="F57" s="8">
        <v>2.4500000000000002</v>
      </c>
      <c r="G57" s="12">
        <v>8</v>
      </c>
      <c r="H57" s="8">
        <v>1.49</v>
      </c>
      <c r="I57" s="12">
        <v>0</v>
      </c>
    </row>
    <row r="58" spans="2:9" ht="15" customHeight="1" x14ac:dyDescent="0.2">
      <c r="B58" t="s">
        <v>181</v>
      </c>
      <c r="C58" s="12">
        <v>28</v>
      </c>
      <c r="D58" s="8">
        <v>1.98</v>
      </c>
      <c r="E58" s="12">
        <v>21</v>
      </c>
      <c r="F58" s="8">
        <v>2.4500000000000002</v>
      </c>
      <c r="G58" s="12">
        <v>7</v>
      </c>
      <c r="H58" s="8">
        <v>1.3</v>
      </c>
      <c r="I58" s="12">
        <v>0</v>
      </c>
    </row>
    <row r="59" spans="2:9" ht="15" customHeight="1" x14ac:dyDescent="0.2">
      <c r="B59" t="s">
        <v>161</v>
      </c>
      <c r="C59" s="12">
        <v>24</v>
      </c>
      <c r="D59" s="8">
        <v>1.7</v>
      </c>
      <c r="E59" s="12">
        <v>9</v>
      </c>
      <c r="F59" s="8">
        <v>1.05</v>
      </c>
      <c r="G59" s="12">
        <v>15</v>
      </c>
      <c r="H59" s="8">
        <v>2.79</v>
      </c>
      <c r="I59" s="12">
        <v>0</v>
      </c>
    </row>
    <row r="60" spans="2:9" ht="15" customHeight="1" x14ac:dyDescent="0.2">
      <c r="B60" t="s">
        <v>170</v>
      </c>
      <c r="C60" s="12">
        <v>23</v>
      </c>
      <c r="D60" s="8">
        <v>1.63</v>
      </c>
      <c r="E60" s="12">
        <v>13</v>
      </c>
      <c r="F60" s="8">
        <v>1.52</v>
      </c>
      <c r="G60" s="12">
        <v>10</v>
      </c>
      <c r="H60" s="8">
        <v>1.86</v>
      </c>
      <c r="I60" s="12">
        <v>0</v>
      </c>
    </row>
    <row r="61" spans="2:9" ht="15" customHeight="1" x14ac:dyDescent="0.2">
      <c r="B61" t="s">
        <v>191</v>
      </c>
      <c r="C61" s="12">
        <v>22</v>
      </c>
      <c r="D61" s="8">
        <v>1.56</v>
      </c>
      <c r="E61" s="12">
        <v>18</v>
      </c>
      <c r="F61" s="8">
        <v>2.1</v>
      </c>
      <c r="G61" s="12">
        <v>4</v>
      </c>
      <c r="H61" s="8">
        <v>0.74</v>
      </c>
      <c r="I61" s="12">
        <v>0</v>
      </c>
    </row>
    <row r="62" spans="2:9" ht="15" customHeight="1" x14ac:dyDescent="0.2">
      <c r="B62" t="s">
        <v>176</v>
      </c>
      <c r="C62" s="12">
        <v>22</v>
      </c>
      <c r="D62" s="8">
        <v>1.56</v>
      </c>
      <c r="E62" s="12">
        <v>22</v>
      </c>
      <c r="F62" s="8">
        <v>2.57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194</v>
      </c>
      <c r="C63" s="12">
        <v>21</v>
      </c>
      <c r="D63" s="8">
        <v>1.49</v>
      </c>
      <c r="E63" s="12">
        <v>12</v>
      </c>
      <c r="F63" s="8">
        <v>1.4</v>
      </c>
      <c r="G63" s="12">
        <v>9</v>
      </c>
      <c r="H63" s="8">
        <v>1.67</v>
      </c>
      <c r="I63" s="12">
        <v>0</v>
      </c>
    </row>
    <row r="64" spans="2:9" ht="15" customHeight="1" x14ac:dyDescent="0.2">
      <c r="B64" t="s">
        <v>195</v>
      </c>
      <c r="C64" s="12">
        <v>21</v>
      </c>
      <c r="D64" s="8">
        <v>1.49</v>
      </c>
      <c r="E64" s="12">
        <v>12</v>
      </c>
      <c r="F64" s="8">
        <v>1.4</v>
      </c>
      <c r="G64" s="12">
        <v>9</v>
      </c>
      <c r="H64" s="8">
        <v>1.67</v>
      </c>
      <c r="I64" s="12">
        <v>0</v>
      </c>
    </row>
    <row r="65" spans="2:9" ht="15" customHeight="1" x14ac:dyDescent="0.2">
      <c r="B65" t="s">
        <v>165</v>
      </c>
      <c r="C65" s="12">
        <v>21</v>
      </c>
      <c r="D65" s="8">
        <v>1.49</v>
      </c>
      <c r="E65" s="12">
        <v>6</v>
      </c>
      <c r="F65" s="8">
        <v>0.7</v>
      </c>
      <c r="G65" s="12">
        <v>15</v>
      </c>
      <c r="H65" s="8">
        <v>2.79</v>
      </c>
      <c r="I65" s="12">
        <v>0</v>
      </c>
    </row>
    <row r="66" spans="2:9" ht="15" customHeight="1" x14ac:dyDescent="0.2">
      <c r="B66" t="s">
        <v>171</v>
      </c>
      <c r="C66" s="12">
        <v>21</v>
      </c>
      <c r="D66" s="8">
        <v>1.49</v>
      </c>
      <c r="E66" s="12">
        <v>18</v>
      </c>
      <c r="F66" s="8">
        <v>2.1</v>
      </c>
      <c r="G66" s="12">
        <v>3</v>
      </c>
      <c r="H66" s="8">
        <v>0.56000000000000005</v>
      </c>
      <c r="I66" s="12">
        <v>0</v>
      </c>
    </row>
    <row r="67" spans="2:9" ht="15" customHeight="1" x14ac:dyDescent="0.2">
      <c r="B67" t="s">
        <v>193</v>
      </c>
      <c r="C67" s="12">
        <v>20</v>
      </c>
      <c r="D67" s="8">
        <v>1.41</v>
      </c>
      <c r="E67" s="12">
        <v>10</v>
      </c>
      <c r="F67" s="8">
        <v>1.17</v>
      </c>
      <c r="G67" s="12">
        <v>10</v>
      </c>
      <c r="H67" s="8">
        <v>1.86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8E25-7F61-44F5-8562-D7E1C3748D7F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350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228</v>
      </c>
      <c r="D6" s="8">
        <v>22.87</v>
      </c>
      <c r="E6" s="12">
        <v>115</v>
      </c>
      <c r="F6" s="8">
        <v>19.52</v>
      </c>
      <c r="G6" s="12">
        <v>113</v>
      </c>
      <c r="H6" s="8">
        <v>28.54</v>
      </c>
      <c r="I6" s="12">
        <v>0</v>
      </c>
    </row>
    <row r="7" spans="2:9" ht="15" customHeight="1" x14ac:dyDescent="0.2">
      <c r="B7" t="s">
        <v>62</v>
      </c>
      <c r="C7" s="12">
        <v>93</v>
      </c>
      <c r="D7" s="8">
        <v>9.33</v>
      </c>
      <c r="E7" s="12">
        <v>40</v>
      </c>
      <c r="F7" s="8">
        <v>6.79</v>
      </c>
      <c r="G7" s="12">
        <v>53</v>
      </c>
      <c r="H7" s="8">
        <v>13.38</v>
      </c>
      <c r="I7" s="12">
        <v>0</v>
      </c>
    </row>
    <row r="8" spans="2:9" ht="15" customHeight="1" x14ac:dyDescent="0.2">
      <c r="B8" t="s">
        <v>63</v>
      </c>
      <c r="C8" s="12">
        <v>5</v>
      </c>
      <c r="D8" s="8">
        <v>0.5</v>
      </c>
      <c r="E8" s="12">
        <v>0</v>
      </c>
      <c r="F8" s="8">
        <v>0</v>
      </c>
      <c r="G8" s="12">
        <v>5</v>
      </c>
      <c r="H8" s="8">
        <v>1.26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11</v>
      </c>
      <c r="D10" s="8">
        <v>1.1000000000000001</v>
      </c>
      <c r="E10" s="12">
        <v>3</v>
      </c>
      <c r="F10" s="8">
        <v>0.51</v>
      </c>
      <c r="G10" s="12">
        <v>8</v>
      </c>
      <c r="H10" s="8">
        <v>2.02</v>
      </c>
      <c r="I10" s="12">
        <v>0</v>
      </c>
    </row>
    <row r="11" spans="2:9" ht="15" customHeight="1" x14ac:dyDescent="0.2">
      <c r="B11" t="s">
        <v>66</v>
      </c>
      <c r="C11" s="12">
        <v>278</v>
      </c>
      <c r="D11" s="8">
        <v>27.88</v>
      </c>
      <c r="E11" s="12">
        <v>167</v>
      </c>
      <c r="F11" s="8">
        <v>28.35</v>
      </c>
      <c r="G11" s="12">
        <v>111</v>
      </c>
      <c r="H11" s="8">
        <v>28.03</v>
      </c>
      <c r="I11" s="12">
        <v>0</v>
      </c>
    </row>
    <row r="12" spans="2:9" ht="15" customHeight="1" x14ac:dyDescent="0.2">
      <c r="B12" t="s">
        <v>67</v>
      </c>
      <c r="C12" s="12">
        <v>4</v>
      </c>
      <c r="D12" s="8">
        <v>0.4</v>
      </c>
      <c r="E12" s="12">
        <v>1</v>
      </c>
      <c r="F12" s="8">
        <v>0.17</v>
      </c>
      <c r="G12" s="12">
        <v>3</v>
      </c>
      <c r="H12" s="8">
        <v>0.76</v>
      </c>
      <c r="I12" s="12">
        <v>0</v>
      </c>
    </row>
    <row r="13" spans="2:9" ht="15" customHeight="1" x14ac:dyDescent="0.2">
      <c r="B13" t="s">
        <v>68</v>
      </c>
      <c r="C13" s="12">
        <v>36</v>
      </c>
      <c r="D13" s="8">
        <v>3.61</v>
      </c>
      <c r="E13" s="12">
        <v>24</v>
      </c>
      <c r="F13" s="8">
        <v>4.07</v>
      </c>
      <c r="G13" s="12">
        <v>12</v>
      </c>
      <c r="H13" s="8">
        <v>3.03</v>
      </c>
      <c r="I13" s="12">
        <v>0</v>
      </c>
    </row>
    <row r="14" spans="2:9" ht="15" customHeight="1" x14ac:dyDescent="0.2">
      <c r="B14" t="s">
        <v>69</v>
      </c>
      <c r="C14" s="12">
        <v>31</v>
      </c>
      <c r="D14" s="8">
        <v>3.11</v>
      </c>
      <c r="E14" s="12">
        <v>13</v>
      </c>
      <c r="F14" s="8">
        <v>2.21</v>
      </c>
      <c r="G14" s="12">
        <v>17</v>
      </c>
      <c r="H14" s="8">
        <v>4.29</v>
      </c>
      <c r="I14" s="12">
        <v>1</v>
      </c>
    </row>
    <row r="15" spans="2:9" ht="15" customHeight="1" x14ac:dyDescent="0.2">
      <c r="B15" t="s">
        <v>70</v>
      </c>
      <c r="C15" s="12">
        <v>66</v>
      </c>
      <c r="D15" s="8">
        <v>6.62</v>
      </c>
      <c r="E15" s="12">
        <v>52</v>
      </c>
      <c r="F15" s="8">
        <v>8.83</v>
      </c>
      <c r="G15" s="12">
        <v>13</v>
      </c>
      <c r="H15" s="8">
        <v>3.28</v>
      </c>
      <c r="I15" s="12">
        <v>0</v>
      </c>
    </row>
    <row r="16" spans="2:9" ht="15" customHeight="1" x14ac:dyDescent="0.2">
      <c r="B16" t="s">
        <v>71</v>
      </c>
      <c r="C16" s="12">
        <v>132</v>
      </c>
      <c r="D16" s="8">
        <v>13.24</v>
      </c>
      <c r="E16" s="12">
        <v>115</v>
      </c>
      <c r="F16" s="8">
        <v>19.52</v>
      </c>
      <c r="G16" s="12">
        <v>17</v>
      </c>
      <c r="H16" s="8">
        <v>4.29</v>
      </c>
      <c r="I16" s="12">
        <v>0</v>
      </c>
    </row>
    <row r="17" spans="2:9" ht="15" customHeight="1" x14ac:dyDescent="0.2">
      <c r="B17" t="s">
        <v>72</v>
      </c>
      <c r="C17" s="12">
        <v>20</v>
      </c>
      <c r="D17" s="8">
        <v>2.0099999999999998</v>
      </c>
      <c r="E17" s="12">
        <v>13</v>
      </c>
      <c r="F17" s="8">
        <v>2.21</v>
      </c>
      <c r="G17" s="12">
        <v>3</v>
      </c>
      <c r="H17" s="8">
        <v>0.76</v>
      </c>
      <c r="I17" s="12">
        <v>0</v>
      </c>
    </row>
    <row r="18" spans="2:9" ht="15" customHeight="1" x14ac:dyDescent="0.2">
      <c r="B18" t="s">
        <v>73</v>
      </c>
      <c r="C18" s="12">
        <v>43</v>
      </c>
      <c r="D18" s="8">
        <v>4.3099999999999996</v>
      </c>
      <c r="E18" s="12">
        <v>16</v>
      </c>
      <c r="F18" s="8">
        <v>2.72</v>
      </c>
      <c r="G18" s="12">
        <v>21</v>
      </c>
      <c r="H18" s="8">
        <v>5.3</v>
      </c>
      <c r="I18" s="12">
        <v>0</v>
      </c>
    </row>
    <row r="19" spans="2:9" ht="15" customHeight="1" x14ac:dyDescent="0.2">
      <c r="B19" t="s">
        <v>74</v>
      </c>
      <c r="C19" s="12">
        <v>50</v>
      </c>
      <c r="D19" s="8">
        <v>5.0199999999999996</v>
      </c>
      <c r="E19" s="12">
        <v>30</v>
      </c>
      <c r="F19" s="8">
        <v>5.09</v>
      </c>
      <c r="G19" s="12">
        <v>20</v>
      </c>
      <c r="H19" s="8">
        <v>5.05</v>
      </c>
      <c r="I19" s="12">
        <v>0</v>
      </c>
    </row>
    <row r="20" spans="2:9" ht="15" customHeight="1" x14ac:dyDescent="0.2">
      <c r="B20" s="9" t="s">
        <v>337</v>
      </c>
      <c r="C20" s="12">
        <f>SUM(LTBL_07211[総数／事業所数])</f>
        <v>997</v>
      </c>
      <c r="E20" s="12">
        <f>SUBTOTAL(109,LTBL_07211[個人／事業所数])</f>
        <v>589</v>
      </c>
      <c r="G20" s="12">
        <f>SUBTOTAL(109,LTBL_07211[法人／事業所数])</f>
        <v>396</v>
      </c>
      <c r="I20" s="12">
        <f>SUBTOTAL(109,LTBL_07211[法人以外の団体／事業所数])</f>
        <v>1</v>
      </c>
    </row>
    <row r="21" spans="2:9" ht="15" customHeight="1" x14ac:dyDescent="0.2">
      <c r="E21" s="11">
        <f>LTBL_07211[[#Totals],[個人／事業所数]]/LTBL_07211[[#Totals],[総数／事業所数]]</f>
        <v>0.59077231695085253</v>
      </c>
      <c r="G21" s="11">
        <f>LTBL_07211[[#Totals],[法人／事業所数]]/LTBL_07211[[#Totals],[総数／事業所数]]</f>
        <v>0.39719157472417249</v>
      </c>
      <c r="I21" s="11">
        <f>LTBL_07211[[#Totals],[法人以外の団体／事業所数]]/LTBL_07211[[#Totals],[総数／事業所数]]</f>
        <v>1.0030090270812437E-3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113</v>
      </c>
      <c r="D24" s="8">
        <v>11.33</v>
      </c>
      <c r="E24" s="12">
        <v>106</v>
      </c>
      <c r="F24" s="8">
        <v>18</v>
      </c>
      <c r="G24" s="12">
        <v>7</v>
      </c>
      <c r="H24" s="8">
        <v>1.77</v>
      </c>
      <c r="I24" s="12">
        <v>0</v>
      </c>
    </row>
    <row r="25" spans="2:9" ht="15" customHeight="1" x14ac:dyDescent="0.2">
      <c r="B25" t="s">
        <v>83</v>
      </c>
      <c r="C25" s="12">
        <v>105</v>
      </c>
      <c r="D25" s="8">
        <v>10.53</v>
      </c>
      <c r="E25" s="12">
        <v>50</v>
      </c>
      <c r="F25" s="8">
        <v>8.49</v>
      </c>
      <c r="G25" s="12">
        <v>55</v>
      </c>
      <c r="H25" s="8">
        <v>13.89</v>
      </c>
      <c r="I25" s="12">
        <v>0</v>
      </c>
    </row>
    <row r="26" spans="2:9" ht="15" customHeight="1" x14ac:dyDescent="0.2">
      <c r="B26" t="s">
        <v>91</v>
      </c>
      <c r="C26" s="12">
        <v>96</v>
      </c>
      <c r="D26" s="8">
        <v>9.6300000000000008</v>
      </c>
      <c r="E26" s="12">
        <v>48</v>
      </c>
      <c r="F26" s="8">
        <v>8.15</v>
      </c>
      <c r="G26" s="12">
        <v>48</v>
      </c>
      <c r="H26" s="8">
        <v>12.12</v>
      </c>
      <c r="I26" s="12">
        <v>0</v>
      </c>
    </row>
    <row r="27" spans="2:9" ht="15" customHeight="1" x14ac:dyDescent="0.2">
      <c r="B27" t="s">
        <v>84</v>
      </c>
      <c r="C27" s="12">
        <v>94</v>
      </c>
      <c r="D27" s="8">
        <v>9.43</v>
      </c>
      <c r="E27" s="12">
        <v>53</v>
      </c>
      <c r="F27" s="8">
        <v>9</v>
      </c>
      <c r="G27" s="12">
        <v>41</v>
      </c>
      <c r="H27" s="8">
        <v>10.35</v>
      </c>
      <c r="I27" s="12">
        <v>0</v>
      </c>
    </row>
    <row r="28" spans="2:9" ht="15" customHeight="1" x14ac:dyDescent="0.2">
      <c r="B28" t="s">
        <v>89</v>
      </c>
      <c r="C28" s="12">
        <v>79</v>
      </c>
      <c r="D28" s="8">
        <v>7.92</v>
      </c>
      <c r="E28" s="12">
        <v>64</v>
      </c>
      <c r="F28" s="8">
        <v>10.87</v>
      </c>
      <c r="G28" s="12">
        <v>15</v>
      </c>
      <c r="H28" s="8">
        <v>3.79</v>
      </c>
      <c r="I28" s="12">
        <v>0</v>
      </c>
    </row>
    <row r="29" spans="2:9" ht="15" customHeight="1" x14ac:dyDescent="0.2">
      <c r="B29" t="s">
        <v>96</v>
      </c>
      <c r="C29" s="12">
        <v>51</v>
      </c>
      <c r="D29" s="8">
        <v>5.12</v>
      </c>
      <c r="E29" s="12">
        <v>43</v>
      </c>
      <c r="F29" s="8">
        <v>7.3</v>
      </c>
      <c r="G29" s="12">
        <v>8</v>
      </c>
      <c r="H29" s="8">
        <v>2.02</v>
      </c>
      <c r="I29" s="12">
        <v>0</v>
      </c>
    </row>
    <row r="30" spans="2:9" ht="15" customHeight="1" x14ac:dyDescent="0.2">
      <c r="B30" t="s">
        <v>90</v>
      </c>
      <c r="C30" s="12">
        <v>38</v>
      </c>
      <c r="D30" s="8">
        <v>3.81</v>
      </c>
      <c r="E30" s="12">
        <v>22</v>
      </c>
      <c r="F30" s="8">
        <v>3.74</v>
      </c>
      <c r="G30" s="12">
        <v>16</v>
      </c>
      <c r="H30" s="8">
        <v>4.04</v>
      </c>
      <c r="I30" s="12">
        <v>0</v>
      </c>
    </row>
    <row r="31" spans="2:9" ht="15" customHeight="1" x14ac:dyDescent="0.2">
      <c r="B31" t="s">
        <v>92</v>
      </c>
      <c r="C31" s="12">
        <v>30</v>
      </c>
      <c r="D31" s="8">
        <v>3.01</v>
      </c>
      <c r="E31" s="12">
        <v>22</v>
      </c>
      <c r="F31" s="8">
        <v>3.74</v>
      </c>
      <c r="G31" s="12">
        <v>8</v>
      </c>
      <c r="H31" s="8">
        <v>2.02</v>
      </c>
      <c r="I31" s="12">
        <v>0</v>
      </c>
    </row>
    <row r="32" spans="2:9" ht="15" customHeight="1" x14ac:dyDescent="0.2">
      <c r="B32" t="s">
        <v>102</v>
      </c>
      <c r="C32" s="12">
        <v>30</v>
      </c>
      <c r="D32" s="8">
        <v>3.01</v>
      </c>
      <c r="E32" s="12">
        <v>20</v>
      </c>
      <c r="F32" s="8">
        <v>3.4</v>
      </c>
      <c r="G32" s="12">
        <v>10</v>
      </c>
      <c r="H32" s="8">
        <v>2.5299999999999998</v>
      </c>
      <c r="I32" s="12">
        <v>0</v>
      </c>
    </row>
    <row r="33" spans="2:9" ht="15" customHeight="1" x14ac:dyDescent="0.2">
      <c r="B33" t="s">
        <v>85</v>
      </c>
      <c r="C33" s="12">
        <v>29</v>
      </c>
      <c r="D33" s="8">
        <v>2.91</v>
      </c>
      <c r="E33" s="12">
        <v>12</v>
      </c>
      <c r="F33" s="8">
        <v>2.04</v>
      </c>
      <c r="G33" s="12">
        <v>17</v>
      </c>
      <c r="H33" s="8">
        <v>4.29</v>
      </c>
      <c r="I33" s="12">
        <v>0</v>
      </c>
    </row>
    <row r="34" spans="2:9" ht="15" customHeight="1" x14ac:dyDescent="0.2">
      <c r="B34" t="s">
        <v>88</v>
      </c>
      <c r="C34" s="12">
        <v>29</v>
      </c>
      <c r="D34" s="8">
        <v>2.91</v>
      </c>
      <c r="E34" s="12">
        <v>23</v>
      </c>
      <c r="F34" s="8">
        <v>3.9</v>
      </c>
      <c r="G34" s="12">
        <v>6</v>
      </c>
      <c r="H34" s="8">
        <v>1.52</v>
      </c>
      <c r="I34" s="12">
        <v>0</v>
      </c>
    </row>
    <row r="35" spans="2:9" ht="15" customHeight="1" x14ac:dyDescent="0.2">
      <c r="B35" t="s">
        <v>100</v>
      </c>
      <c r="C35" s="12">
        <v>22</v>
      </c>
      <c r="D35" s="8">
        <v>2.21</v>
      </c>
      <c r="E35" s="12">
        <v>16</v>
      </c>
      <c r="F35" s="8">
        <v>2.72</v>
      </c>
      <c r="G35" s="12">
        <v>5</v>
      </c>
      <c r="H35" s="8">
        <v>1.26</v>
      </c>
      <c r="I35" s="12">
        <v>0</v>
      </c>
    </row>
    <row r="36" spans="2:9" ht="15" customHeight="1" x14ac:dyDescent="0.2">
      <c r="B36" t="s">
        <v>101</v>
      </c>
      <c r="C36" s="12">
        <v>21</v>
      </c>
      <c r="D36" s="8">
        <v>2.11</v>
      </c>
      <c r="E36" s="12">
        <v>0</v>
      </c>
      <c r="F36" s="8">
        <v>0</v>
      </c>
      <c r="G36" s="12">
        <v>16</v>
      </c>
      <c r="H36" s="8">
        <v>4.04</v>
      </c>
      <c r="I36" s="12">
        <v>0</v>
      </c>
    </row>
    <row r="37" spans="2:9" ht="15" customHeight="1" x14ac:dyDescent="0.2">
      <c r="B37" t="s">
        <v>99</v>
      </c>
      <c r="C37" s="12">
        <v>20</v>
      </c>
      <c r="D37" s="8">
        <v>2.0099999999999998</v>
      </c>
      <c r="E37" s="12">
        <v>13</v>
      </c>
      <c r="F37" s="8">
        <v>2.21</v>
      </c>
      <c r="G37" s="12">
        <v>3</v>
      </c>
      <c r="H37" s="8">
        <v>0.76</v>
      </c>
      <c r="I37" s="12">
        <v>0</v>
      </c>
    </row>
    <row r="38" spans="2:9" ht="15" customHeight="1" x14ac:dyDescent="0.2">
      <c r="B38" t="s">
        <v>86</v>
      </c>
      <c r="C38" s="12">
        <v>17</v>
      </c>
      <c r="D38" s="8">
        <v>1.71</v>
      </c>
      <c r="E38" s="12">
        <v>4</v>
      </c>
      <c r="F38" s="8">
        <v>0.68</v>
      </c>
      <c r="G38" s="12">
        <v>13</v>
      </c>
      <c r="H38" s="8">
        <v>3.28</v>
      </c>
      <c r="I38" s="12">
        <v>0</v>
      </c>
    </row>
    <row r="39" spans="2:9" ht="15" customHeight="1" x14ac:dyDescent="0.2">
      <c r="B39" t="s">
        <v>94</v>
      </c>
      <c r="C39" s="12">
        <v>16</v>
      </c>
      <c r="D39" s="8">
        <v>1.6</v>
      </c>
      <c r="E39" s="12">
        <v>5</v>
      </c>
      <c r="F39" s="8">
        <v>0.85</v>
      </c>
      <c r="G39" s="12">
        <v>10</v>
      </c>
      <c r="H39" s="8">
        <v>2.5299999999999998</v>
      </c>
      <c r="I39" s="12">
        <v>1</v>
      </c>
    </row>
    <row r="40" spans="2:9" ht="15" customHeight="1" x14ac:dyDescent="0.2">
      <c r="B40" t="s">
        <v>116</v>
      </c>
      <c r="C40" s="12">
        <v>15</v>
      </c>
      <c r="D40" s="8">
        <v>1.5</v>
      </c>
      <c r="E40" s="12">
        <v>9</v>
      </c>
      <c r="F40" s="8">
        <v>1.53</v>
      </c>
      <c r="G40" s="12">
        <v>6</v>
      </c>
      <c r="H40" s="8">
        <v>1.52</v>
      </c>
      <c r="I40" s="12">
        <v>0</v>
      </c>
    </row>
    <row r="41" spans="2:9" ht="15" customHeight="1" x14ac:dyDescent="0.2">
      <c r="B41" t="s">
        <v>111</v>
      </c>
      <c r="C41" s="12">
        <v>14</v>
      </c>
      <c r="D41" s="8">
        <v>1.4</v>
      </c>
      <c r="E41" s="12">
        <v>5</v>
      </c>
      <c r="F41" s="8">
        <v>0.85</v>
      </c>
      <c r="G41" s="12">
        <v>9</v>
      </c>
      <c r="H41" s="8">
        <v>2.27</v>
      </c>
      <c r="I41" s="12">
        <v>0</v>
      </c>
    </row>
    <row r="42" spans="2:9" ht="15" customHeight="1" x14ac:dyDescent="0.2">
      <c r="B42" t="s">
        <v>93</v>
      </c>
      <c r="C42" s="12">
        <v>14</v>
      </c>
      <c r="D42" s="8">
        <v>1.4</v>
      </c>
      <c r="E42" s="12">
        <v>8</v>
      </c>
      <c r="F42" s="8">
        <v>1.36</v>
      </c>
      <c r="G42" s="12">
        <v>6</v>
      </c>
      <c r="H42" s="8">
        <v>1.52</v>
      </c>
      <c r="I42" s="12">
        <v>0</v>
      </c>
    </row>
    <row r="43" spans="2:9" ht="15" customHeight="1" x14ac:dyDescent="0.2">
      <c r="B43" t="s">
        <v>98</v>
      </c>
      <c r="C43" s="12">
        <v>14</v>
      </c>
      <c r="D43" s="8">
        <v>1.4</v>
      </c>
      <c r="E43" s="12">
        <v>9</v>
      </c>
      <c r="F43" s="8">
        <v>1.53</v>
      </c>
      <c r="G43" s="12">
        <v>5</v>
      </c>
      <c r="H43" s="8">
        <v>1.26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173</v>
      </c>
      <c r="C47" s="12">
        <v>58</v>
      </c>
      <c r="D47" s="8">
        <v>5.82</v>
      </c>
      <c r="E47" s="12">
        <v>57</v>
      </c>
      <c r="F47" s="8">
        <v>9.68</v>
      </c>
      <c r="G47" s="12">
        <v>1</v>
      </c>
      <c r="H47" s="8">
        <v>0.25</v>
      </c>
      <c r="I47" s="12">
        <v>0</v>
      </c>
    </row>
    <row r="48" spans="2:9" ht="15" customHeight="1" x14ac:dyDescent="0.2">
      <c r="B48" t="s">
        <v>174</v>
      </c>
      <c r="C48" s="12">
        <v>44</v>
      </c>
      <c r="D48" s="8">
        <v>4.41</v>
      </c>
      <c r="E48" s="12">
        <v>42</v>
      </c>
      <c r="F48" s="8">
        <v>7.13</v>
      </c>
      <c r="G48" s="12">
        <v>2</v>
      </c>
      <c r="H48" s="8">
        <v>0.51</v>
      </c>
      <c r="I48" s="12">
        <v>0</v>
      </c>
    </row>
    <row r="49" spans="2:9" ht="15" customHeight="1" x14ac:dyDescent="0.2">
      <c r="B49" t="s">
        <v>160</v>
      </c>
      <c r="C49" s="12">
        <v>41</v>
      </c>
      <c r="D49" s="8">
        <v>4.1100000000000003</v>
      </c>
      <c r="E49" s="12">
        <v>31</v>
      </c>
      <c r="F49" s="8">
        <v>5.26</v>
      </c>
      <c r="G49" s="12">
        <v>10</v>
      </c>
      <c r="H49" s="8">
        <v>2.5299999999999998</v>
      </c>
      <c r="I49" s="12">
        <v>0</v>
      </c>
    </row>
    <row r="50" spans="2:9" ht="15" customHeight="1" x14ac:dyDescent="0.2">
      <c r="B50" t="s">
        <v>177</v>
      </c>
      <c r="C50" s="12">
        <v>30</v>
      </c>
      <c r="D50" s="8">
        <v>3.01</v>
      </c>
      <c r="E50" s="12">
        <v>20</v>
      </c>
      <c r="F50" s="8">
        <v>3.4</v>
      </c>
      <c r="G50" s="12">
        <v>10</v>
      </c>
      <c r="H50" s="8">
        <v>2.5299999999999998</v>
      </c>
      <c r="I50" s="12">
        <v>0</v>
      </c>
    </row>
    <row r="51" spans="2:9" ht="15" customHeight="1" x14ac:dyDescent="0.2">
      <c r="B51" t="s">
        <v>158</v>
      </c>
      <c r="C51" s="12">
        <v>29</v>
      </c>
      <c r="D51" s="8">
        <v>2.91</v>
      </c>
      <c r="E51" s="12">
        <v>7</v>
      </c>
      <c r="F51" s="8">
        <v>1.19</v>
      </c>
      <c r="G51" s="12">
        <v>22</v>
      </c>
      <c r="H51" s="8">
        <v>5.56</v>
      </c>
      <c r="I51" s="12">
        <v>0</v>
      </c>
    </row>
    <row r="52" spans="2:9" ht="15" customHeight="1" x14ac:dyDescent="0.2">
      <c r="B52" t="s">
        <v>166</v>
      </c>
      <c r="C52" s="12">
        <v>26</v>
      </c>
      <c r="D52" s="8">
        <v>2.61</v>
      </c>
      <c r="E52" s="12">
        <v>15</v>
      </c>
      <c r="F52" s="8">
        <v>2.5499999999999998</v>
      </c>
      <c r="G52" s="12">
        <v>11</v>
      </c>
      <c r="H52" s="8">
        <v>2.78</v>
      </c>
      <c r="I52" s="12">
        <v>0</v>
      </c>
    </row>
    <row r="53" spans="2:9" ht="15" customHeight="1" x14ac:dyDescent="0.2">
      <c r="B53" t="s">
        <v>159</v>
      </c>
      <c r="C53" s="12">
        <v>25</v>
      </c>
      <c r="D53" s="8">
        <v>2.5099999999999998</v>
      </c>
      <c r="E53" s="12">
        <v>8</v>
      </c>
      <c r="F53" s="8">
        <v>1.36</v>
      </c>
      <c r="G53" s="12">
        <v>17</v>
      </c>
      <c r="H53" s="8">
        <v>4.29</v>
      </c>
      <c r="I53" s="12">
        <v>0</v>
      </c>
    </row>
    <row r="54" spans="2:9" ht="15" customHeight="1" x14ac:dyDescent="0.2">
      <c r="B54" t="s">
        <v>164</v>
      </c>
      <c r="C54" s="12">
        <v>24</v>
      </c>
      <c r="D54" s="8">
        <v>2.41</v>
      </c>
      <c r="E54" s="12">
        <v>14</v>
      </c>
      <c r="F54" s="8">
        <v>2.38</v>
      </c>
      <c r="G54" s="12">
        <v>10</v>
      </c>
      <c r="H54" s="8">
        <v>2.5299999999999998</v>
      </c>
      <c r="I54" s="12">
        <v>0</v>
      </c>
    </row>
    <row r="55" spans="2:9" ht="15" customHeight="1" x14ac:dyDescent="0.2">
      <c r="B55" t="s">
        <v>194</v>
      </c>
      <c r="C55" s="12">
        <v>23</v>
      </c>
      <c r="D55" s="8">
        <v>2.31</v>
      </c>
      <c r="E55" s="12">
        <v>13</v>
      </c>
      <c r="F55" s="8">
        <v>2.21</v>
      </c>
      <c r="G55" s="12">
        <v>10</v>
      </c>
      <c r="H55" s="8">
        <v>2.5299999999999998</v>
      </c>
      <c r="I55" s="12">
        <v>0</v>
      </c>
    </row>
    <row r="56" spans="2:9" ht="15" customHeight="1" x14ac:dyDescent="0.2">
      <c r="B56" t="s">
        <v>168</v>
      </c>
      <c r="C56" s="12">
        <v>23</v>
      </c>
      <c r="D56" s="8">
        <v>2.31</v>
      </c>
      <c r="E56" s="12">
        <v>21</v>
      </c>
      <c r="F56" s="8">
        <v>3.57</v>
      </c>
      <c r="G56" s="12">
        <v>2</v>
      </c>
      <c r="H56" s="8">
        <v>0.51</v>
      </c>
      <c r="I56" s="12">
        <v>0</v>
      </c>
    </row>
    <row r="57" spans="2:9" ht="15" customHeight="1" x14ac:dyDescent="0.2">
      <c r="B57" t="s">
        <v>191</v>
      </c>
      <c r="C57" s="12">
        <v>21</v>
      </c>
      <c r="D57" s="8">
        <v>2.11</v>
      </c>
      <c r="E57" s="12">
        <v>18</v>
      </c>
      <c r="F57" s="8">
        <v>3.06</v>
      </c>
      <c r="G57" s="12">
        <v>3</v>
      </c>
      <c r="H57" s="8">
        <v>0.76</v>
      </c>
      <c r="I57" s="12">
        <v>0</v>
      </c>
    </row>
    <row r="58" spans="2:9" ht="15" customHeight="1" x14ac:dyDescent="0.2">
      <c r="B58" t="s">
        <v>163</v>
      </c>
      <c r="C58" s="12">
        <v>19</v>
      </c>
      <c r="D58" s="8">
        <v>1.91</v>
      </c>
      <c r="E58" s="12">
        <v>17</v>
      </c>
      <c r="F58" s="8">
        <v>2.89</v>
      </c>
      <c r="G58" s="12">
        <v>2</v>
      </c>
      <c r="H58" s="8">
        <v>0.51</v>
      </c>
      <c r="I58" s="12">
        <v>0</v>
      </c>
    </row>
    <row r="59" spans="2:9" ht="15" customHeight="1" x14ac:dyDescent="0.2">
      <c r="B59" t="s">
        <v>178</v>
      </c>
      <c r="C59" s="12">
        <v>18</v>
      </c>
      <c r="D59" s="8">
        <v>1.81</v>
      </c>
      <c r="E59" s="12">
        <v>13</v>
      </c>
      <c r="F59" s="8">
        <v>2.21</v>
      </c>
      <c r="G59" s="12">
        <v>5</v>
      </c>
      <c r="H59" s="8">
        <v>1.26</v>
      </c>
      <c r="I59" s="12">
        <v>0</v>
      </c>
    </row>
    <row r="60" spans="2:9" ht="15" customHeight="1" x14ac:dyDescent="0.2">
      <c r="B60" t="s">
        <v>185</v>
      </c>
      <c r="C60" s="12">
        <v>18</v>
      </c>
      <c r="D60" s="8">
        <v>1.81</v>
      </c>
      <c r="E60" s="12">
        <v>6</v>
      </c>
      <c r="F60" s="8">
        <v>1.02</v>
      </c>
      <c r="G60" s="12">
        <v>12</v>
      </c>
      <c r="H60" s="8">
        <v>3.03</v>
      </c>
      <c r="I60" s="12">
        <v>0</v>
      </c>
    </row>
    <row r="61" spans="2:9" ht="15" customHeight="1" x14ac:dyDescent="0.2">
      <c r="B61" t="s">
        <v>161</v>
      </c>
      <c r="C61" s="12">
        <v>17</v>
      </c>
      <c r="D61" s="8">
        <v>1.71</v>
      </c>
      <c r="E61" s="12">
        <v>10</v>
      </c>
      <c r="F61" s="8">
        <v>1.7</v>
      </c>
      <c r="G61" s="12">
        <v>7</v>
      </c>
      <c r="H61" s="8">
        <v>1.77</v>
      </c>
      <c r="I61" s="12">
        <v>0</v>
      </c>
    </row>
    <row r="62" spans="2:9" ht="15" customHeight="1" x14ac:dyDescent="0.2">
      <c r="B62" t="s">
        <v>171</v>
      </c>
      <c r="C62" s="12">
        <v>16</v>
      </c>
      <c r="D62" s="8">
        <v>1.6</v>
      </c>
      <c r="E62" s="12">
        <v>14</v>
      </c>
      <c r="F62" s="8">
        <v>2.38</v>
      </c>
      <c r="G62" s="12">
        <v>2</v>
      </c>
      <c r="H62" s="8">
        <v>0.51</v>
      </c>
      <c r="I62" s="12">
        <v>0</v>
      </c>
    </row>
    <row r="63" spans="2:9" ht="15" customHeight="1" x14ac:dyDescent="0.2">
      <c r="B63" t="s">
        <v>176</v>
      </c>
      <c r="C63" s="12">
        <v>16</v>
      </c>
      <c r="D63" s="8">
        <v>1.6</v>
      </c>
      <c r="E63" s="12">
        <v>14</v>
      </c>
      <c r="F63" s="8">
        <v>2.38</v>
      </c>
      <c r="G63" s="12">
        <v>2</v>
      </c>
      <c r="H63" s="8">
        <v>0.51</v>
      </c>
      <c r="I63" s="12">
        <v>0</v>
      </c>
    </row>
    <row r="64" spans="2:9" ht="15" customHeight="1" x14ac:dyDescent="0.2">
      <c r="B64" t="s">
        <v>190</v>
      </c>
      <c r="C64" s="12">
        <v>14</v>
      </c>
      <c r="D64" s="8">
        <v>1.4</v>
      </c>
      <c r="E64" s="12">
        <v>12</v>
      </c>
      <c r="F64" s="8">
        <v>2.04</v>
      </c>
      <c r="G64" s="12">
        <v>2</v>
      </c>
      <c r="H64" s="8">
        <v>0.51</v>
      </c>
      <c r="I64" s="12">
        <v>0</v>
      </c>
    </row>
    <row r="65" spans="2:9" ht="15" customHeight="1" x14ac:dyDescent="0.2">
      <c r="B65" t="s">
        <v>196</v>
      </c>
      <c r="C65" s="12">
        <v>13</v>
      </c>
      <c r="D65" s="8">
        <v>1.3</v>
      </c>
      <c r="E65" s="12">
        <v>2</v>
      </c>
      <c r="F65" s="8">
        <v>0.34</v>
      </c>
      <c r="G65" s="12">
        <v>11</v>
      </c>
      <c r="H65" s="8">
        <v>2.78</v>
      </c>
      <c r="I65" s="12">
        <v>0</v>
      </c>
    </row>
    <row r="66" spans="2:9" ht="15" customHeight="1" x14ac:dyDescent="0.2">
      <c r="B66" t="s">
        <v>193</v>
      </c>
      <c r="C66" s="12">
        <v>13</v>
      </c>
      <c r="D66" s="8">
        <v>1.3</v>
      </c>
      <c r="E66" s="12">
        <v>7</v>
      </c>
      <c r="F66" s="8">
        <v>1.19</v>
      </c>
      <c r="G66" s="12">
        <v>6</v>
      </c>
      <c r="H66" s="8">
        <v>1.52</v>
      </c>
      <c r="I66" s="12">
        <v>0</v>
      </c>
    </row>
    <row r="67" spans="2:9" ht="15" customHeight="1" x14ac:dyDescent="0.2">
      <c r="B67" t="s">
        <v>165</v>
      </c>
      <c r="C67" s="12">
        <v>13</v>
      </c>
      <c r="D67" s="8">
        <v>1.3</v>
      </c>
      <c r="E67" s="12">
        <v>4</v>
      </c>
      <c r="F67" s="8">
        <v>0.68</v>
      </c>
      <c r="G67" s="12">
        <v>9</v>
      </c>
      <c r="H67" s="8">
        <v>2.27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A10E-57F3-4DF7-8CBD-2840285D4E3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0.15</v>
      </c>
      <c r="I5" s="12">
        <v>0</v>
      </c>
    </row>
    <row r="6" spans="2:9" ht="15" customHeight="1" x14ac:dyDescent="0.2">
      <c r="B6" t="s">
        <v>61</v>
      </c>
      <c r="C6" s="12">
        <v>234</v>
      </c>
      <c r="D6" s="8">
        <v>15.4</v>
      </c>
      <c r="E6" s="12">
        <v>59</v>
      </c>
      <c r="F6" s="8">
        <v>7.39</v>
      </c>
      <c r="G6" s="12">
        <v>175</v>
      </c>
      <c r="H6" s="8">
        <v>25.44</v>
      </c>
      <c r="I6" s="12">
        <v>0</v>
      </c>
    </row>
    <row r="7" spans="2:9" ht="15" customHeight="1" x14ac:dyDescent="0.2">
      <c r="B7" t="s">
        <v>62</v>
      </c>
      <c r="C7" s="12">
        <v>139</v>
      </c>
      <c r="D7" s="8">
        <v>9.15</v>
      </c>
      <c r="E7" s="12">
        <v>63</v>
      </c>
      <c r="F7" s="8">
        <v>7.89</v>
      </c>
      <c r="G7" s="12">
        <v>76</v>
      </c>
      <c r="H7" s="8">
        <v>11.05</v>
      </c>
      <c r="I7" s="12">
        <v>0</v>
      </c>
    </row>
    <row r="8" spans="2:9" ht="15" customHeight="1" x14ac:dyDescent="0.2">
      <c r="B8" t="s">
        <v>63</v>
      </c>
      <c r="C8" s="12">
        <v>9</v>
      </c>
      <c r="D8" s="8">
        <v>0.59</v>
      </c>
      <c r="E8" s="12">
        <v>0</v>
      </c>
      <c r="F8" s="8">
        <v>0</v>
      </c>
      <c r="G8" s="12">
        <v>9</v>
      </c>
      <c r="H8" s="8">
        <v>1.31</v>
      </c>
      <c r="I8" s="12">
        <v>0</v>
      </c>
    </row>
    <row r="9" spans="2:9" ht="15" customHeight="1" x14ac:dyDescent="0.2">
      <c r="B9" t="s">
        <v>64</v>
      </c>
      <c r="C9" s="12">
        <v>16</v>
      </c>
      <c r="D9" s="8">
        <v>1.05</v>
      </c>
      <c r="E9" s="12">
        <v>1</v>
      </c>
      <c r="F9" s="8">
        <v>0.13</v>
      </c>
      <c r="G9" s="12">
        <v>15</v>
      </c>
      <c r="H9" s="8">
        <v>2.1800000000000002</v>
      </c>
      <c r="I9" s="12">
        <v>0</v>
      </c>
    </row>
    <row r="10" spans="2:9" ht="15" customHeight="1" x14ac:dyDescent="0.2">
      <c r="B10" t="s">
        <v>65</v>
      </c>
      <c r="C10" s="12">
        <v>12</v>
      </c>
      <c r="D10" s="8">
        <v>0.79</v>
      </c>
      <c r="E10" s="12">
        <v>0</v>
      </c>
      <c r="F10" s="8">
        <v>0</v>
      </c>
      <c r="G10" s="12">
        <v>12</v>
      </c>
      <c r="H10" s="8">
        <v>1.74</v>
      </c>
      <c r="I10" s="12">
        <v>0</v>
      </c>
    </row>
    <row r="11" spans="2:9" ht="15" customHeight="1" x14ac:dyDescent="0.2">
      <c r="B11" t="s">
        <v>66</v>
      </c>
      <c r="C11" s="12">
        <v>352</v>
      </c>
      <c r="D11" s="8">
        <v>23.17</v>
      </c>
      <c r="E11" s="12">
        <v>174</v>
      </c>
      <c r="F11" s="8">
        <v>21.8</v>
      </c>
      <c r="G11" s="12">
        <v>177</v>
      </c>
      <c r="H11" s="8">
        <v>25.73</v>
      </c>
      <c r="I11" s="12">
        <v>1</v>
      </c>
    </row>
    <row r="12" spans="2:9" ht="15" customHeight="1" x14ac:dyDescent="0.2">
      <c r="B12" t="s">
        <v>67</v>
      </c>
      <c r="C12" s="12">
        <v>13</v>
      </c>
      <c r="D12" s="8">
        <v>0.86</v>
      </c>
      <c r="E12" s="12">
        <v>3</v>
      </c>
      <c r="F12" s="8">
        <v>0.38</v>
      </c>
      <c r="G12" s="12">
        <v>10</v>
      </c>
      <c r="H12" s="8">
        <v>1.45</v>
      </c>
      <c r="I12" s="12">
        <v>0</v>
      </c>
    </row>
    <row r="13" spans="2:9" ht="15" customHeight="1" x14ac:dyDescent="0.2">
      <c r="B13" t="s">
        <v>68</v>
      </c>
      <c r="C13" s="12">
        <v>139</v>
      </c>
      <c r="D13" s="8">
        <v>9.15</v>
      </c>
      <c r="E13" s="12">
        <v>84</v>
      </c>
      <c r="F13" s="8">
        <v>10.53</v>
      </c>
      <c r="G13" s="12">
        <v>55</v>
      </c>
      <c r="H13" s="8">
        <v>7.99</v>
      </c>
      <c r="I13" s="12">
        <v>0</v>
      </c>
    </row>
    <row r="14" spans="2:9" ht="15" customHeight="1" x14ac:dyDescent="0.2">
      <c r="B14" t="s">
        <v>69</v>
      </c>
      <c r="C14" s="12">
        <v>70</v>
      </c>
      <c r="D14" s="8">
        <v>4.6100000000000003</v>
      </c>
      <c r="E14" s="12">
        <v>35</v>
      </c>
      <c r="F14" s="8">
        <v>4.3899999999999997</v>
      </c>
      <c r="G14" s="12">
        <v>35</v>
      </c>
      <c r="H14" s="8">
        <v>5.09</v>
      </c>
      <c r="I14" s="12">
        <v>0</v>
      </c>
    </row>
    <row r="15" spans="2:9" ht="15" customHeight="1" x14ac:dyDescent="0.2">
      <c r="B15" t="s">
        <v>70</v>
      </c>
      <c r="C15" s="12">
        <v>147</v>
      </c>
      <c r="D15" s="8">
        <v>9.68</v>
      </c>
      <c r="E15" s="12">
        <v>108</v>
      </c>
      <c r="F15" s="8">
        <v>13.53</v>
      </c>
      <c r="G15" s="12">
        <v>38</v>
      </c>
      <c r="H15" s="8">
        <v>5.52</v>
      </c>
      <c r="I15" s="12">
        <v>0</v>
      </c>
    </row>
    <row r="16" spans="2:9" ht="15" customHeight="1" x14ac:dyDescent="0.2">
      <c r="B16" t="s">
        <v>71</v>
      </c>
      <c r="C16" s="12">
        <v>199</v>
      </c>
      <c r="D16" s="8">
        <v>13.1</v>
      </c>
      <c r="E16" s="12">
        <v>165</v>
      </c>
      <c r="F16" s="8">
        <v>20.68</v>
      </c>
      <c r="G16" s="12">
        <v>34</v>
      </c>
      <c r="H16" s="8">
        <v>4.9400000000000004</v>
      </c>
      <c r="I16" s="12">
        <v>0</v>
      </c>
    </row>
    <row r="17" spans="2:9" ht="15" customHeight="1" x14ac:dyDescent="0.2">
      <c r="B17" t="s">
        <v>72</v>
      </c>
      <c r="C17" s="12">
        <v>51</v>
      </c>
      <c r="D17" s="8">
        <v>3.36</v>
      </c>
      <c r="E17" s="12">
        <v>35</v>
      </c>
      <c r="F17" s="8">
        <v>4.3899999999999997</v>
      </c>
      <c r="G17" s="12">
        <v>7</v>
      </c>
      <c r="H17" s="8">
        <v>1.02</v>
      </c>
      <c r="I17" s="12">
        <v>1</v>
      </c>
    </row>
    <row r="18" spans="2:9" ht="15" customHeight="1" x14ac:dyDescent="0.2">
      <c r="B18" t="s">
        <v>73</v>
      </c>
      <c r="C18" s="12">
        <v>89</v>
      </c>
      <c r="D18" s="8">
        <v>5.86</v>
      </c>
      <c r="E18" s="12">
        <v>46</v>
      </c>
      <c r="F18" s="8">
        <v>5.76</v>
      </c>
      <c r="G18" s="12">
        <v>24</v>
      </c>
      <c r="H18" s="8">
        <v>3.49</v>
      </c>
      <c r="I18" s="12">
        <v>0</v>
      </c>
    </row>
    <row r="19" spans="2:9" ht="15" customHeight="1" x14ac:dyDescent="0.2">
      <c r="B19" t="s">
        <v>74</v>
      </c>
      <c r="C19" s="12">
        <v>48</v>
      </c>
      <c r="D19" s="8">
        <v>3.16</v>
      </c>
      <c r="E19" s="12">
        <v>25</v>
      </c>
      <c r="F19" s="8">
        <v>3.13</v>
      </c>
      <c r="G19" s="12">
        <v>20</v>
      </c>
      <c r="H19" s="8">
        <v>2.91</v>
      </c>
      <c r="I19" s="12">
        <v>3</v>
      </c>
    </row>
    <row r="20" spans="2:9" ht="15" customHeight="1" x14ac:dyDescent="0.2">
      <c r="B20" s="9" t="s">
        <v>337</v>
      </c>
      <c r="C20" s="12">
        <f>SUM(LTBL_07212[総数／事業所数])</f>
        <v>1519</v>
      </c>
      <c r="E20" s="12">
        <f>SUBTOTAL(109,LTBL_07212[個人／事業所数])</f>
        <v>798</v>
      </c>
      <c r="G20" s="12">
        <f>SUBTOTAL(109,LTBL_07212[法人／事業所数])</f>
        <v>688</v>
      </c>
      <c r="I20" s="12">
        <f>SUBTOTAL(109,LTBL_07212[法人以外の団体／事業所数])</f>
        <v>5</v>
      </c>
    </row>
    <row r="21" spans="2:9" ht="15" customHeight="1" x14ac:dyDescent="0.2">
      <c r="E21" s="11">
        <f>LTBL_07212[[#Totals],[個人／事業所数]]/LTBL_07212[[#Totals],[総数／事業所数]]</f>
        <v>0.52534562211981561</v>
      </c>
      <c r="G21" s="11">
        <f>LTBL_07212[[#Totals],[法人／事業所数]]/LTBL_07212[[#Totals],[総数／事業所数]]</f>
        <v>0.45292955892034231</v>
      </c>
      <c r="I21" s="11">
        <f>LTBL_07212[[#Totals],[法人以外の団体／事業所数]]/LTBL_07212[[#Totals],[総数／事業所数]]</f>
        <v>3.2916392363396972E-3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174</v>
      </c>
      <c r="D24" s="8">
        <v>11.45</v>
      </c>
      <c r="E24" s="12">
        <v>151</v>
      </c>
      <c r="F24" s="8">
        <v>18.920000000000002</v>
      </c>
      <c r="G24" s="12">
        <v>23</v>
      </c>
      <c r="H24" s="8">
        <v>3.34</v>
      </c>
      <c r="I24" s="12">
        <v>0</v>
      </c>
    </row>
    <row r="25" spans="2:9" ht="15" customHeight="1" x14ac:dyDescent="0.2">
      <c r="B25" t="s">
        <v>96</v>
      </c>
      <c r="C25" s="12">
        <v>121</v>
      </c>
      <c r="D25" s="8">
        <v>7.97</v>
      </c>
      <c r="E25" s="12">
        <v>105</v>
      </c>
      <c r="F25" s="8">
        <v>13.16</v>
      </c>
      <c r="G25" s="12">
        <v>16</v>
      </c>
      <c r="H25" s="8">
        <v>2.33</v>
      </c>
      <c r="I25" s="12">
        <v>0</v>
      </c>
    </row>
    <row r="26" spans="2:9" ht="15" customHeight="1" x14ac:dyDescent="0.2">
      <c r="B26" t="s">
        <v>92</v>
      </c>
      <c r="C26" s="12">
        <v>118</v>
      </c>
      <c r="D26" s="8">
        <v>7.77</v>
      </c>
      <c r="E26" s="12">
        <v>83</v>
      </c>
      <c r="F26" s="8">
        <v>10.4</v>
      </c>
      <c r="G26" s="12">
        <v>35</v>
      </c>
      <c r="H26" s="8">
        <v>5.09</v>
      </c>
      <c r="I26" s="12">
        <v>0</v>
      </c>
    </row>
    <row r="27" spans="2:9" ht="15" customHeight="1" x14ac:dyDescent="0.2">
      <c r="B27" t="s">
        <v>91</v>
      </c>
      <c r="C27" s="12">
        <v>112</v>
      </c>
      <c r="D27" s="8">
        <v>7.37</v>
      </c>
      <c r="E27" s="12">
        <v>57</v>
      </c>
      <c r="F27" s="8">
        <v>7.14</v>
      </c>
      <c r="G27" s="12">
        <v>55</v>
      </c>
      <c r="H27" s="8">
        <v>7.99</v>
      </c>
      <c r="I27" s="12">
        <v>0</v>
      </c>
    </row>
    <row r="28" spans="2:9" ht="15" customHeight="1" x14ac:dyDescent="0.2">
      <c r="B28" t="s">
        <v>83</v>
      </c>
      <c r="C28" s="12">
        <v>104</v>
      </c>
      <c r="D28" s="8">
        <v>6.85</v>
      </c>
      <c r="E28" s="12">
        <v>25</v>
      </c>
      <c r="F28" s="8">
        <v>3.13</v>
      </c>
      <c r="G28" s="12">
        <v>79</v>
      </c>
      <c r="H28" s="8">
        <v>11.48</v>
      </c>
      <c r="I28" s="12">
        <v>0</v>
      </c>
    </row>
    <row r="29" spans="2:9" ht="15" customHeight="1" x14ac:dyDescent="0.2">
      <c r="B29" t="s">
        <v>84</v>
      </c>
      <c r="C29" s="12">
        <v>71</v>
      </c>
      <c r="D29" s="8">
        <v>4.67</v>
      </c>
      <c r="E29" s="12">
        <v>25</v>
      </c>
      <c r="F29" s="8">
        <v>3.13</v>
      </c>
      <c r="G29" s="12">
        <v>46</v>
      </c>
      <c r="H29" s="8">
        <v>6.69</v>
      </c>
      <c r="I29" s="12">
        <v>0</v>
      </c>
    </row>
    <row r="30" spans="2:9" ht="15" customHeight="1" x14ac:dyDescent="0.2">
      <c r="B30" t="s">
        <v>89</v>
      </c>
      <c r="C30" s="12">
        <v>67</v>
      </c>
      <c r="D30" s="8">
        <v>4.41</v>
      </c>
      <c r="E30" s="12">
        <v>48</v>
      </c>
      <c r="F30" s="8">
        <v>6.02</v>
      </c>
      <c r="G30" s="12">
        <v>18</v>
      </c>
      <c r="H30" s="8">
        <v>2.62</v>
      </c>
      <c r="I30" s="12">
        <v>1</v>
      </c>
    </row>
    <row r="31" spans="2:9" ht="15" customHeight="1" x14ac:dyDescent="0.2">
      <c r="B31" t="s">
        <v>85</v>
      </c>
      <c r="C31" s="12">
        <v>59</v>
      </c>
      <c r="D31" s="8">
        <v>3.88</v>
      </c>
      <c r="E31" s="12">
        <v>9</v>
      </c>
      <c r="F31" s="8">
        <v>1.1299999999999999</v>
      </c>
      <c r="G31" s="12">
        <v>50</v>
      </c>
      <c r="H31" s="8">
        <v>7.27</v>
      </c>
      <c r="I31" s="12">
        <v>0</v>
      </c>
    </row>
    <row r="32" spans="2:9" ht="15" customHeight="1" x14ac:dyDescent="0.2">
      <c r="B32" t="s">
        <v>100</v>
      </c>
      <c r="C32" s="12">
        <v>53</v>
      </c>
      <c r="D32" s="8">
        <v>3.49</v>
      </c>
      <c r="E32" s="12">
        <v>46</v>
      </c>
      <c r="F32" s="8">
        <v>5.76</v>
      </c>
      <c r="G32" s="12">
        <v>7</v>
      </c>
      <c r="H32" s="8">
        <v>1.02</v>
      </c>
      <c r="I32" s="12">
        <v>0</v>
      </c>
    </row>
    <row r="33" spans="2:9" ht="15" customHeight="1" x14ac:dyDescent="0.2">
      <c r="B33" t="s">
        <v>99</v>
      </c>
      <c r="C33" s="12">
        <v>51</v>
      </c>
      <c r="D33" s="8">
        <v>3.36</v>
      </c>
      <c r="E33" s="12">
        <v>35</v>
      </c>
      <c r="F33" s="8">
        <v>4.3899999999999997</v>
      </c>
      <c r="G33" s="12">
        <v>7</v>
      </c>
      <c r="H33" s="8">
        <v>1.02</v>
      </c>
      <c r="I33" s="12">
        <v>1</v>
      </c>
    </row>
    <row r="34" spans="2:9" ht="15" customHeight="1" x14ac:dyDescent="0.2">
      <c r="B34" t="s">
        <v>90</v>
      </c>
      <c r="C34" s="12">
        <v>45</v>
      </c>
      <c r="D34" s="8">
        <v>2.96</v>
      </c>
      <c r="E34" s="12">
        <v>29</v>
      </c>
      <c r="F34" s="8">
        <v>3.63</v>
      </c>
      <c r="G34" s="12">
        <v>16</v>
      </c>
      <c r="H34" s="8">
        <v>2.33</v>
      </c>
      <c r="I34" s="12">
        <v>0</v>
      </c>
    </row>
    <row r="35" spans="2:9" ht="15" customHeight="1" x14ac:dyDescent="0.2">
      <c r="B35" t="s">
        <v>88</v>
      </c>
      <c r="C35" s="12">
        <v>43</v>
      </c>
      <c r="D35" s="8">
        <v>2.83</v>
      </c>
      <c r="E35" s="12">
        <v>23</v>
      </c>
      <c r="F35" s="8">
        <v>2.88</v>
      </c>
      <c r="G35" s="12">
        <v>20</v>
      </c>
      <c r="H35" s="8">
        <v>2.91</v>
      </c>
      <c r="I35" s="12">
        <v>0</v>
      </c>
    </row>
    <row r="36" spans="2:9" ht="15" customHeight="1" x14ac:dyDescent="0.2">
      <c r="B36" t="s">
        <v>94</v>
      </c>
      <c r="C36" s="12">
        <v>37</v>
      </c>
      <c r="D36" s="8">
        <v>2.44</v>
      </c>
      <c r="E36" s="12">
        <v>16</v>
      </c>
      <c r="F36" s="8">
        <v>2.0099999999999998</v>
      </c>
      <c r="G36" s="12">
        <v>21</v>
      </c>
      <c r="H36" s="8">
        <v>3.05</v>
      </c>
      <c r="I36" s="12">
        <v>0</v>
      </c>
    </row>
    <row r="37" spans="2:9" ht="15" customHeight="1" x14ac:dyDescent="0.2">
      <c r="B37" t="s">
        <v>101</v>
      </c>
      <c r="C37" s="12">
        <v>36</v>
      </c>
      <c r="D37" s="8">
        <v>2.37</v>
      </c>
      <c r="E37" s="12">
        <v>0</v>
      </c>
      <c r="F37" s="8">
        <v>0</v>
      </c>
      <c r="G37" s="12">
        <v>17</v>
      </c>
      <c r="H37" s="8">
        <v>2.4700000000000002</v>
      </c>
      <c r="I37" s="12">
        <v>0</v>
      </c>
    </row>
    <row r="38" spans="2:9" ht="15" customHeight="1" x14ac:dyDescent="0.2">
      <c r="B38" t="s">
        <v>86</v>
      </c>
      <c r="C38" s="12">
        <v>31</v>
      </c>
      <c r="D38" s="8">
        <v>2.04</v>
      </c>
      <c r="E38" s="12">
        <v>4</v>
      </c>
      <c r="F38" s="8">
        <v>0.5</v>
      </c>
      <c r="G38" s="12">
        <v>27</v>
      </c>
      <c r="H38" s="8">
        <v>3.92</v>
      </c>
      <c r="I38" s="12">
        <v>0</v>
      </c>
    </row>
    <row r="39" spans="2:9" ht="15" customHeight="1" x14ac:dyDescent="0.2">
      <c r="B39" t="s">
        <v>93</v>
      </c>
      <c r="C39" s="12">
        <v>30</v>
      </c>
      <c r="D39" s="8">
        <v>1.97</v>
      </c>
      <c r="E39" s="12">
        <v>19</v>
      </c>
      <c r="F39" s="8">
        <v>2.38</v>
      </c>
      <c r="G39" s="12">
        <v>11</v>
      </c>
      <c r="H39" s="8">
        <v>1.6</v>
      </c>
      <c r="I39" s="12">
        <v>0</v>
      </c>
    </row>
    <row r="40" spans="2:9" ht="15" customHeight="1" x14ac:dyDescent="0.2">
      <c r="B40" t="s">
        <v>102</v>
      </c>
      <c r="C40" s="12">
        <v>28</v>
      </c>
      <c r="D40" s="8">
        <v>1.84</v>
      </c>
      <c r="E40" s="12">
        <v>21</v>
      </c>
      <c r="F40" s="8">
        <v>2.63</v>
      </c>
      <c r="G40" s="12">
        <v>7</v>
      </c>
      <c r="H40" s="8">
        <v>1.02</v>
      </c>
      <c r="I40" s="12">
        <v>0</v>
      </c>
    </row>
    <row r="41" spans="2:9" ht="15" customHeight="1" x14ac:dyDescent="0.2">
      <c r="B41" t="s">
        <v>114</v>
      </c>
      <c r="C41" s="12">
        <v>27</v>
      </c>
      <c r="D41" s="8">
        <v>1.78</v>
      </c>
      <c r="E41" s="12">
        <v>8</v>
      </c>
      <c r="F41" s="8">
        <v>1</v>
      </c>
      <c r="G41" s="12">
        <v>19</v>
      </c>
      <c r="H41" s="8">
        <v>2.76</v>
      </c>
      <c r="I41" s="12">
        <v>0</v>
      </c>
    </row>
    <row r="42" spans="2:9" ht="15" customHeight="1" x14ac:dyDescent="0.2">
      <c r="B42" t="s">
        <v>87</v>
      </c>
      <c r="C42" s="12">
        <v>21</v>
      </c>
      <c r="D42" s="8">
        <v>1.38</v>
      </c>
      <c r="E42" s="12">
        <v>5</v>
      </c>
      <c r="F42" s="8">
        <v>0.63</v>
      </c>
      <c r="G42" s="12">
        <v>16</v>
      </c>
      <c r="H42" s="8">
        <v>2.33</v>
      </c>
      <c r="I42" s="12">
        <v>0</v>
      </c>
    </row>
    <row r="43" spans="2:9" ht="15" customHeight="1" x14ac:dyDescent="0.2">
      <c r="B43" t="s">
        <v>98</v>
      </c>
      <c r="C43" s="12">
        <v>20</v>
      </c>
      <c r="D43" s="8">
        <v>1.32</v>
      </c>
      <c r="E43" s="12">
        <v>12</v>
      </c>
      <c r="F43" s="8">
        <v>1.5</v>
      </c>
      <c r="G43" s="12">
        <v>8</v>
      </c>
      <c r="H43" s="8">
        <v>1.1599999999999999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90</v>
      </c>
      <c r="D47" s="8">
        <v>5.92</v>
      </c>
      <c r="E47" s="12">
        <v>74</v>
      </c>
      <c r="F47" s="8">
        <v>9.27</v>
      </c>
      <c r="G47" s="12">
        <v>16</v>
      </c>
      <c r="H47" s="8">
        <v>2.33</v>
      </c>
      <c r="I47" s="12">
        <v>0</v>
      </c>
    </row>
    <row r="48" spans="2:9" ht="15" customHeight="1" x14ac:dyDescent="0.2">
      <c r="B48" t="s">
        <v>174</v>
      </c>
      <c r="C48" s="12">
        <v>82</v>
      </c>
      <c r="D48" s="8">
        <v>5.4</v>
      </c>
      <c r="E48" s="12">
        <v>75</v>
      </c>
      <c r="F48" s="8">
        <v>9.4</v>
      </c>
      <c r="G48" s="12">
        <v>7</v>
      </c>
      <c r="H48" s="8">
        <v>1.02</v>
      </c>
      <c r="I48" s="12">
        <v>0</v>
      </c>
    </row>
    <row r="49" spans="2:9" ht="15" customHeight="1" x14ac:dyDescent="0.2">
      <c r="B49" t="s">
        <v>173</v>
      </c>
      <c r="C49" s="12">
        <v>64</v>
      </c>
      <c r="D49" s="8">
        <v>4.21</v>
      </c>
      <c r="E49" s="12">
        <v>61</v>
      </c>
      <c r="F49" s="8">
        <v>7.64</v>
      </c>
      <c r="G49" s="12">
        <v>3</v>
      </c>
      <c r="H49" s="8">
        <v>0.44</v>
      </c>
      <c r="I49" s="12">
        <v>0</v>
      </c>
    </row>
    <row r="50" spans="2:9" ht="15" customHeight="1" x14ac:dyDescent="0.2">
      <c r="B50" t="s">
        <v>158</v>
      </c>
      <c r="C50" s="12">
        <v>44</v>
      </c>
      <c r="D50" s="8">
        <v>2.9</v>
      </c>
      <c r="E50" s="12">
        <v>4</v>
      </c>
      <c r="F50" s="8">
        <v>0.5</v>
      </c>
      <c r="G50" s="12">
        <v>40</v>
      </c>
      <c r="H50" s="8">
        <v>5.81</v>
      </c>
      <c r="I50" s="12">
        <v>0</v>
      </c>
    </row>
    <row r="51" spans="2:9" ht="15" customHeight="1" x14ac:dyDescent="0.2">
      <c r="B51" t="s">
        <v>176</v>
      </c>
      <c r="C51" s="12">
        <v>39</v>
      </c>
      <c r="D51" s="8">
        <v>2.57</v>
      </c>
      <c r="E51" s="12">
        <v>35</v>
      </c>
      <c r="F51" s="8">
        <v>4.3899999999999997</v>
      </c>
      <c r="G51" s="12">
        <v>4</v>
      </c>
      <c r="H51" s="8">
        <v>0.57999999999999996</v>
      </c>
      <c r="I51" s="12">
        <v>0</v>
      </c>
    </row>
    <row r="52" spans="2:9" ht="15" customHeight="1" x14ac:dyDescent="0.2">
      <c r="B52" t="s">
        <v>160</v>
      </c>
      <c r="C52" s="12">
        <v>38</v>
      </c>
      <c r="D52" s="8">
        <v>2.5</v>
      </c>
      <c r="E52" s="12">
        <v>18</v>
      </c>
      <c r="F52" s="8">
        <v>2.2599999999999998</v>
      </c>
      <c r="G52" s="12">
        <v>20</v>
      </c>
      <c r="H52" s="8">
        <v>2.91</v>
      </c>
      <c r="I52" s="12">
        <v>0</v>
      </c>
    </row>
    <row r="53" spans="2:9" ht="15" customHeight="1" x14ac:dyDescent="0.2">
      <c r="B53" t="s">
        <v>172</v>
      </c>
      <c r="C53" s="12">
        <v>32</v>
      </c>
      <c r="D53" s="8">
        <v>2.11</v>
      </c>
      <c r="E53" s="12">
        <v>32</v>
      </c>
      <c r="F53" s="8">
        <v>4.01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166</v>
      </c>
      <c r="C54" s="12">
        <v>29</v>
      </c>
      <c r="D54" s="8">
        <v>1.91</v>
      </c>
      <c r="E54" s="12">
        <v>16</v>
      </c>
      <c r="F54" s="8">
        <v>2.0099999999999998</v>
      </c>
      <c r="G54" s="12">
        <v>13</v>
      </c>
      <c r="H54" s="8">
        <v>1.89</v>
      </c>
      <c r="I54" s="12">
        <v>0</v>
      </c>
    </row>
    <row r="55" spans="2:9" ht="15" customHeight="1" x14ac:dyDescent="0.2">
      <c r="B55" t="s">
        <v>177</v>
      </c>
      <c r="C55" s="12">
        <v>28</v>
      </c>
      <c r="D55" s="8">
        <v>1.84</v>
      </c>
      <c r="E55" s="12">
        <v>21</v>
      </c>
      <c r="F55" s="8">
        <v>2.63</v>
      </c>
      <c r="G55" s="12">
        <v>7</v>
      </c>
      <c r="H55" s="8">
        <v>1.02</v>
      </c>
      <c r="I55" s="12">
        <v>0</v>
      </c>
    </row>
    <row r="56" spans="2:9" ht="15" customHeight="1" x14ac:dyDescent="0.2">
      <c r="B56" t="s">
        <v>190</v>
      </c>
      <c r="C56" s="12">
        <v>27</v>
      </c>
      <c r="D56" s="8">
        <v>1.78</v>
      </c>
      <c r="E56" s="12">
        <v>14</v>
      </c>
      <c r="F56" s="8">
        <v>1.75</v>
      </c>
      <c r="G56" s="12">
        <v>13</v>
      </c>
      <c r="H56" s="8">
        <v>1.89</v>
      </c>
      <c r="I56" s="12">
        <v>0</v>
      </c>
    </row>
    <row r="57" spans="2:9" ht="15" customHeight="1" x14ac:dyDescent="0.2">
      <c r="B57" t="s">
        <v>175</v>
      </c>
      <c r="C57" s="12">
        <v>27</v>
      </c>
      <c r="D57" s="8">
        <v>1.78</v>
      </c>
      <c r="E57" s="12">
        <v>23</v>
      </c>
      <c r="F57" s="8">
        <v>2.88</v>
      </c>
      <c r="G57" s="12">
        <v>4</v>
      </c>
      <c r="H57" s="8">
        <v>0.57999999999999996</v>
      </c>
      <c r="I57" s="12">
        <v>0</v>
      </c>
    </row>
    <row r="58" spans="2:9" ht="15" customHeight="1" x14ac:dyDescent="0.2">
      <c r="B58" t="s">
        <v>171</v>
      </c>
      <c r="C58" s="12">
        <v>26</v>
      </c>
      <c r="D58" s="8">
        <v>1.71</v>
      </c>
      <c r="E58" s="12">
        <v>26</v>
      </c>
      <c r="F58" s="8">
        <v>3.26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161</v>
      </c>
      <c r="C59" s="12">
        <v>24</v>
      </c>
      <c r="D59" s="8">
        <v>1.58</v>
      </c>
      <c r="E59" s="12">
        <v>6</v>
      </c>
      <c r="F59" s="8">
        <v>0.75</v>
      </c>
      <c r="G59" s="12">
        <v>18</v>
      </c>
      <c r="H59" s="8">
        <v>2.62</v>
      </c>
      <c r="I59" s="12">
        <v>0</v>
      </c>
    </row>
    <row r="60" spans="2:9" ht="15" customHeight="1" x14ac:dyDescent="0.2">
      <c r="B60" t="s">
        <v>164</v>
      </c>
      <c r="C60" s="12">
        <v>24</v>
      </c>
      <c r="D60" s="8">
        <v>1.58</v>
      </c>
      <c r="E60" s="12">
        <v>14</v>
      </c>
      <c r="F60" s="8">
        <v>1.75</v>
      </c>
      <c r="G60" s="12">
        <v>10</v>
      </c>
      <c r="H60" s="8">
        <v>1.45</v>
      </c>
      <c r="I60" s="12">
        <v>0</v>
      </c>
    </row>
    <row r="61" spans="2:9" ht="15" customHeight="1" x14ac:dyDescent="0.2">
      <c r="B61" t="s">
        <v>163</v>
      </c>
      <c r="C61" s="12">
        <v>23</v>
      </c>
      <c r="D61" s="8">
        <v>1.51</v>
      </c>
      <c r="E61" s="12">
        <v>15</v>
      </c>
      <c r="F61" s="8">
        <v>1.88</v>
      </c>
      <c r="G61" s="12">
        <v>7</v>
      </c>
      <c r="H61" s="8">
        <v>1.02</v>
      </c>
      <c r="I61" s="12">
        <v>1</v>
      </c>
    </row>
    <row r="62" spans="2:9" ht="15" customHeight="1" x14ac:dyDescent="0.2">
      <c r="B62" t="s">
        <v>170</v>
      </c>
      <c r="C62" s="12">
        <v>22</v>
      </c>
      <c r="D62" s="8">
        <v>1.45</v>
      </c>
      <c r="E62" s="12">
        <v>19</v>
      </c>
      <c r="F62" s="8">
        <v>2.38</v>
      </c>
      <c r="G62" s="12">
        <v>3</v>
      </c>
      <c r="H62" s="8">
        <v>0.44</v>
      </c>
      <c r="I62" s="12">
        <v>0</v>
      </c>
    </row>
    <row r="63" spans="2:9" ht="15" customHeight="1" x14ac:dyDescent="0.2">
      <c r="B63" t="s">
        <v>181</v>
      </c>
      <c r="C63" s="12">
        <v>21</v>
      </c>
      <c r="D63" s="8">
        <v>1.38</v>
      </c>
      <c r="E63" s="12">
        <v>14</v>
      </c>
      <c r="F63" s="8">
        <v>1.75</v>
      </c>
      <c r="G63" s="12">
        <v>7</v>
      </c>
      <c r="H63" s="8">
        <v>1.02</v>
      </c>
      <c r="I63" s="12">
        <v>0</v>
      </c>
    </row>
    <row r="64" spans="2:9" ht="15" customHeight="1" x14ac:dyDescent="0.2">
      <c r="B64" t="s">
        <v>197</v>
      </c>
      <c r="C64" s="12">
        <v>21</v>
      </c>
      <c r="D64" s="8">
        <v>1.38</v>
      </c>
      <c r="E64" s="12">
        <v>0</v>
      </c>
      <c r="F64" s="8">
        <v>0</v>
      </c>
      <c r="G64" s="12">
        <v>2</v>
      </c>
      <c r="H64" s="8">
        <v>0.28999999999999998</v>
      </c>
      <c r="I64" s="12">
        <v>0</v>
      </c>
    </row>
    <row r="65" spans="2:9" ht="15" customHeight="1" x14ac:dyDescent="0.2">
      <c r="B65" t="s">
        <v>162</v>
      </c>
      <c r="C65" s="12">
        <v>20</v>
      </c>
      <c r="D65" s="8">
        <v>1.32</v>
      </c>
      <c r="E65" s="12">
        <v>2</v>
      </c>
      <c r="F65" s="8">
        <v>0.25</v>
      </c>
      <c r="G65" s="12">
        <v>18</v>
      </c>
      <c r="H65" s="8">
        <v>2.62</v>
      </c>
      <c r="I65" s="12">
        <v>0</v>
      </c>
    </row>
    <row r="66" spans="2:9" ht="15" customHeight="1" x14ac:dyDescent="0.2">
      <c r="B66" t="s">
        <v>188</v>
      </c>
      <c r="C66" s="12">
        <v>20</v>
      </c>
      <c r="D66" s="8">
        <v>1.32</v>
      </c>
      <c r="E66" s="12">
        <v>2</v>
      </c>
      <c r="F66" s="8">
        <v>0.25</v>
      </c>
      <c r="G66" s="12">
        <v>18</v>
      </c>
      <c r="H66" s="8">
        <v>2.62</v>
      </c>
      <c r="I66" s="12">
        <v>0</v>
      </c>
    </row>
    <row r="67" spans="2:9" ht="15" customHeight="1" x14ac:dyDescent="0.2">
      <c r="B67" t="s">
        <v>169</v>
      </c>
      <c r="C67" s="12">
        <v>20</v>
      </c>
      <c r="D67" s="8">
        <v>1.32</v>
      </c>
      <c r="E67" s="12">
        <v>9</v>
      </c>
      <c r="F67" s="8">
        <v>1.1299999999999999</v>
      </c>
      <c r="G67" s="12">
        <v>11</v>
      </c>
      <c r="H67" s="8">
        <v>1.6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5C89-C1E4-478B-91B4-E583DD19E4C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294</v>
      </c>
      <c r="D6" s="8">
        <v>19.329999999999998</v>
      </c>
      <c r="E6" s="12">
        <v>153</v>
      </c>
      <c r="F6" s="8">
        <v>15.77</v>
      </c>
      <c r="G6" s="12">
        <v>141</v>
      </c>
      <c r="H6" s="8">
        <v>26.21</v>
      </c>
      <c r="I6" s="12">
        <v>0</v>
      </c>
    </row>
    <row r="7" spans="2:9" ht="15" customHeight="1" x14ac:dyDescent="0.2">
      <c r="B7" t="s">
        <v>62</v>
      </c>
      <c r="C7" s="12">
        <v>137</v>
      </c>
      <c r="D7" s="8">
        <v>9.01</v>
      </c>
      <c r="E7" s="12">
        <v>60</v>
      </c>
      <c r="F7" s="8">
        <v>6.19</v>
      </c>
      <c r="G7" s="12">
        <v>77</v>
      </c>
      <c r="H7" s="8">
        <v>14.31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64</v>
      </c>
      <c r="C9" s="12">
        <v>5</v>
      </c>
      <c r="D9" s="8">
        <v>0.33</v>
      </c>
      <c r="E9" s="12">
        <v>0</v>
      </c>
      <c r="F9" s="8">
        <v>0</v>
      </c>
      <c r="G9" s="12">
        <v>4</v>
      </c>
      <c r="H9" s="8">
        <v>0.74</v>
      </c>
      <c r="I9" s="12">
        <v>0</v>
      </c>
    </row>
    <row r="10" spans="2:9" ht="15" customHeight="1" x14ac:dyDescent="0.2">
      <c r="B10" t="s">
        <v>65</v>
      </c>
      <c r="C10" s="12">
        <v>24</v>
      </c>
      <c r="D10" s="8">
        <v>1.58</v>
      </c>
      <c r="E10" s="12">
        <v>12</v>
      </c>
      <c r="F10" s="8">
        <v>1.24</v>
      </c>
      <c r="G10" s="12">
        <v>12</v>
      </c>
      <c r="H10" s="8">
        <v>2.23</v>
      </c>
      <c r="I10" s="12">
        <v>0</v>
      </c>
    </row>
    <row r="11" spans="2:9" ht="15" customHeight="1" x14ac:dyDescent="0.2">
      <c r="B11" t="s">
        <v>66</v>
      </c>
      <c r="C11" s="12">
        <v>381</v>
      </c>
      <c r="D11" s="8">
        <v>25.05</v>
      </c>
      <c r="E11" s="12">
        <v>221</v>
      </c>
      <c r="F11" s="8">
        <v>22.78</v>
      </c>
      <c r="G11" s="12">
        <v>157</v>
      </c>
      <c r="H11" s="8">
        <v>29.18</v>
      </c>
      <c r="I11" s="12">
        <v>3</v>
      </c>
    </row>
    <row r="12" spans="2:9" ht="15" customHeight="1" x14ac:dyDescent="0.2">
      <c r="B12" t="s">
        <v>67</v>
      </c>
      <c r="C12" s="12">
        <v>7</v>
      </c>
      <c r="D12" s="8">
        <v>0.46</v>
      </c>
      <c r="E12" s="12">
        <v>3</v>
      </c>
      <c r="F12" s="8">
        <v>0.31</v>
      </c>
      <c r="G12" s="12">
        <v>4</v>
      </c>
      <c r="H12" s="8">
        <v>0.74</v>
      </c>
      <c r="I12" s="12">
        <v>0</v>
      </c>
    </row>
    <row r="13" spans="2:9" ht="15" customHeight="1" x14ac:dyDescent="0.2">
      <c r="B13" t="s">
        <v>68</v>
      </c>
      <c r="C13" s="12">
        <v>178</v>
      </c>
      <c r="D13" s="8">
        <v>11.7</v>
      </c>
      <c r="E13" s="12">
        <v>135</v>
      </c>
      <c r="F13" s="8">
        <v>13.92</v>
      </c>
      <c r="G13" s="12">
        <v>43</v>
      </c>
      <c r="H13" s="8">
        <v>7.99</v>
      </c>
      <c r="I13" s="12">
        <v>0</v>
      </c>
    </row>
    <row r="14" spans="2:9" ht="15" customHeight="1" x14ac:dyDescent="0.2">
      <c r="B14" t="s">
        <v>69</v>
      </c>
      <c r="C14" s="12">
        <v>39</v>
      </c>
      <c r="D14" s="8">
        <v>2.56</v>
      </c>
      <c r="E14" s="12">
        <v>24</v>
      </c>
      <c r="F14" s="8">
        <v>2.4700000000000002</v>
      </c>
      <c r="G14" s="12">
        <v>13</v>
      </c>
      <c r="H14" s="8">
        <v>2.42</v>
      </c>
      <c r="I14" s="12">
        <v>1</v>
      </c>
    </row>
    <row r="15" spans="2:9" ht="15" customHeight="1" x14ac:dyDescent="0.2">
      <c r="B15" t="s">
        <v>70</v>
      </c>
      <c r="C15" s="12">
        <v>125</v>
      </c>
      <c r="D15" s="8">
        <v>8.2200000000000006</v>
      </c>
      <c r="E15" s="12">
        <v>111</v>
      </c>
      <c r="F15" s="8">
        <v>11.44</v>
      </c>
      <c r="G15" s="12">
        <v>12</v>
      </c>
      <c r="H15" s="8">
        <v>2.23</v>
      </c>
      <c r="I15" s="12">
        <v>0</v>
      </c>
    </row>
    <row r="16" spans="2:9" ht="15" customHeight="1" x14ac:dyDescent="0.2">
      <c r="B16" t="s">
        <v>71</v>
      </c>
      <c r="C16" s="12">
        <v>198</v>
      </c>
      <c r="D16" s="8">
        <v>13.02</v>
      </c>
      <c r="E16" s="12">
        <v>168</v>
      </c>
      <c r="F16" s="8">
        <v>17.32</v>
      </c>
      <c r="G16" s="12">
        <v>30</v>
      </c>
      <c r="H16" s="8">
        <v>5.58</v>
      </c>
      <c r="I16" s="12">
        <v>0</v>
      </c>
    </row>
    <row r="17" spans="2:9" ht="15" customHeight="1" x14ac:dyDescent="0.2">
      <c r="B17" t="s">
        <v>72</v>
      </c>
      <c r="C17" s="12">
        <v>31</v>
      </c>
      <c r="D17" s="8">
        <v>2.04</v>
      </c>
      <c r="E17" s="12">
        <v>22</v>
      </c>
      <c r="F17" s="8">
        <v>2.27</v>
      </c>
      <c r="G17" s="12">
        <v>7</v>
      </c>
      <c r="H17" s="8">
        <v>1.3</v>
      </c>
      <c r="I17" s="12">
        <v>2</v>
      </c>
    </row>
    <row r="18" spans="2:9" ht="15" customHeight="1" x14ac:dyDescent="0.2">
      <c r="B18" t="s">
        <v>73</v>
      </c>
      <c r="C18" s="12">
        <v>46</v>
      </c>
      <c r="D18" s="8">
        <v>3.02</v>
      </c>
      <c r="E18" s="12">
        <v>33</v>
      </c>
      <c r="F18" s="8">
        <v>3.4</v>
      </c>
      <c r="G18" s="12">
        <v>13</v>
      </c>
      <c r="H18" s="8">
        <v>2.42</v>
      </c>
      <c r="I18" s="12">
        <v>0</v>
      </c>
    </row>
    <row r="19" spans="2:9" ht="15" customHeight="1" x14ac:dyDescent="0.2">
      <c r="B19" t="s">
        <v>74</v>
      </c>
      <c r="C19" s="12">
        <v>55</v>
      </c>
      <c r="D19" s="8">
        <v>3.62</v>
      </c>
      <c r="E19" s="12">
        <v>28</v>
      </c>
      <c r="F19" s="8">
        <v>2.89</v>
      </c>
      <c r="G19" s="12">
        <v>24</v>
      </c>
      <c r="H19" s="8">
        <v>4.46</v>
      </c>
      <c r="I19" s="12">
        <v>2</v>
      </c>
    </row>
    <row r="20" spans="2:9" ht="15" customHeight="1" x14ac:dyDescent="0.2">
      <c r="B20" s="9" t="s">
        <v>337</v>
      </c>
      <c r="C20" s="12">
        <f>SUM(LTBL_07213[総数／事業所数])</f>
        <v>1521</v>
      </c>
      <c r="E20" s="12">
        <f>SUBTOTAL(109,LTBL_07213[個人／事業所数])</f>
        <v>970</v>
      </c>
      <c r="G20" s="12">
        <f>SUBTOTAL(109,LTBL_07213[法人／事業所数])</f>
        <v>538</v>
      </c>
      <c r="I20" s="12">
        <f>SUBTOTAL(109,LTBL_07213[法人以外の団体／事業所数])</f>
        <v>8</v>
      </c>
    </row>
    <row r="21" spans="2:9" ht="15" customHeight="1" x14ac:dyDescent="0.2">
      <c r="E21" s="11">
        <f>LTBL_07213[[#Totals],[個人／事業所数]]/LTBL_07213[[#Totals],[総数／事業所数]]</f>
        <v>0.63773833004602232</v>
      </c>
      <c r="G21" s="11">
        <f>LTBL_07213[[#Totals],[法人／事業所数]]/LTBL_07213[[#Totals],[総数／事業所数]]</f>
        <v>0.35371466140696911</v>
      </c>
      <c r="I21" s="11">
        <f>LTBL_07213[[#Totals],[法人以外の団体／事業所数]]/LTBL_07213[[#Totals],[総数／事業所数]]</f>
        <v>5.2596975673898753E-3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173</v>
      </c>
      <c r="D24" s="8">
        <v>11.37</v>
      </c>
      <c r="E24" s="12">
        <v>155</v>
      </c>
      <c r="F24" s="8">
        <v>15.98</v>
      </c>
      <c r="G24" s="12">
        <v>18</v>
      </c>
      <c r="H24" s="8">
        <v>3.35</v>
      </c>
      <c r="I24" s="12">
        <v>0</v>
      </c>
    </row>
    <row r="25" spans="2:9" ht="15" customHeight="1" x14ac:dyDescent="0.2">
      <c r="B25" t="s">
        <v>92</v>
      </c>
      <c r="C25" s="12">
        <v>168</v>
      </c>
      <c r="D25" s="8">
        <v>11.05</v>
      </c>
      <c r="E25" s="12">
        <v>134</v>
      </c>
      <c r="F25" s="8">
        <v>13.81</v>
      </c>
      <c r="G25" s="12">
        <v>34</v>
      </c>
      <c r="H25" s="8">
        <v>6.32</v>
      </c>
      <c r="I25" s="12">
        <v>0</v>
      </c>
    </row>
    <row r="26" spans="2:9" ht="15" customHeight="1" x14ac:dyDescent="0.2">
      <c r="B26" t="s">
        <v>91</v>
      </c>
      <c r="C26" s="12">
        <v>136</v>
      </c>
      <c r="D26" s="8">
        <v>8.94</v>
      </c>
      <c r="E26" s="12">
        <v>77</v>
      </c>
      <c r="F26" s="8">
        <v>7.94</v>
      </c>
      <c r="G26" s="12">
        <v>57</v>
      </c>
      <c r="H26" s="8">
        <v>10.59</v>
      </c>
      <c r="I26" s="12">
        <v>2</v>
      </c>
    </row>
    <row r="27" spans="2:9" ht="15" customHeight="1" x14ac:dyDescent="0.2">
      <c r="B27" t="s">
        <v>83</v>
      </c>
      <c r="C27" s="12">
        <v>126</v>
      </c>
      <c r="D27" s="8">
        <v>8.2799999999999994</v>
      </c>
      <c r="E27" s="12">
        <v>57</v>
      </c>
      <c r="F27" s="8">
        <v>5.88</v>
      </c>
      <c r="G27" s="12">
        <v>69</v>
      </c>
      <c r="H27" s="8">
        <v>12.83</v>
      </c>
      <c r="I27" s="12">
        <v>0</v>
      </c>
    </row>
    <row r="28" spans="2:9" ht="15" customHeight="1" x14ac:dyDescent="0.2">
      <c r="B28" t="s">
        <v>84</v>
      </c>
      <c r="C28" s="12">
        <v>120</v>
      </c>
      <c r="D28" s="8">
        <v>7.89</v>
      </c>
      <c r="E28" s="12">
        <v>83</v>
      </c>
      <c r="F28" s="8">
        <v>8.56</v>
      </c>
      <c r="G28" s="12">
        <v>37</v>
      </c>
      <c r="H28" s="8">
        <v>6.88</v>
      </c>
      <c r="I28" s="12">
        <v>0</v>
      </c>
    </row>
    <row r="29" spans="2:9" ht="15" customHeight="1" x14ac:dyDescent="0.2">
      <c r="B29" t="s">
        <v>96</v>
      </c>
      <c r="C29" s="12">
        <v>112</v>
      </c>
      <c r="D29" s="8">
        <v>7.36</v>
      </c>
      <c r="E29" s="12">
        <v>104</v>
      </c>
      <c r="F29" s="8">
        <v>10.72</v>
      </c>
      <c r="G29" s="12">
        <v>8</v>
      </c>
      <c r="H29" s="8">
        <v>1.49</v>
      </c>
      <c r="I29" s="12">
        <v>0</v>
      </c>
    </row>
    <row r="30" spans="2:9" ht="15" customHeight="1" x14ac:dyDescent="0.2">
      <c r="B30" t="s">
        <v>89</v>
      </c>
      <c r="C30" s="12">
        <v>94</v>
      </c>
      <c r="D30" s="8">
        <v>6.18</v>
      </c>
      <c r="E30" s="12">
        <v>72</v>
      </c>
      <c r="F30" s="8">
        <v>7.42</v>
      </c>
      <c r="G30" s="12">
        <v>21</v>
      </c>
      <c r="H30" s="8">
        <v>3.9</v>
      </c>
      <c r="I30" s="12">
        <v>1</v>
      </c>
    </row>
    <row r="31" spans="2:9" ht="15" customHeight="1" x14ac:dyDescent="0.2">
      <c r="B31" t="s">
        <v>90</v>
      </c>
      <c r="C31" s="12">
        <v>60</v>
      </c>
      <c r="D31" s="8">
        <v>3.94</v>
      </c>
      <c r="E31" s="12">
        <v>36</v>
      </c>
      <c r="F31" s="8">
        <v>3.71</v>
      </c>
      <c r="G31" s="12">
        <v>24</v>
      </c>
      <c r="H31" s="8">
        <v>4.46</v>
      </c>
      <c r="I31" s="12">
        <v>0</v>
      </c>
    </row>
    <row r="32" spans="2:9" ht="15" customHeight="1" x14ac:dyDescent="0.2">
      <c r="B32" t="s">
        <v>85</v>
      </c>
      <c r="C32" s="12">
        <v>48</v>
      </c>
      <c r="D32" s="8">
        <v>3.16</v>
      </c>
      <c r="E32" s="12">
        <v>13</v>
      </c>
      <c r="F32" s="8">
        <v>1.34</v>
      </c>
      <c r="G32" s="12">
        <v>35</v>
      </c>
      <c r="H32" s="8">
        <v>6.51</v>
      </c>
      <c r="I32" s="12">
        <v>0</v>
      </c>
    </row>
    <row r="33" spans="2:9" ht="15" customHeight="1" x14ac:dyDescent="0.2">
      <c r="B33" t="s">
        <v>100</v>
      </c>
      <c r="C33" s="12">
        <v>34</v>
      </c>
      <c r="D33" s="8">
        <v>2.2400000000000002</v>
      </c>
      <c r="E33" s="12">
        <v>33</v>
      </c>
      <c r="F33" s="8">
        <v>3.4</v>
      </c>
      <c r="G33" s="12">
        <v>1</v>
      </c>
      <c r="H33" s="8">
        <v>0.19</v>
      </c>
      <c r="I33" s="12">
        <v>0</v>
      </c>
    </row>
    <row r="34" spans="2:9" ht="15" customHeight="1" x14ac:dyDescent="0.2">
      <c r="B34" t="s">
        <v>99</v>
      </c>
      <c r="C34" s="12">
        <v>31</v>
      </c>
      <c r="D34" s="8">
        <v>2.04</v>
      </c>
      <c r="E34" s="12">
        <v>22</v>
      </c>
      <c r="F34" s="8">
        <v>2.27</v>
      </c>
      <c r="G34" s="12">
        <v>7</v>
      </c>
      <c r="H34" s="8">
        <v>1.3</v>
      </c>
      <c r="I34" s="12">
        <v>2</v>
      </c>
    </row>
    <row r="35" spans="2:9" ht="15" customHeight="1" x14ac:dyDescent="0.2">
      <c r="B35" t="s">
        <v>102</v>
      </c>
      <c r="C35" s="12">
        <v>29</v>
      </c>
      <c r="D35" s="8">
        <v>1.91</v>
      </c>
      <c r="E35" s="12">
        <v>23</v>
      </c>
      <c r="F35" s="8">
        <v>2.37</v>
      </c>
      <c r="G35" s="12">
        <v>6</v>
      </c>
      <c r="H35" s="8">
        <v>1.1200000000000001</v>
      </c>
      <c r="I35" s="12">
        <v>0</v>
      </c>
    </row>
    <row r="36" spans="2:9" ht="15" customHeight="1" x14ac:dyDescent="0.2">
      <c r="B36" t="s">
        <v>111</v>
      </c>
      <c r="C36" s="12">
        <v>28</v>
      </c>
      <c r="D36" s="8">
        <v>1.84</v>
      </c>
      <c r="E36" s="12">
        <v>19</v>
      </c>
      <c r="F36" s="8">
        <v>1.96</v>
      </c>
      <c r="G36" s="12">
        <v>9</v>
      </c>
      <c r="H36" s="8">
        <v>1.67</v>
      </c>
      <c r="I36" s="12">
        <v>0</v>
      </c>
    </row>
    <row r="37" spans="2:9" ht="15" customHeight="1" x14ac:dyDescent="0.2">
      <c r="B37" t="s">
        <v>94</v>
      </c>
      <c r="C37" s="12">
        <v>21</v>
      </c>
      <c r="D37" s="8">
        <v>1.38</v>
      </c>
      <c r="E37" s="12">
        <v>9</v>
      </c>
      <c r="F37" s="8">
        <v>0.93</v>
      </c>
      <c r="G37" s="12">
        <v>10</v>
      </c>
      <c r="H37" s="8">
        <v>1.86</v>
      </c>
      <c r="I37" s="12">
        <v>1</v>
      </c>
    </row>
    <row r="38" spans="2:9" ht="15" customHeight="1" x14ac:dyDescent="0.2">
      <c r="B38" t="s">
        <v>88</v>
      </c>
      <c r="C38" s="12">
        <v>20</v>
      </c>
      <c r="D38" s="8">
        <v>1.31</v>
      </c>
      <c r="E38" s="12">
        <v>12</v>
      </c>
      <c r="F38" s="8">
        <v>1.24</v>
      </c>
      <c r="G38" s="12">
        <v>8</v>
      </c>
      <c r="H38" s="8">
        <v>1.49</v>
      </c>
      <c r="I38" s="12">
        <v>0</v>
      </c>
    </row>
    <row r="39" spans="2:9" ht="15" customHeight="1" x14ac:dyDescent="0.2">
      <c r="B39" t="s">
        <v>93</v>
      </c>
      <c r="C39" s="12">
        <v>18</v>
      </c>
      <c r="D39" s="8">
        <v>1.18</v>
      </c>
      <c r="E39" s="12">
        <v>15</v>
      </c>
      <c r="F39" s="8">
        <v>1.55</v>
      </c>
      <c r="G39" s="12">
        <v>3</v>
      </c>
      <c r="H39" s="8">
        <v>0.56000000000000005</v>
      </c>
      <c r="I39" s="12">
        <v>0</v>
      </c>
    </row>
    <row r="40" spans="2:9" ht="15" customHeight="1" x14ac:dyDescent="0.2">
      <c r="B40" t="s">
        <v>98</v>
      </c>
      <c r="C40" s="12">
        <v>18</v>
      </c>
      <c r="D40" s="8">
        <v>1.18</v>
      </c>
      <c r="E40" s="12">
        <v>9</v>
      </c>
      <c r="F40" s="8">
        <v>0.93</v>
      </c>
      <c r="G40" s="12">
        <v>9</v>
      </c>
      <c r="H40" s="8">
        <v>1.67</v>
      </c>
      <c r="I40" s="12">
        <v>0</v>
      </c>
    </row>
    <row r="41" spans="2:9" ht="15" customHeight="1" x14ac:dyDescent="0.2">
      <c r="B41" t="s">
        <v>103</v>
      </c>
      <c r="C41" s="12">
        <v>17</v>
      </c>
      <c r="D41" s="8">
        <v>1.1200000000000001</v>
      </c>
      <c r="E41" s="12">
        <v>9</v>
      </c>
      <c r="F41" s="8">
        <v>0.93</v>
      </c>
      <c r="G41" s="12">
        <v>8</v>
      </c>
      <c r="H41" s="8">
        <v>1.49</v>
      </c>
      <c r="I41" s="12">
        <v>0</v>
      </c>
    </row>
    <row r="42" spans="2:9" ht="15" customHeight="1" x14ac:dyDescent="0.2">
      <c r="B42" t="s">
        <v>110</v>
      </c>
      <c r="C42" s="12">
        <v>15</v>
      </c>
      <c r="D42" s="8">
        <v>0.99</v>
      </c>
      <c r="E42" s="12">
        <v>5</v>
      </c>
      <c r="F42" s="8">
        <v>0.52</v>
      </c>
      <c r="G42" s="12">
        <v>10</v>
      </c>
      <c r="H42" s="8">
        <v>1.86</v>
      </c>
      <c r="I42" s="12">
        <v>0</v>
      </c>
    </row>
    <row r="43" spans="2:9" ht="15" customHeight="1" x14ac:dyDescent="0.2">
      <c r="B43" t="s">
        <v>114</v>
      </c>
      <c r="C43" s="12">
        <v>15</v>
      </c>
      <c r="D43" s="8">
        <v>0.99</v>
      </c>
      <c r="E43" s="12">
        <v>2</v>
      </c>
      <c r="F43" s="8">
        <v>0.21</v>
      </c>
      <c r="G43" s="12">
        <v>13</v>
      </c>
      <c r="H43" s="8">
        <v>2.42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117</v>
      </c>
      <c r="D47" s="8">
        <v>7.69</v>
      </c>
      <c r="E47" s="12">
        <v>103</v>
      </c>
      <c r="F47" s="8">
        <v>10.62</v>
      </c>
      <c r="G47" s="12">
        <v>14</v>
      </c>
      <c r="H47" s="8">
        <v>2.6</v>
      </c>
      <c r="I47" s="12">
        <v>0</v>
      </c>
    </row>
    <row r="48" spans="2:9" ht="15" customHeight="1" x14ac:dyDescent="0.2">
      <c r="B48" t="s">
        <v>174</v>
      </c>
      <c r="C48" s="12">
        <v>83</v>
      </c>
      <c r="D48" s="8">
        <v>5.46</v>
      </c>
      <c r="E48" s="12">
        <v>78</v>
      </c>
      <c r="F48" s="8">
        <v>8.0399999999999991</v>
      </c>
      <c r="G48" s="12">
        <v>5</v>
      </c>
      <c r="H48" s="8">
        <v>0.93</v>
      </c>
      <c r="I48" s="12">
        <v>0</v>
      </c>
    </row>
    <row r="49" spans="2:9" ht="15" customHeight="1" x14ac:dyDescent="0.2">
      <c r="B49" t="s">
        <v>173</v>
      </c>
      <c r="C49" s="12">
        <v>64</v>
      </c>
      <c r="D49" s="8">
        <v>4.21</v>
      </c>
      <c r="E49" s="12">
        <v>63</v>
      </c>
      <c r="F49" s="8">
        <v>6.49</v>
      </c>
      <c r="G49" s="12">
        <v>1</v>
      </c>
      <c r="H49" s="8">
        <v>0.19</v>
      </c>
      <c r="I49" s="12">
        <v>0</v>
      </c>
    </row>
    <row r="50" spans="2:9" ht="15" customHeight="1" x14ac:dyDescent="0.2">
      <c r="B50" t="s">
        <v>160</v>
      </c>
      <c r="C50" s="12">
        <v>46</v>
      </c>
      <c r="D50" s="8">
        <v>3.02</v>
      </c>
      <c r="E50" s="12">
        <v>26</v>
      </c>
      <c r="F50" s="8">
        <v>2.68</v>
      </c>
      <c r="G50" s="12">
        <v>20</v>
      </c>
      <c r="H50" s="8">
        <v>3.72</v>
      </c>
      <c r="I50" s="12">
        <v>0</v>
      </c>
    </row>
    <row r="51" spans="2:9" ht="15" customHeight="1" x14ac:dyDescent="0.2">
      <c r="B51" t="s">
        <v>172</v>
      </c>
      <c r="C51" s="12">
        <v>46</v>
      </c>
      <c r="D51" s="8">
        <v>3.02</v>
      </c>
      <c r="E51" s="12">
        <v>46</v>
      </c>
      <c r="F51" s="8">
        <v>4.74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166</v>
      </c>
      <c r="C52" s="12">
        <v>35</v>
      </c>
      <c r="D52" s="8">
        <v>2.2999999999999998</v>
      </c>
      <c r="E52" s="12">
        <v>24</v>
      </c>
      <c r="F52" s="8">
        <v>2.4700000000000002</v>
      </c>
      <c r="G52" s="12">
        <v>10</v>
      </c>
      <c r="H52" s="8">
        <v>1.86</v>
      </c>
      <c r="I52" s="12">
        <v>1</v>
      </c>
    </row>
    <row r="53" spans="2:9" ht="15" customHeight="1" x14ac:dyDescent="0.2">
      <c r="B53" t="s">
        <v>164</v>
      </c>
      <c r="C53" s="12">
        <v>33</v>
      </c>
      <c r="D53" s="8">
        <v>2.17</v>
      </c>
      <c r="E53" s="12">
        <v>17</v>
      </c>
      <c r="F53" s="8">
        <v>1.75</v>
      </c>
      <c r="G53" s="12">
        <v>16</v>
      </c>
      <c r="H53" s="8">
        <v>2.97</v>
      </c>
      <c r="I53" s="12">
        <v>0</v>
      </c>
    </row>
    <row r="54" spans="2:9" ht="15" customHeight="1" x14ac:dyDescent="0.2">
      <c r="B54" t="s">
        <v>158</v>
      </c>
      <c r="C54" s="12">
        <v>31</v>
      </c>
      <c r="D54" s="8">
        <v>2.04</v>
      </c>
      <c r="E54" s="12">
        <v>9</v>
      </c>
      <c r="F54" s="8">
        <v>0.93</v>
      </c>
      <c r="G54" s="12">
        <v>22</v>
      </c>
      <c r="H54" s="8">
        <v>4.09</v>
      </c>
      <c r="I54" s="12">
        <v>0</v>
      </c>
    </row>
    <row r="55" spans="2:9" ht="15" customHeight="1" x14ac:dyDescent="0.2">
      <c r="B55" t="s">
        <v>177</v>
      </c>
      <c r="C55" s="12">
        <v>29</v>
      </c>
      <c r="D55" s="8">
        <v>1.91</v>
      </c>
      <c r="E55" s="12">
        <v>23</v>
      </c>
      <c r="F55" s="8">
        <v>2.37</v>
      </c>
      <c r="G55" s="12">
        <v>6</v>
      </c>
      <c r="H55" s="8">
        <v>1.1200000000000001</v>
      </c>
      <c r="I55" s="12">
        <v>0</v>
      </c>
    </row>
    <row r="56" spans="2:9" ht="15" customHeight="1" x14ac:dyDescent="0.2">
      <c r="B56" t="s">
        <v>178</v>
      </c>
      <c r="C56" s="12">
        <v>28</v>
      </c>
      <c r="D56" s="8">
        <v>1.84</v>
      </c>
      <c r="E56" s="12">
        <v>23</v>
      </c>
      <c r="F56" s="8">
        <v>2.37</v>
      </c>
      <c r="G56" s="12">
        <v>5</v>
      </c>
      <c r="H56" s="8">
        <v>0.93</v>
      </c>
      <c r="I56" s="12">
        <v>0</v>
      </c>
    </row>
    <row r="57" spans="2:9" ht="15" customHeight="1" x14ac:dyDescent="0.2">
      <c r="B57" t="s">
        <v>165</v>
      </c>
      <c r="C57" s="12">
        <v>26</v>
      </c>
      <c r="D57" s="8">
        <v>1.71</v>
      </c>
      <c r="E57" s="12">
        <v>7</v>
      </c>
      <c r="F57" s="8">
        <v>0.72</v>
      </c>
      <c r="G57" s="12">
        <v>19</v>
      </c>
      <c r="H57" s="8">
        <v>3.53</v>
      </c>
      <c r="I57" s="12">
        <v>0</v>
      </c>
    </row>
    <row r="58" spans="2:9" ht="15" customHeight="1" x14ac:dyDescent="0.2">
      <c r="B58" t="s">
        <v>167</v>
      </c>
      <c r="C58" s="12">
        <v>26</v>
      </c>
      <c r="D58" s="8">
        <v>1.71</v>
      </c>
      <c r="E58" s="12">
        <v>13</v>
      </c>
      <c r="F58" s="8">
        <v>1.34</v>
      </c>
      <c r="G58" s="12">
        <v>13</v>
      </c>
      <c r="H58" s="8">
        <v>2.42</v>
      </c>
      <c r="I58" s="12">
        <v>0</v>
      </c>
    </row>
    <row r="59" spans="2:9" ht="15" customHeight="1" x14ac:dyDescent="0.2">
      <c r="B59" t="s">
        <v>159</v>
      </c>
      <c r="C59" s="12">
        <v>25</v>
      </c>
      <c r="D59" s="8">
        <v>1.64</v>
      </c>
      <c r="E59" s="12">
        <v>7</v>
      </c>
      <c r="F59" s="8">
        <v>0.72</v>
      </c>
      <c r="G59" s="12">
        <v>18</v>
      </c>
      <c r="H59" s="8">
        <v>3.35</v>
      </c>
      <c r="I59" s="12">
        <v>0</v>
      </c>
    </row>
    <row r="60" spans="2:9" ht="15" customHeight="1" x14ac:dyDescent="0.2">
      <c r="B60" t="s">
        <v>176</v>
      </c>
      <c r="C60" s="12">
        <v>25</v>
      </c>
      <c r="D60" s="8">
        <v>1.64</v>
      </c>
      <c r="E60" s="12">
        <v>25</v>
      </c>
      <c r="F60" s="8">
        <v>2.58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161</v>
      </c>
      <c r="C61" s="12">
        <v>24</v>
      </c>
      <c r="D61" s="8">
        <v>1.58</v>
      </c>
      <c r="E61" s="12">
        <v>7</v>
      </c>
      <c r="F61" s="8">
        <v>0.72</v>
      </c>
      <c r="G61" s="12">
        <v>17</v>
      </c>
      <c r="H61" s="8">
        <v>3.16</v>
      </c>
      <c r="I61" s="12">
        <v>0</v>
      </c>
    </row>
    <row r="62" spans="2:9" ht="15" customHeight="1" x14ac:dyDescent="0.2">
      <c r="B62" t="s">
        <v>171</v>
      </c>
      <c r="C62" s="12">
        <v>23</v>
      </c>
      <c r="D62" s="8">
        <v>1.51</v>
      </c>
      <c r="E62" s="12">
        <v>20</v>
      </c>
      <c r="F62" s="8">
        <v>2.06</v>
      </c>
      <c r="G62" s="12">
        <v>3</v>
      </c>
      <c r="H62" s="8">
        <v>0.56000000000000005</v>
      </c>
      <c r="I62" s="12">
        <v>0</v>
      </c>
    </row>
    <row r="63" spans="2:9" ht="15" customHeight="1" x14ac:dyDescent="0.2">
      <c r="B63" t="s">
        <v>162</v>
      </c>
      <c r="C63" s="12">
        <v>21</v>
      </c>
      <c r="D63" s="8">
        <v>1.38</v>
      </c>
      <c r="E63" s="12">
        <v>5</v>
      </c>
      <c r="F63" s="8">
        <v>0.52</v>
      </c>
      <c r="G63" s="12">
        <v>16</v>
      </c>
      <c r="H63" s="8">
        <v>2.97</v>
      </c>
      <c r="I63" s="12">
        <v>0</v>
      </c>
    </row>
    <row r="64" spans="2:9" ht="15" customHeight="1" x14ac:dyDescent="0.2">
      <c r="B64" t="s">
        <v>182</v>
      </c>
      <c r="C64" s="12">
        <v>21</v>
      </c>
      <c r="D64" s="8">
        <v>1.38</v>
      </c>
      <c r="E64" s="12">
        <v>9</v>
      </c>
      <c r="F64" s="8">
        <v>0.93</v>
      </c>
      <c r="G64" s="12">
        <v>12</v>
      </c>
      <c r="H64" s="8">
        <v>2.23</v>
      </c>
      <c r="I64" s="12">
        <v>0</v>
      </c>
    </row>
    <row r="65" spans="2:9" ht="15" customHeight="1" x14ac:dyDescent="0.2">
      <c r="B65" t="s">
        <v>198</v>
      </c>
      <c r="C65" s="12">
        <v>20</v>
      </c>
      <c r="D65" s="8">
        <v>1.31</v>
      </c>
      <c r="E65" s="12">
        <v>13</v>
      </c>
      <c r="F65" s="8">
        <v>1.34</v>
      </c>
      <c r="G65" s="12">
        <v>7</v>
      </c>
      <c r="H65" s="8">
        <v>1.3</v>
      </c>
      <c r="I65" s="12">
        <v>0</v>
      </c>
    </row>
    <row r="66" spans="2:9" ht="15" customHeight="1" x14ac:dyDescent="0.2">
      <c r="B66" t="s">
        <v>179</v>
      </c>
      <c r="C66" s="12">
        <v>20</v>
      </c>
      <c r="D66" s="8">
        <v>1.31</v>
      </c>
      <c r="E66" s="12">
        <v>18</v>
      </c>
      <c r="F66" s="8">
        <v>1.86</v>
      </c>
      <c r="G66" s="12">
        <v>2</v>
      </c>
      <c r="H66" s="8">
        <v>0.37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E247-2E52-4B3D-95AF-C05E8B851AF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2</v>
      </c>
      <c r="D5" s="8">
        <v>0.27</v>
      </c>
      <c r="E5" s="12">
        <v>1</v>
      </c>
      <c r="F5" s="8">
        <v>0.24</v>
      </c>
      <c r="G5" s="12">
        <v>1</v>
      </c>
      <c r="H5" s="8">
        <v>0.32</v>
      </c>
      <c r="I5" s="12">
        <v>0</v>
      </c>
    </row>
    <row r="6" spans="2:9" ht="15" customHeight="1" x14ac:dyDescent="0.2">
      <c r="B6" t="s">
        <v>61</v>
      </c>
      <c r="C6" s="12">
        <v>157</v>
      </c>
      <c r="D6" s="8">
        <v>21.22</v>
      </c>
      <c r="E6" s="12">
        <v>77</v>
      </c>
      <c r="F6" s="8">
        <v>18.47</v>
      </c>
      <c r="G6" s="12">
        <v>80</v>
      </c>
      <c r="H6" s="8">
        <v>25.24</v>
      </c>
      <c r="I6" s="12">
        <v>0</v>
      </c>
    </row>
    <row r="7" spans="2:9" ht="15" customHeight="1" x14ac:dyDescent="0.2">
      <c r="B7" t="s">
        <v>62</v>
      </c>
      <c r="C7" s="12">
        <v>69</v>
      </c>
      <c r="D7" s="8">
        <v>9.32</v>
      </c>
      <c r="E7" s="12">
        <v>28</v>
      </c>
      <c r="F7" s="8">
        <v>6.71</v>
      </c>
      <c r="G7" s="12">
        <v>41</v>
      </c>
      <c r="H7" s="8">
        <v>12.93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3</v>
      </c>
      <c r="D9" s="8">
        <v>0.41</v>
      </c>
      <c r="E9" s="12">
        <v>1</v>
      </c>
      <c r="F9" s="8">
        <v>0.24</v>
      </c>
      <c r="G9" s="12">
        <v>2</v>
      </c>
      <c r="H9" s="8">
        <v>0.63</v>
      </c>
      <c r="I9" s="12">
        <v>0</v>
      </c>
    </row>
    <row r="10" spans="2:9" ht="15" customHeight="1" x14ac:dyDescent="0.2">
      <c r="B10" t="s">
        <v>65</v>
      </c>
      <c r="C10" s="12">
        <v>13</v>
      </c>
      <c r="D10" s="8">
        <v>1.76</v>
      </c>
      <c r="E10" s="12">
        <v>3</v>
      </c>
      <c r="F10" s="8">
        <v>0.72</v>
      </c>
      <c r="G10" s="12">
        <v>10</v>
      </c>
      <c r="H10" s="8">
        <v>3.15</v>
      </c>
      <c r="I10" s="12">
        <v>0</v>
      </c>
    </row>
    <row r="11" spans="2:9" ht="15" customHeight="1" x14ac:dyDescent="0.2">
      <c r="B11" t="s">
        <v>66</v>
      </c>
      <c r="C11" s="12">
        <v>147</v>
      </c>
      <c r="D11" s="8">
        <v>19.86</v>
      </c>
      <c r="E11" s="12">
        <v>75</v>
      </c>
      <c r="F11" s="8">
        <v>17.989999999999998</v>
      </c>
      <c r="G11" s="12">
        <v>72</v>
      </c>
      <c r="H11" s="8">
        <v>22.71</v>
      </c>
      <c r="I11" s="12">
        <v>0</v>
      </c>
    </row>
    <row r="12" spans="2:9" ht="15" customHeight="1" x14ac:dyDescent="0.2">
      <c r="B12" t="s">
        <v>67</v>
      </c>
      <c r="C12" s="12">
        <v>3</v>
      </c>
      <c r="D12" s="8">
        <v>0.41</v>
      </c>
      <c r="E12" s="12">
        <v>3</v>
      </c>
      <c r="F12" s="8">
        <v>0.72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88</v>
      </c>
      <c r="D13" s="8">
        <v>11.89</v>
      </c>
      <c r="E13" s="12">
        <v>60</v>
      </c>
      <c r="F13" s="8">
        <v>14.39</v>
      </c>
      <c r="G13" s="12">
        <v>28</v>
      </c>
      <c r="H13" s="8">
        <v>8.83</v>
      </c>
      <c r="I13" s="12">
        <v>0</v>
      </c>
    </row>
    <row r="14" spans="2:9" ht="15" customHeight="1" x14ac:dyDescent="0.2">
      <c r="B14" t="s">
        <v>69</v>
      </c>
      <c r="C14" s="12">
        <v>29</v>
      </c>
      <c r="D14" s="8">
        <v>3.92</v>
      </c>
      <c r="E14" s="12">
        <v>16</v>
      </c>
      <c r="F14" s="8">
        <v>3.84</v>
      </c>
      <c r="G14" s="12">
        <v>13</v>
      </c>
      <c r="H14" s="8">
        <v>4.0999999999999996</v>
      </c>
      <c r="I14" s="12">
        <v>0</v>
      </c>
    </row>
    <row r="15" spans="2:9" ht="15" customHeight="1" x14ac:dyDescent="0.2">
      <c r="B15" t="s">
        <v>70</v>
      </c>
      <c r="C15" s="12">
        <v>59</v>
      </c>
      <c r="D15" s="8">
        <v>7.97</v>
      </c>
      <c r="E15" s="12">
        <v>43</v>
      </c>
      <c r="F15" s="8">
        <v>10.31</v>
      </c>
      <c r="G15" s="12">
        <v>16</v>
      </c>
      <c r="H15" s="8">
        <v>5.05</v>
      </c>
      <c r="I15" s="12">
        <v>0</v>
      </c>
    </row>
    <row r="16" spans="2:9" ht="15" customHeight="1" x14ac:dyDescent="0.2">
      <c r="B16" t="s">
        <v>71</v>
      </c>
      <c r="C16" s="12">
        <v>87</v>
      </c>
      <c r="D16" s="8">
        <v>11.76</v>
      </c>
      <c r="E16" s="12">
        <v>72</v>
      </c>
      <c r="F16" s="8">
        <v>17.27</v>
      </c>
      <c r="G16" s="12">
        <v>15</v>
      </c>
      <c r="H16" s="8">
        <v>4.7300000000000004</v>
      </c>
      <c r="I16" s="12">
        <v>0</v>
      </c>
    </row>
    <row r="17" spans="2:9" ht="15" customHeight="1" x14ac:dyDescent="0.2">
      <c r="B17" t="s">
        <v>72</v>
      </c>
      <c r="C17" s="12">
        <v>18</v>
      </c>
      <c r="D17" s="8">
        <v>2.4300000000000002</v>
      </c>
      <c r="E17" s="12">
        <v>8</v>
      </c>
      <c r="F17" s="8">
        <v>1.92</v>
      </c>
      <c r="G17" s="12">
        <v>6</v>
      </c>
      <c r="H17" s="8">
        <v>1.89</v>
      </c>
      <c r="I17" s="12">
        <v>0</v>
      </c>
    </row>
    <row r="18" spans="2:9" ht="15" customHeight="1" x14ac:dyDescent="0.2">
      <c r="B18" t="s">
        <v>73</v>
      </c>
      <c r="C18" s="12">
        <v>41</v>
      </c>
      <c r="D18" s="8">
        <v>5.54</v>
      </c>
      <c r="E18" s="12">
        <v>18</v>
      </c>
      <c r="F18" s="8">
        <v>4.32</v>
      </c>
      <c r="G18" s="12">
        <v>21</v>
      </c>
      <c r="H18" s="8">
        <v>6.62</v>
      </c>
      <c r="I18" s="12">
        <v>0</v>
      </c>
    </row>
    <row r="19" spans="2:9" ht="15" customHeight="1" x14ac:dyDescent="0.2">
      <c r="B19" t="s">
        <v>74</v>
      </c>
      <c r="C19" s="12">
        <v>24</v>
      </c>
      <c r="D19" s="8">
        <v>3.24</v>
      </c>
      <c r="E19" s="12">
        <v>12</v>
      </c>
      <c r="F19" s="8">
        <v>2.88</v>
      </c>
      <c r="G19" s="12">
        <v>12</v>
      </c>
      <c r="H19" s="8">
        <v>3.79</v>
      </c>
      <c r="I19" s="12">
        <v>0</v>
      </c>
    </row>
    <row r="20" spans="2:9" ht="15" customHeight="1" x14ac:dyDescent="0.2">
      <c r="B20" s="9" t="s">
        <v>337</v>
      </c>
      <c r="C20" s="12">
        <f>SUM(LTBL_07214[総数／事業所数])</f>
        <v>740</v>
      </c>
      <c r="E20" s="12">
        <f>SUBTOTAL(109,LTBL_07214[個人／事業所数])</f>
        <v>417</v>
      </c>
      <c r="G20" s="12">
        <f>SUBTOTAL(109,LTBL_07214[法人／事業所数])</f>
        <v>317</v>
      </c>
      <c r="I20" s="12">
        <f>SUBTOTAL(109,LTBL_07214[法人以外の団体／事業所数])</f>
        <v>0</v>
      </c>
    </row>
    <row r="21" spans="2:9" ht="15" customHeight="1" x14ac:dyDescent="0.2">
      <c r="E21" s="11">
        <f>LTBL_07214[[#Totals],[個人／事業所数]]/LTBL_07214[[#Totals],[総数／事業所数]]</f>
        <v>0.56351351351351353</v>
      </c>
      <c r="G21" s="11">
        <f>LTBL_07214[[#Totals],[法人／事業所数]]/LTBL_07214[[#Totals],[総数／事業所数]]</f>
        <v>0.42837837837837839</v>
      </c>
      <c r="I21" s="11">
        <f>LTBL_07214[[#Totals],[法人以外の団体／事業所数]]/LTBL_07214[[#Totals],[総数／事業所数]]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92</v>
      </c>
      <c r="C24" s="12">
        <v>81</v>
      </c>
      <c r="D24" s="8">
        <v>10.95</v>
      </c>
      <c r="E24" s="12">
        <v>57</v>
      </c>
      <c r="F24" s="8">
        <v>13.67</v>
      </c>
      <c r="G24" s="12">
        <v>24</v>
      </c>
      <c r="H24" s="8">
        <v>7.57</v>
      </c>
      <c r="I24" s="12">
        <v>0</v>
      </c>
    </row>
    <row r="25" spans="2:9" ht="15" customHeight="1" x14ac:dyDescent="0.2">
      <c r="B25" t="s">
        <v>97</v>
      </c>
      <c r="C25" s="12">
        <v>77</v>
      </c>
      <c r="D25" s="8">
        <v>10.41</v>
      </c>
      <c r="E25" s="12">
        <v>67</v>
      </c>
      <c r="F25" s="8">
        <v>16.07</v>
      </c>
      <c r="G25" s="12">
        <v>10</v>
      </c>
      <c r="H25" s="8">
        <v>3.15</v>
      </c>
      <c r="I25" s="12">
        <v>0</v>
      </c>
    </row>
    <row r="26" spans="2:9" ht="15" customHeight="1" x14ac:dyDescent="0.2">
      <c r="B26" t="s">
        <v>83</v>
      </c>
      <c r="C26" s="12">
        <v>72</v>
      </c>
      <c r="D26" s="8">
        <v>9.73</v>
      </c>
      <c r="E26" s="12">
        <v>29</v>
      </c>
      <c r="F26" s="8">
        <v>6.95</v>
      </c>
      <c r="G26" s="12">
        <v>43</v>
      </c>
      <c r="H26" s="8">
        <v>13.56</v>
      </c>
      <c r="I26" s="12">
        <v>0</v>
      </c>
    </row>
    <row r="27" spans="2:9" ht="15" customHeight="1" x14ac:dyDescent="0.2">
      <c r="B27" t="s">
        <v>84</v>
      </c>
      <c r="C27" s="12">
        <v>62</v>
      </c>
      <c r="D27" s="8">
        <v>8.3800000000000008</v>
      </c>
      <c r="E27" s="12">
        <v>38</v>
      </c>
      <c r="F27" s="8">
        <v>9.11</v>
      </c>
      <c r="G27" s="12">
        <v>24</v>
      </c>
      <c r="H27" s="8">
        <v>7.57</v>
      </c>
      <c r="I27" s="12">
        <v>0</v>
      </c>
    </row>
    <row r="28" spans="2:9" ht="15" customHeight="1" x14ac:dyDescent="0.2">
      <c r="B28" t="s">
        <v>96</v>
      </c>
      <c r="C28" s="12">
        <v>53</v>
      </c>
      <c r="D28" s="8">
        <v>7.16</v>
      </c>
      <c r="E28" s="12">
        <v>42</v>
      </c>
      <c r="F28" s="8">
        <v>10.07</v>
      </c>
      <c r="G28" s="12">
        <v>11</v>
      </c>
      <c r="H28" s="8">
        <v>3.47</v>
      </c>
      <c r="I28" s="12">
        <v>0</v>
      </c>
    </row>
    <row r="29" spans="2:9" ht="15" customHeight="1" x14ac:dyDescent="0.2">
      <c r="B29" t="s">
        <v>91</v>
      </c>
      <c r="C29" s="12">
        <v>38</v>
      </c>
      <c r="D29" s="8">
        <v>5.14</v>
      </c>
      <c r="E29" s="12">
        <v>22</v>
      </c>
      <c r="F29" s="8">
        <v>5.28</v>
      </c>
      <c r="G29" s="12">
        <v>16</v>
      </c>
      <c r="H29" s="8">
        <v>5.05</v>
      </c>
      <c r="I29" s="12">
        <v>0</v>
      </c>
    </row>
    <row r="30" spans="2:9" ht="15" customHeight="1" x14ac:dyDescent="0.2">
      <c r="B30" t="s">
        <v>89</v>
      </c>
      <c r="C30" s="12">
        <v>37</v>
      </c>
      <c r="D30" s="8">
        <v>5</v>
      </c>
      <c r="E30" s="12">
        <v>25</v>
      </c>
      <c r="F30" s="8">
        <v>6</v>
      </c>
      <c r="G30" s="12">
        <v>12</v>
      </c>
      <c r="H30" s="8">
        <v>3.79</v>
      </c>
      <c r="I30" s="12">
        <v>0</v>
      </c>
    </row>
    <row r="31" spans="2:9" ht="15" customHeight="1" x14ac:dyDescent="0.2">
      <c r="B31" t="s">
        <v>100</v>
      </c>
      <c r="C31" s="12">
        <v>25</v>
      </c>
      <c r="D31" s="8">
        <v>3.38</v>
      </c>
      <c r="E31" s="12">
        <v>18</v>
      </c>
      <c r="F31" s="8">
        <v>4.32</v>
      </c>
      <c r="G31" s="12">
        <v>7</v>
      </c>
      <c r="H31" s="8">
        <v>2.21</v>
      </c>
      <c r="I31" s="12">
        <v>0</v>
      </c>
    </row>
    <row r="32" spans="2:9" ht="15" customHeight="1" x14ac:dyDescent="0.2">
      <c r="B32" t="s">
        <v>85</v>
      </c>
      <c r="C32" s="12">
        <v>23</v>
      </c>
      <c r="D32" s="8">
        <v>3.11</v>
      </c>
      <c r="E32" s="12">
        <v>10</v>
      </c>
      <c r="F32" s="8">
        <v>2.4</v>
      </c>
      <c r="G32" s="12">
        <v>13</v>
      </c>
      <c r="H32" s="8">
        <v>4.0999999999999996</v>
      </c>
      <c r="I32" s="12">
        <v>0</v>
      </c>
    </row>
    <row r="33" spans="2:9" ht="15" customHeight="1" x14ac:dyDescent="0.2">
      <c r="B33" t="s">
        <v>90</v>
      </c>
      <c r="C33" s="12">
        <v>19</v>
      </c>
      <c r="D33" s="8">
        <v>2.57</v>
      </c>
      <c r="E33" s="12">
        <v>12</v>
      </c>
      <c r="F33" s="8">
        <v>2.88</v>
      </c>
      <c r="G33" s="12">
        <v>7</v>
      </c>
      <c r="H33" s="8">
        <v>2.21</v>
      </c>
      <c r="I33" s="12">
        <v>0</v>
      </c>
    </row>
    <row r="34" spans="2:9" ht="15" customHeight="1" x14ac:dyDescent="0.2">
      <c r="B34" t="s">
        <v>99</v>
      </c>
      <c r="C34" s="12">
        <v>18</v>
      </c>
      <c r="D34" s="8">
        <v>2.4300000000000002</v>
      </c>
      <c r="E34" s="12">
        <v>8</v>
      </c>
      <c r="F34" s="8">
        <v>1.92</v>
      </c>
      <c r="G34" s="12">
        <v>6</v>
      </c>
      <c r="H34" s="8">
        <v>1.89</v>
      </c>
      <c r="I34" s="12">
        <v>0</v>
      </c>
    </row>
    <row r="35" spans="2:9" ht="15" customHeight="1" x14ac:dyDescent="0.2">
      <c r="B35" t="s">
        <v>101</v>
      </c>
      <c r="C35" s="12">
        <v>16</v>
      </c>
      <c r="D35" s="8">
        <v>2.16</v>
      </c>
      <c r="E35" s="12">
        <v>0</v>
      </c>
      <c r="F35" s="8">
        <v>0</v>
      </c>
      <c r="G35" s="12">
        <v>14</v>
      </c>
      <c r="H35" s="8">
        <v>4.42</v>
      </c>
      <c r="I35" s="12">
        <v>0</v>
      </c>
    </row>
    <row r="36" spans="2:9" ht="15" customHeight="1" x14ac:dyDescent="0.2">
      <c r="B36" t="s">
        <v>93</v>
      </c>
      <c r="C36" s="12">
        <v>14</v>
      </c>
      <c r="D36" s="8">
        <v>1.89</v>
      </c>
      <c r="E36" s="12">
        <v>10</v>
      </c>
      <c r="F36" s="8">
        <v>2.4</v>
      </c>
      <c r="G36" s="12">
        <v>4</v>
      </c>
      <c r="H36" s="8">
        <v>1.26</v>
      </c>
      <c r="I36" s="12">
        <v>0</v>
      </c>
    </row>
    <row r="37" spans="2:9" ht="15" customHeight="1" x14ac:dyDescent="0.2">
      <c r="B37" t="s">
        <v>94</v>
      </c>
      <c r="C37" s="12">
        <v>14</v>
      </c>
      <c r="D37" s="8">
        <v>1.89</v>
      </c>
      <c r="E37" s="12">
        <v>5</v>
      </c>
      <c r="F37" s="8">
        <v>1.2</v>
      </c>
      <c r="G37" s="12">
        <v>9</v>
      </c>
      <c r="H37" s="8">
        <v>2.84</v>
      </c>
      <c r="I37" s="12">
        <v>0</v>
      </c>
    </row>
    <row r="38" spans="2:9" ht="15" customHeight="1" x14ac:dyDescent="0.2">
      <c r="B38" t="s">
        <v>115</v>
      </c>
      <c r="C38" s="12">
        <v>13</v>
      </c>
      <c r="D38" s="8">
        <v>1.76</v>
      </c>
      <c r="E38" s="12">
        <v>4</v>
      </c>
      <c r="F38" s="8">
        <v>0.96</v>
      </c>
      <c r="G38" s="12">
        <v>9</v>
      </c>
      <c r="H38" s="8">
        <v>2.84</v>
      </c>
      <c r="I38" s="12">
        <v>0</v>
      </c>
    </row>
    <row r="39" spans="2:9" ht="15" customHeight="1" x14ac:dyDescent="0.2">
      <c r="B39" t="s">
        <v>102</v>
      </c>
      <c r="C39" s="12">
        <v>13</v>
      </c>
      <c r="D39" s="8">
        <v>1.76</v>
      </c>
      <c r="E39" s="12">
        <v>11</v>
      </c>
      <c r="F39" s="8">
        <v>2.64</v>
      </c>
      <c r="G39" s="12">
        <v>2</v>
      </c>
      <c r="H39" s="8">
        <v>0.63</v>
      </c>
      <c r="I39" s="12">
        <v>0</v>
      </c>
    </row>
    <row r="40" spans="2:9" ht="15" customHeight="1" x14ac:dyDescent="0.2">
      <c r="B40" t="s">
        <v>117</v>
      </c>
      <c r="C40" s="12">
        <v>10</v>
      </c>
      <c r="D40" s="8">
        <v>1.35</v>
      </c>
      <c r="E40" s="12">
        <v>2</v>
      </c>
      <c r="F40" s="8">
        <v>0.48</v>
      </c>
      <c r="G40" s="12">
        <v>8</v>
      </c>
      <c r="H40" s="8">
        <v>2.52</v>
      </c>
      <c r="I40" s="12">
        <v>0</v>
      </c>
    </row>
    <row r="41" spans="2:9" ht="15" customHeight="1" x14ac:dyDescent="0.2">
      <c r="B41" t="s">
        <v>86</v>
      </c>
      <c r="C41" s="12">
        <v>10</v>
      </c>
      <c r="D41" s="8">
        <v>1.35</v>
      </c>
      <c r="E41" s="12">
        <v>1</v>
      </c>
      <c r="F41" s="8">
        <v>0.24</v>
      </c>
      <c r="G41" s="12">
        <v>9</v>
      </c>
      <c r="H41" s="8">
        <v>2.84</v>
      </c>
      <c r="I41" s="12">
        <v>0</v>
      </c>
    </row>
    <row r="42" spans="2:9" ht="15" customHeight="1" x14ac:dyDescent="0.2">
      <c r="B42" t="s">
        <v>107</v>
      </c>
      <c r="C42" s="12">
        <v>10</v>
      </c>
      <c r="D42" s="8">
        <v>1.35</v>
      </c>
      <c r="E42" s="12">
        <v>3</v>
      </c>
      <c r="F42" s="8">
        <v>0.72</v>
      </c>
      <c r="G42" s="12">
        <v>7</v>
      </c>
      <c r="H42" s="8">
        <v>2.21</v>
      </c>
      <c r="I42" s="12">
        <v>0</v>
      </c>
    </row>
    <row r="43" spans="2:9" ht="15" customHeight="1" x14ac:dyDescent="0.2">
      <c r="B43" t="s">
        <v>88</v>
      </c>
      <c r="C43" s="12">
        <v>10</v>
      </c>
      <c r="D43" s="8">
        <v>1.35</v>
      </c>
      <c r="E43" s="12">
        <v>5</v>
      </c>
      <c r="F43" s="8">
        <v>1.2</v>
      </c>
      <c r="G43" s="12">
        <v>5</v>
      </c>
      <c r="H43" s="8">
        <v>1.58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63</v>
      </c>
      <c r="D47" s="8">
        <v>8.51</v>
      </c>
      <c r="E47" s="12">
        <v>47</v>
      </c>
      <c r="F47" s="8">
        <v>11.27</v>
      </c>
      <c r="G47" s="12">
        <v>16</v>
      </c>
      <c r="H47" s="8">
        <v>5.05</v>
      </c>
      <c r="I47" s="12">
        <v>0</v>
      </c>
    </row>
    <row r="48" spans="2:9" ht="15" customHeight="1" x14ac:dyDescent="0.2">
      <c r="B48" t="s">
        <v>174</v>
      </c>
      <c r="C48" s="12">
        <v>37</v>
      </c>
      <c r="D48" s="8">
        <v>5</v>
      </c>
      <c r="E48" s="12">
        <v>31</v>
      </c>
      <c r="F48" s="8">
        <v>7.43</v>
      </c>
      <c r="G48" s="12">
        <v>6</v>
      </c>
      <c r="H48" s="8">
        <v>1.89</v>
      </c>
      <c r="I48" s="12">
        <v>0</v>
      </c>
    </row>
    <row r="49" spans="2:9" ht="15" customHeight="1" x14ac:dyDescent="0.2">
      <c r="B49" t="s">
        <v>173</v>
      </c>
      <c r="C49" s="12">
        <v>29</v>
      </c>
      <c r="D49" s="8">
        <v>3.92</v>
      </c>
      <c r="E49" s="12">
        <v>29</v>
      </c>
      <c r="F49" s="8">
        <v>6.95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159</v>
      </c>
      <c r="C50" s="12">
        <v>28</v>
      </c>
      <c r="D50" s="8">
        <v>3.78</v>
      </c>
      <c r="E50" s="12">
        <v>6</v>
      </c>
      <c r="F50" s="8">
        <v>1.44</v>
      </c>
      <c r="G50" s="12">
        <v>22</v>
      </c>
      <c r="H50" s="8">
        <v>6.94</v>
      </c>
      <c r="I50" s="12">
        <v>0</v>
      </c>
    </row>
    <row r="51" spans="2:9" ht="15" customHeight="1" x14ac:dyDescent="0.2">
      <c r="B51" t="s">
        <v>160</v>
      </c>
      <c r="C51" s="12">
        <v>21</v>
      </c>
      <c r="D51" s="8">
        <v>2.84</v>
      </c>
      <c r="E51" s="12">
        <v>14</v>
      </c>
      <c r="F51" s="8">
        <v>3.36</v>
      </c>
      <c r="G51" s="12">
        <v>7</v>
      </c>
      <c r="H51" s="8">
        <v>2.21</v>
      </c>
      <c r="I51" s="12">
        <v>0</v>
      </c>
    </row>
    <row r="52" spans="2:9" ht="15" customHeight="1" x14ac:dyDescent="0.2">
      <c r="B52" t="s">
        <v>176</v>
      </c>
      <c r="C52" s="12">
        <v>19</v>
      </c>
      <c r="D52" s="8">
        <v>2.57</v>
      </c>
      <c r="E52" s="12">
        <v>15</v>
      </c>
      <c r="F52" s="8">
        <v>3.6</v>
      </c>
      <c r="G52" s="12">
        <v>4</v>
      </c>
      <c r="H52" s="8">
        <v>1.26</v>
      </c>
      <c r="I52" s="12">
        <v>0</v>
      </c>
    </row>
    <row r="53" spans="2:9" ht="15" customHeight="1" x14ac:dyDescent="0.2">
      <c r="B53" t="s">
        <v>171</v>
      </c>
      <c r="C53" s="12">
        <v>17</v>
      </c>
      <c r="D53" s="8">
        <v>2.2999999999999998</v>
      </c>
      <c r="E53" s="12">
        <v>15</v>
      </c>
      <c r="F53" s="8">
        <v>3.6</v>
      </c>
      <c r="G53" s="12">
        <v>2</v>
      </c>
      <c r="H53" s="8">
        <v>0.63</v>
      </c>
      <c r="I53" s="12">
        <v>0</v>
      </c>
    </row>
    <row r="54" spans="2:9" ht="15" customHeight="1" x14ac:dyDescent="0.2">
      <c r="B54" t="s">
        <v>194</v>
      </c>
      <c r="C54" s="12">
        <v>16</v>
      </c>
      <c r="D54" s="8">
        <v>2.16</v>
      </c>
      <c r="E54" s="12">
        <v>9</v>
      </c>
      <c r="F54" s="8">
        <v>2.16</v>
      </c>
      <c r="G54" s="12">
        <v>7</v>
      </c>
      <c r="H54" s="8">
        <v>2.21</v>
      </c>
      <c r="I54" s="12">
        <v>0</v>
      </c>
    </row>
    <row r="55" spans="2:9" ht="15" customHeight="1" x14ac:dyDescent="0.2">
      <c r="B55" t="s">
        <v>166</v>
      </c>
      <c r="C55" s="12">
        <v>14</v>
      </c>
      <c r="D55" s="8">
        <v>1.89</v>
      </c>
      <c r="E55" s="12">
        <v>10</v>
      </c>
      <c r="F55" s="8">
        <v>2.4</v>
      </c>
      <c r="G55" s="12">
        <v>4</v>
      </c>
      <c r="H55" s="8">
        <v>1.26</v>
      </c>
      <c r="I55" s="12">
        <v>0</v>
      </c>
    </row>
    <row r="56" spans="2:9" ht="15" customHeight="1" x14ac:dyDescent="0.2">
      <c r="B56" t="s">
        <v>158</v>
      </c>
      <c r="C56" s="12">
        <v>13</v>
      </c>
      <c r="D56" s="8">
        <v>1.76</v>
      </c>
      <c r="E56" s="12">
        <v>6</v>
      </c>
      <c r="F56" s="8">
        <v>1.44</v>
      </c>
      <c r="G56" s="12">
        <v>7</v>
      </c>
      <c r="H56" s="8">
        <v>2.21</v>
      </c>
      <c r="I56" s="12">
        <v>0</v>
      </c>
    </row>
    <row r="57" spans="2:9" ht="15" customHeight="1" x14ac:dyDescent="0.2">
      <c r="B57" t="s">
        <v>177</v>
      </c>
      <c r="C57" s="12">
        <v>13</v>
      </c>
      <c r="D57" s="8">
        <v>1.76</v>
      </c>
      <c r="E57" s="12">
        <v>11</v>
      </c>
      <c r="F57" s="8">
        <v>2.64</v>
      </c>
      <c r="G57" s="12">
        <v>2</v>
      </c>
      <c r="H57" s="8">
        <v>0.63</v>
      </c>
      <c r="I57" s="12">
        <v>0</v>
      </c>
    </row>
    <row r="58" spans="2:9" ht="15" customHeight="1" x14ac:dyDescent="0.2">
      <c r="B58" t="s">
        <v>178</v>
      </c>
      <c r="C58" s="12">
        <v>12</v>
      </c>
      <c r="D58" s="8">
        <v>1.62</v>
      </c>
      <c r="E58" s="12">
        <v>9</v>
      </c>
      <c r="F58" s="8">
        <v>2.16</v>
      </c>
      <c r="G58" s="12">
        <v>3</v>
      </c>
      <c r="H58" s="8">
        <v>0.95</v>
      </c>
      <c r="I58" s="12">
        <v>0</v>
      </c>
    </row>
    <row r="59" spans="2:9" ht="15" customHeight="1" x14ac:dyDescent="0.2">
      <c r="B59" t="s">
        <v>161</v>
      </c>
      <c r="C59" s="12">
        <v>11</v>
      </c>
      <c r="D59" s="8">
        <v>1.49</v>
      </c>
      <c r="E59" s="12">
        <v>6</v>
      </c>
      <c r="F59" s="8">
        <v>1.44</v>
      </c>
      <c r="G59" s="12">
        <v>5</v>
      </c>
      <c r="H59" s="8">
        <v>1.58</v>
      </c>
      <c r="I59" s="12">
        <v>0</v>
      </c>
    </row>
    <row r="60" spans="2:9" ht="15" customHeight="1" x14ac:dyDescent="0.2">
      <c r="B60" t="s">
        <v>170</v>
      </c>
      <c r="C60" s="12">
        <v>11</v>
      </c>
      <c r="D60" s="8">
        <v>1.49</v>
      </c>
      <c r="E60" s="12">
        <v>5</v>
      </c>
      <c r="F60" s="8">
        <v>1.2</v>
      </c>
      <c r="G60" s="12">
        <v>6</v>
      </c>
      <c r="H60" s="8">
        <v>1.89</v>
      </c>
      <c r="I60" s="12">
        <v>0</v>
      </c>
    </row>
    <row r="61" spans="2:9" ht="15" customHeight="1" x14ac:dyDescent="0.2">
      <c r="B61" t="s">
        <v>193</v>
      </c>
      <c r="C61" s="12">
        <v>10</v>
      </c>
      <c r="D61" s="8">
        <v>1.35</v>
      </c>
      <c r="E61" s="12">
        <v>6</v>
      </c>
      <c r="F61" s="8">
        <v>1.44</v>
      </c>
      <c r="G61" s="12">
        <v>4</v>
      </c>
      <c r="H61" s="8">
        <v>1.26</v>
      </c>
      <c r="I61" s="12">
        <v>0</v>
      </c>
    </row>
    <row r="62" spans="2:9" ht="15" customHeight="1" x14ac:dyDescent="0.2">
      <c r="B62" t="s">
        <v>167</v>
      </c>
      <c r="C62" s="12">
        <v>10</v>
      </c>
      <c r="D62" s="8">
        <v>1.35</v>
      </c>
      <c r="E62" s="12">
        <v>4</v>
      </c>
      <c r="F62" s="8">
        <v>0.96</v>
      </c>
      <c r="G62" s="12">
        <v>6</v>
      </c>
      <c r="H62" s="8">
        <v>1.89</v>
      </c>
      <c r="I62" s="12">
        <v>0</v>
      </c>
    </row>
    <row r="63" spans="2:9" ht="15" customHeight="1" x14ac:dyDescent="0.2">
      <c r="B63" t="s">
        <v>181</v>
      </c>
      <c r="C63" s="12">
        <v>10</v>
      </c>
      <c r="D63" s="8">
        <v>1.35</v>
      </c>
      <c r="E63" s="12">
        <v>9</v>
      </c>
      <c r="F63" s="8">
        <v>2.16</v>
      </c>
      <c r="G63" s="12">
        <v>1</v>
      </c>
      <c r="H63" s="8">
        <v>0.32</v>
      </c>
      <c r="I63" s="12">
        <v>0</v>
      </c>
    </row>
    <row r="64" spans="2:9" ht="15" customHeight="1" x14ac:dyDescent="0.2">
      <c r="B64" t="s">
        <v>172</v>
      </c>
      <c r="C64" s="12">
        <v>10</v>
      </c>
      <c r="D64" s="8">
        <v>1.35</v>
      </c>
      <c r="E64" s="12">
        <v>10</v>
      </c>
      <c r="F64" s="8">
        <v>2.4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200</v>
      </c>
      <c r="C65" s="12">
        <v>10</v>
      </c>
      <c r="D65" s="8">
        <v>1.35</v>
      </c>
      <c r="E65" s="12">
        <v>0</v>
      </c>
      <c r="F65" s="8">
        <v>0</v>
      </c>
      <c r="G65" s="12">
        <v>8</v>
      </c>
      <c r="H65" s="8">
        <v>2.52</v>
      </c>
      <c r="I65" s="12">
        <v>0</v>
      </c>
    </row>
    <row r="66" spans="2:9" ht="15" customHeight="1" x14ac:dyDescent="0.2">
      <c r="B66" t="s">
        <v>199</v>
      </c>
      <c r="C66" s="12">
        <v>9</v>
      </c>
      <c r="D66" s="8">
        <v>1.22</v>
      </c>
      <c r="E66" s="12">
        <v>6</v>
      </c>
      <c r="F66" s="8">
        <v>1.44</v>
      </c>
      <c r="G66" s="12">
        <v>3</v>
      </c>
      <c r="H66" s="8">
        <v>0.95</v>
      </c>
      <c r="I66" s="12">
        <v>0</v>
      </c>
    </row>
    <row r="67" spans="2:9" ht="15" customHeight="1" x14ac:dyDescent="0.2">
      <c r="B67" t="s">
        <v>163</v>
      </c>
      <c r="C67" s="12">
        <v>9</v>
      </c>
      <c r="D67" s="8">
        <v>1.22</v>
      </c>
      <c r="E67" s="12">
        <v>5</v>
      </c>
      <c r="F67" s="8">
        <v>1.2</v>
      </c>
      <c r="G67" s="12">
        <v>4</v>
      </c>
      <c r="H67" s="8">
        <v>1.26</v>
      </c>
      <c r="I67" s="12">
        <v>0</v>
      </c>
    </row>
    <row r="68" spans="2:9" ht="15" customHeight="1" x14ac:dyDescent="0.2">
      <c r="B68" t="s">
        <v>169</v>
      </c>
      <c r="C68" s="12">
        <v>9</v>
      </c>
      <c r="D68" s="8">
        <v>1.22</v>
      </c>
      <c r="E68" s="12">
        <v>3</v>
      </c>
      <c r="F68" s="8">
        <v>0.72</v>
      </c>
      <c r="G68" s="12">
        <v>6</v>
      </c>
      <c r="H68" s="8">
        <v>1.89</v>
      </c>
      <c r="I68" s="12">
        <v>0</v>
      </c>
    </row>
    <row r="70" spans="2:9" ht="15" customHeight="1" x14ac:dyDescent="0.2">
      <c r="B70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6FA2-35AA-4B4B-A479-6A33871AA9E3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49</v>
      </c>
      <c r="D6" s="8">
        <v>18.63</v>
      </c>
      <c r="E6" s="12">
        <v>25</v>
      </c>
      <c r="F6" s="8">
        <v>15.82</v>
      </c>
      <c r="G6" s="12">
        <v>24</v>
      </c>
      <c r="H6" s="8">
        <v>24</v>
      </c>
      <c r="I6" s="12">
        <v>0</v>
      </c>
    </row>
    <row r="7" spans="2:9" ht="15" customHeight="1" x14ac:dyDescent="0.2">
      <c r="B7" t="s">
        <v>62</v>
      </c>
      <c r="C7" s="12">
        <v>23</v>
      </c>
      <c r="D7" s="8">
        <v>8.75</v>
      </c>
      <c r="E7" s="12">
        <v>6</v>
      </c>
      <c r="F7" s="8">
        <v>3.8</v>
      </c>
      <c r="G7" s="12">
        <v>17</v>
      </c>
      <c r="H7" s="8">
        <v>17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0.76</v>
      </c>
      <c r="E9" s="12">
        <v>2</v>
      </c>
      <c r="F9" s="8">
        <v>1.27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0.76</v>
      </c>
      <c r="E10" s="12">
        <v>2</v>
      </c>
      <c r="F10" s="8">
        <v>1.27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66</v>
      </c>
      <c r="D11" s="8">
        <v>25.1</v>
      </c>
      <c r="E11" s="12">
        <v>35</v>
      </c>
      <c r="F11" s="8">
        <v>22.15</v>
      </c>
      <c r="G11" s="12">
        <v>30</v>
      </c>
      <c r="H11" s="8">
        <v>30</v>
      </c>
      <c r="I11" s="12">
        <v>1</v>
      </c>
    </row>
    <row r="12" spans="2:9" ht="15" customHeight="1" x14ac:dyDescent="0.2">
      <c r="B12" t="s">
        <v>67</v>
      </c>
      <c r="C12" s="12">
        <v>2</v>
      </c>
      <c r="D12" s="8">
        <v>0.76</v>
      </c>
      <c r="E12" s="12">
        <v>0</v>
      </c>
      <c r="F12" s="8">
        <v>0</v>
      </c>
      <c r="G12" s="12">
        <v>2</v>
      </c>
      <c r="H12" s="8">
        <v>2</v>
      </c>
      <c r="I12" s="12">
        <v>0</v>
      </c>
    </row>
    <row r="13" spans="2:9" ht="15" customHeight="1" x14ac:dyDescent="0.2">
      <c r="B13" t="s">
        <v>68</v>
      </c>
      <c r="C13" s="12">
        <v>29</v>
      </c>
      <c r="D13" s="8">
        <v>11.03</v>
      </c>
      <c r="E13" s="12">
        <v>18</v>
      </c>
      <c r="F13" s="8">
        <v>11.39</v>
      </c>
      <c r="G13" s="12">
        <v>11</v>
      </c>
      <c r="H13" s="8">
        <v>11</v>
      </c>
      <c r="I13" s="12">
        <v>0</v>
      </c>
    </row>
    <row r="14" spans="2:9" ht="15" customHeight="1" x14ac:dyDescent="0.2">
      <c r="B14" t="s">
        <v>69</v>
      </c>
      <c r="C14" s="12">
        <v>11</v>
      </c>
      <c r="D14" s="8">
        <v>4.18</v>
      </c>
      <c r="E14" s="12">
        <v>7</v>
      </c>
      <c r="F14" s="8">
        <v>4.43</v>
      </c>
      <c r="G14" s="12">
        <v>3</v>
      </c>
      <c r="H14" s="8">
        <v>3</v>
      </c>
      <c r="I14" s="12">
        <v>0</v>
      </c>
    </row>
    <row r="15" spans="2:9" ht="15" customHeight="1" x14ac:dyDescent="0.2">
      <c r="B15" t="s">
        <v>70</v>
      </c>
      <c r="C15" s="12">
        <v>11</v>
      </c>
      <c r="D15" s="8">
        <v>4.18</v>
      </c>
      <c r="E15" s="12">
        <v>10</v>
      </c>
      <c r="F15" s="8">
        <v>6.33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71</v>
      </c>
      <c r="C16" s="12">
        <v>29</v>
      </c>
      <c r="D16" s="8">
        <v>11.03</v>
      </c>
      <c r="E16" s="12">
        <v>26</v>
      </c>
      <c r="F16" s="8">
        <v>16.46</v>
      </c>
      <c r="G16" s="12">
        <v>3</v>
      </c>
      <c r="H16" s="8">
        <v>3</v>
      </c>
      <c r="I16" s="12">
        <v>0</v>
      </c>
    </row>
    <row r="17" spans="2:9" ht="15" customHeight="1" x14ac:dyDescent="0.2">
      <c r="B17" t="s">
        <v>72</v>
      </c>
      <c r="C17" s="12">
        <v>16</v>
      </c>
      <c r="D17" s="8">
        <v>6.08</v>
      </c>
      <c r="E17" s="12">
        <v>11</v>
      </c>
      <c r="F17" s="8">
        <v>6.96</v>
      </c>
      <c r="G17" s="12">
        <v>3</v>
      </c>
      <c r="H17" s="8">
        <v>3</v>
      </c>
      <c r="I17" s="12">
        <v>0</v>
      </c>
    </row>
    <row r="18" spans="2:9" ht="15" customHeight="1" x14ac:dyDescent="0.2">
      <c r="B18" t="s">
        <v>73</v>
      </c>
      <c r="C18" s="12">
        <v>9</v>
      </c>
      <c r="D18" s="8">
        <v>3.42</v>
      </c>
      <c r="E18" s="12">
        <v>9</v>
      </c>
      <c r="F18" s="8">
        <v>5.7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14</v>
      </c>
      <c r="D19" s="8">
        <v>5.32</v>
      </c>
      <c r="E19" s="12">
        <v>7</v>
      </c>
      <c r="F19" s="8">
        <v>4.43</v>
      </c>
      <c r="G19" s="12">
        <v>7</v>
      </c>
      <c r="H19" s="8">
        <v>7</v>
      </c>
      <c r="I19" s="12">
        <v>0</v>
      </c>
    </row>
    <row r="20" spans="2:9" ht="15" customHeight="1" x14ac:dyDescent="0.2">
      <c r="B20" s="9" t="s">
        <v>337</v>
      </c>
      <c r="C20" s="12">
        <f>SUM(LTBL_07301[総数／事業所数])</f>
        <v>263</v>
      </c>
      <c r="E20" s="12">
        <f>SUBTOTAL(109,LTBL_07301[個人／事業所数])</f>
        <v>158</v>
      </c>
      <c r="G20" s="12">
        <f>SUBTOTAL(109,LTBL_07301[法人／事業所数])</f>
        <v>100</v>
      </c>
      <c r="I20" s="12">
        <f>SUBTOTAL(109,LTBL_07301[法人以外の団体／事業所数])</f>
        <v>1</v>
      </c>
    </row>
    <row r="21" spans="2:9" ht="15" customHeight="1" x14ac:dyDescent="0.2">
      <c r="E21" s="11">
        <f>LTBL_07301[[#Totals],[個人／事業所数]]/LTBL_07301[[#Totals],[総数／事業所数]]</f>
        <v>0.60076045627376429</v>
      </c>
      <c r="G21" s="11">
        <f>LTBL_07301[[#Totals],[法人／事業所数]]/LTBL_07301[[#Totals],[総数／事業所数]]</f>
        <v>0.38022813688212925</v>
      </c>
      <c r="I21" s="11">
        <f>LTBL_07301[[#Totals],[法人以外の団体／事業所数]]/LTBL_07301[[#Totals],[総数／事業所数]]</f>
        <v>3.8022813688212928E-3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92</v>
      </c>
      <c r="C24" s="12">
        <v>27</v>
      </c>
      <c r="D24" s="8">
        <v>10.27</v>
      </c>
      <c r="E24" s="12">
        <v>18</v>
      </c>
      <c r="F24" s="8">
        <v>11.39</v>
      </c>
      <c r="G24" s="12">
        <v>9</v>
      </c>
      <c r="H24" s="8">
        <v>9</v>
      </c>
      <c r="I24" s="12">
        <v>0</v>
      </c>
    </row>
    <row r="25" spans="2:9" ht="15" customHeight="1" x14ac:dyDescent="0.2">
      <c r="B25" t="s">
        <v>97</v>
      </c>
      <c r="C25" s="12">
        <v>27</v>
      </c>
      <c r="D25" s="8">
        <v>10.27</v>
      </c>
      <c r="E25" s="12">
        <v>26</v>
      </c>
      <c r="F25" s="8">
        <v>16.46</v>
      </c>
      <c r="G25" s="12">
        <v>1</v>
      </c>
      <c r="H25" s="8">
        <v>1</v>
      </c>
      <c r="I25" s="12">
        <v>0</v>
      </c>
    </row>
    <row r="26" spans="2:9" ht="15" customHeight="1" x14ac:dyDescent="0.2">
      <c r="B26" t="s">
        <v>84</v>
      </c>
      <c r="C26" s="12">
        <v>24</v>
      </c>
      <c r="D26" s="8">
        <v>9.1300000000000008</v>
      </c>
      <c r="E26" s="12">
        <v>14</v>
      </c>
      <c r="F26" s="8">
        <v>8.86</v>
      </c>
      <c r="G26" s="12">
        <v>10</v>
      </c>
      <c r="H26" s="8">
        <v>10</v>
      </c>
      <c r="I26" s="12">
        <v>0</v>
      </c>
    </row>
    <row r="27" spans="2:9" ht="15" customHeight="1" x14ac:dyDescent="0.2">
      <c r="B27" t="s">
        <v>91</v>
      </c>
      <c r="C27" s="12">
        <v>19</v>
      </c>
      <c r="D27" s="8">
        <v>7.22</v>
      </c>
      <c r="E27" s="12">
        <v>9</v>
      </c>
      <c r="F27" s="8">
        <v>5.7</v>
      </c>
      <c r="G27" s="12">
        <v>10</v>
      </c>
      <c r="H27" s="8">
        <v>10</v>
      </c>
      <c r="I27" s="12">
        <v>0</v>
      </c>
    </row>
    <row r="28" spans="2:9" ht="15" customHeight="1" x14ac:dyDescent="0.2">
      <c r="B28" t="s">
        <v>83</v>
      </c>
      <c r="C28" s="12">
        <v>17</v>
      </c>
      <c r="D28" s="8">
        <v>6.46</v>
      </c>
      <c r="E28" s="12">
        <v>7</v>
      </c>
      <c r="F28" s="8">
        <v>4.43</v>
      </c>
      <c r="G28" s="12">
        <v>10</v>
      </c>
      <c r="H28" s="8">
        <v>10</v>
      </c>
      <c r="I28" s="12">
        <v>0</v>
      </c>
    </row>
    <row r="29" spans="2:9" ht="15" customHeight="1" x14ac:dyDescent="0.2">
      <c r="B29" t="s">
        <v>99</v>
      </c>
      <c r="C29" s="12">
        <v>16</v>
      </c>
      <c r="D29" s="8">
        <v>6.08</v>
      </c>
      <c r="E29" s="12">
        <v>11</v>
      </c>
      <c r="F29" s="8">
        <v>6.96</v>
      </c>
      <c r="G29" s="12">
        <v>3</v>
      </c>
      <c r="H29" s="8">
        <v>3</v>
      </c>
      <c r="I29" s="12">
        <v>0</v>
      </c>
    </row>
    <row r="30" spans="2:9" ht="15" customHeight="1" x14ac:dyDescent="0.2">
      <c r="B30" t="s">
        <v>90</v>
      </c>
      <c r="C30" s="12">
        <v>15</v>
      </c>
      <c r="D30" s="8">
        <v>5.7</v>
      </c>
      <c r="E30" s="12">
        <v>7</v>
      </c>
      <c r="F30" s="8">
        <v>4.43</v>
      </c>
      <c r="G30" s="12">
        <v>8</v>
      </c>
      <c r="H30" s="8">
        <v>8</v>
      </c>
      <c r="I30" s="12">
        <v>0</v>
      </c>
    </row>
    <row r="31" spans="2:9" ht="15" customHeight="1" x14ac:dyDescent="0.2">
      <c r="B31" t="s">
        <v>89</v>
      </c>
      <c r="C31" s="12">
        <v>11</v>
      </c>
      <c r="D31" s="8">
        <v>4.18</v>
      </c>
      <c r="E31" s="12">
        <v>8</v>
      </c>
      <c r="F31" s="8">
        <v>5.0599999999999996</v>
      </c>
      <c r="G31" s="12">
        <v>2</v>
      </c>
      <c r="H31" s="8">
        <v>2</v>
      </c>
      <c r="I31" s="12">
        <v>1</v>
      </c>
    </row>
    <row r="32" spans="2:9" ht="15" customHeight="1" x14ac:dyDescent="0.2">
      <c r="B32" t="s">
        <v>96</v>
      </c>
      <c r="C32" s="12">
        <v>9</v>
      </c>
      <c r="D32" s="8">
        <v>3.42</v>
      </c>
      <c r="E32" s="12">
        <v>9</v>
      </c>
      <c r="F32" s="8">
        <v>5.7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100</v>
      </c>
      <c r="C33" s="12">
        <v>9</v>
      </c>
      <c r="D33" s="8">
        <v>3.42</v>
      </c>
      <c r="E33" s="12">
        <v>9</v>
      </c>
      <c r="F33" s="8">
        <v>5.7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85</v>
      </c>
      <c r="C34" s="12">
        <v>8</v>
      </c>
      <c r="D34" s="8">
        <v>3.04</v>
      </c>
      <c r="E34" s="12">
        <v>4</v>
      </c>
      <c r="F34" s="8">
        <v>2.5299999999999998</v>
      </c>
      <c r="G34" s="12">
        <v>4</v>
      </c>
      <c r="H34" s="8">
        <v>4</v>
      </c>
      <c r="I34" s="12">
        <v>0</v>
      </c>
    </row>
    <row r="35" spans="2:9" ht="15" customHeight="1" x14ac:dyDescent="0.2">
      <c r="B35" t="s">
        <v>94</v>
      </c>
      <c r="C35" s="12">
        <v>6</v>
      </c>
      <c r="D35" s="8">
        <v>2.2799999999999998</v>
      </c>
      <c r="E35" s="12">
        <v>4</v>
      </c>
      <c r="F35" s="8">
        <v>2.5299999999999998</v>
      </c>
      <c r="G35" s="12">
        <v>1</v>
      </c>
      <c r="H35" s="8">
        <v>1</v>
      </c>
      <c r="I35" s="12">
        <v>0</v>
      </c>
    </row>
    <row r="36" spans="2:9" ht="15" customHeight="1" x14ac:dyDescent="0.2">
      <c r="B36" t="s">
        <v>102</v>
      </c>
      <c r="C36" s="12">
        <v>6</v>
      </c>
      <c r="D36" s="8">
        <v>2.2799999999999998</v>
      </c>
      <c r="E36" s="12">
        <v>3</v>
      </c>
      <c r="F36" s="8">
        <v>1.9</v>
      </c>
      <c r="G36" s="12">
        <v>3</v>
      </c>
      <c r="H36" s="8">
        <v>3</v>
      </c>
      <c r="I36" s="12">
        <v>0</v>
      </c>
    </row>
    <row r="37" spans="2:9" ht="15" customHeight="1" x14ac:dyDescent="0.2">
      <c r="B37" t="s">
        <v>86</v>
      </c>
      <c r="C37" s="12">
        <v>5</v>
      </c>
      <c r="D37" s="8">
        <v>1.9</v>
      </c>
      <c r="E37" s="12">
        <v>3</v>
      </c>
      <c r="F37" s="8">
        <v>1.9</v>
      </c>
      <c r="G37" s="12">
        <v>2</v>
      </c>
      <c r="H37" s="8">
        <v>2</v>
      </c>
      <c r="I37" s="12">
        <v>0</v>
      </c>
    </row>
    <row r="38" spans="2:9" ht="15" customHeight="1" x14ac:dyDescent="0.2">
      <c r="B38" t="s">
        <v>93</v>
      </c>
      <c r="C38" s="12">
        <v>5</v>
      </c>
      <c r="D38" s="8">
        <v>1.9</v>
      </c>
      <c r="E38" s="12">
        <v>3</v>
      </c>
      <c r="F38" s="8">
        <v>1.9</v>
      </c>
      <c r="G38" s="12">
        <v>2</v>
      </c>
      <c r="H38" s="8">
        <v>2</v>
      </c>
      <c r="I38" s="12">
        <v>0</v>
      </c>
    </row>
    <row r="39" spans="2:9" ht="15" customHeight="1" x14ac:dyDescent="0.2">
      <c r="B39" t="s">
        <v>115</v>
      </c>
      <c r="C39" s="12">
        <v>4</v>
      </c>
      <c r="D39" s="8">
        <v>1.52</v>
      </c>
      <c r="E39" s="12">
        <v>3</v>
      </c>
      <c r="F39" s="8">
        <v>1.9</v>
      </c>
      <c r="G39" s="12">
        <v>1</v>
      </c>
      <c r="H39" s="8">
        <v>1</v>
      </c>
      <c r="I39" s="12">
        <v>0</v>
      </c>
    </row>
    <row r="40" spans="2:9" ht="15" customHeight="1" x14ac:dyDescent="0.2">
      <c r="B40" t="s">
        <v>106</v>
      </c>
      <c r="C40" s="12">
        <v>4</v>
      </c>
      <c r="D40" s="8">
        <v>1.52</v>
      </c>
      <c r="E40" s="12">
        <v>2</v>
      </c>
      <c r="F40" s="8">
        <v>1.27</v>
      </c>
      <c r="G40" s="12">
        <v>2</v>
      </c>
      <c r="H40" s="8">
        <v>2</v>
      </c>
      <c r="I40" s="12">
        <v>0</v>
      </c>
    </row>
    <row r="41" spans="2:9" ht="15" customHeight="1" x14ac:dyDescent="0.2">
      <c r="B41" t="s">
        <v>87</v>
      </c>
      <c r="C41" s="12">
        <v>4</v>
      </c>
      <c r="D41" s="8">
        <v>1.52</v>
      </c>
      <c r="E41" s="12">
        <v>2</v>
      </c>
      <c r="F41" s="8">
        <v>1.27</v>
      </c>
      <c r="G41" s="12">
        <v>2</v>
      </c>
      <c r="H41" s="8">
        <v>2</v>
      </c>
      <c r="I41" s="12">
        <v>0</v>
      </c>
    </row>
    <row r="42" spans="2:9" ht="15" customHeight="1" x14ac:dyDescent="0.2">
      <c r="B42" t="s">
        <v>118</v>
      </c>
      <c r="C42" s="12">
        <v>3</v>
      </c>
      <c r="D42" s="8">
        <v>1.1399999999999999</v>
      </c>
      <c r="E42" s="12">
        <v>0</v>
      </c>
      <c r="F42" s="8">
        <v>0</v>
      </c>
      <c r="G42" s="12">
        <v>3</v>
      </c>
      <c r="H42" s="8">
        <v>3</v>
      </c>
      <c r="I42" s="12">
        <v>0</v>
      </c>
    </row>
    <row r="43" spans="2:9" ht="15" customHeight="1" x14ac:dyDescent="0.2">
      <c r="B43" t="s">
        <v>119</v>
      </c>
      <c r="C43" s="12">
        <v>3</v>
      </c>
      <c r="D43" s="8">
        <v>1.1399999999999999</v>
      </c>
      <c r="E43" s="12">
        <v>1</v>
      </c>
      <c r="F43" s="8">
        <v>0.63</v>
      </c>
      <c r="G43" s="12">
        <v>2</v>
      </c>
      <c r="H43" s="8">
        <v>2</v>
      </c>
      <c r="I43" s="12">
        <v>0</v>
      </c>
    </row>
    <row r="44" spans="2:9" ht="15" customHeight="1" x14ac:dyDescent="0.2">
      <c r="B44" t="s">
        <v>103</v>
      </c>
      <c r="C44" s="12">
        <v>3</v>
      </c>
      <c r="D44" s="8">
        <v>1.1399999999999999</v>
      </c>
      <c r="E44" s="12">
        <v>1</v>
      </c>
      <c r="F44" s="8">
        <v>0.63</v>
      </c>
      <c r="G44" s="12">
        <v>2</v>
      </c>
      <c r="H44" s="8">
        <v>2</v>
      </c>
      <c r="I44" s="12">
        <v>0</v>
      </c>
    </row>
    <row r="45" spans="2:9" ht="15" customHeight="1" x14ac:dyDescent="0.2">
      <c r="B45" t="s">
        <v>120</v>
      </c>
      <c r="C45" s="12">
        <v>3</v>
      </c>
      <c r="D45" s="8">
        <v>1.1399999999999999</v>
      </c>
      <c r="E45" s="12">
        <v>0</v>
      </c>
      <c r="F45" s="8">
        <v>0</v>
      </c>
      <c r="G45" s="12">
        <v>3</v>
      </c>
      <c r="H45" s="8">
        <v>3</v>
      </c>
      <c r="I45" s="12">
        <v>0</v>
      </c>
    </row>
    <row r="48" spans="2:9" ht="33" customHeight="1" x14ac:dyDescent="0.2">
      <c r="B48" t="s">
        <v>339</v>
      </c>
      <c r="C48" s="10" t="s">
        <v>76</v>
      </c>
      <c r="D48" s="10" t="s">
        <v>77</v>
      </c>
      <c r="E48" s="10" t="s">
        <v>78</v>
      </c>
      <c r="F48" s="10" t="s">
        <v>79</v>
      </c>
      <c r="G48" s="10" t="s">
        <v>80</v>
      </c>
      <c r="H48" s="10" t="s">
        <v>81</v>
      </c>
      <c r="I48" s="10" t="s">
        <v>82</v>
      </c>
    </row>
    <row r="49" spans="2:9" ht="15" customHeight="1" x14ac:dyDescent="0.2">
      <c r="B49" t="s">
        <v>168</v>
      </c>
      <c r="C49" s="12">
        <v>19</v>
      </c>
      <c r="D49" s="8">
        <v>7.22</v>
      </c>
      <c r="E49" s="12">
        <v>14</v>
      </c>
      <c r="F49" s="8">
        <v>8.86</v>
      </c>
      <c r="G49" s="12">
        <v>5</v>
      </c>
      <c r="H49" s="8">
        <v>5</v>
      </c>
      <c r="I49" s="12">
        <v>0</v>
      </c>
    </row>
    <row r="50" spans="2:9" ht="15" customHeight="1" x14ac:dyDescent="0.2">
      <c r="B50" t="s">
        <v>173</v>
      </c>
      <c r="C50" s="12">
        <v>12</v>
      </c>
      <c r="D50" s="8">
        <v>4.5599999999999996</v>
      </c>
      <c r="E50" s="12">
        <v>12</v>
      </c>
      <c r="F50" s="8">
        <v>7.59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164</v>
      </c>
      <c r="C51" s="12">
        <v>11</v>
      </c>
      <c r="D51" s="8">
        <v>4.18</v>
      </c>
      <c r="E51" s="12">
        <v>6</v>
      </c>
      <c r="F51" s="8">
        <v>3.8</v>
      </c>
      <c r="G51" s="12">
        <v>5</v>
      </c>
      <c r="H51" s="8">
        <v>5</v>
      </c>
      <c r="I51" s="12">
        <v>0</v>
      </c>
    </row>
    <row r="52" spans="2:9" ht="15" customHeight="1" x14ac:dyDescent="0.2">
      <c r="B52" t="s">
        <v>174</v>
      </c>
      <c r="C52" s="12">
        <v>11</v>
      </c>
      <c r="D52" s="8">
        <v>4.18</v>
      </c>
      <c r="E52" s="12">
        <v>11</v>
      </c>
      <c r="F52" s="8">
        <v>6.96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175</v>
      </c>
      <c r="C53" s="12">
        <v>10</v>
      </c>
      <c r="D53" s="8">
        <v>3.8</v>
      </c>
      <c r="E53" s="12">
        <v>8</v>
      </c>
      <c r="F53" s="8">
        <v>5.0599999999999996</v>
      </c>
      <c r="G53" s="12">
        <v>2</v>
      </c>
      <c r="H53" s="8">
        <v>2</v>
      </c>
      <c r="I53" s="12">
        <v>0</v>
      </c>
    </row>
    <row r="54" spans="2:9" ht="15" customHeight="1" x14ac:dyDescent="0.2">
      <c r="B54" t="s">
        <v>166</v>
      </c>
      <c r="C54" s="12">
        <v>7</v>
      </c>
      <c r="D54" s="8">
        <v>2.66</v>
      </c>
      <c r="E54" s="12">
        <v>3</v>
      </c>
      <c r="F54" s="8">
        <v>1.9</v>
      </c>
      <c r="G54" s="12">
        <v>4</v>
      </c>
      <c r="H54" s="8">
        <v>4</v>
      </c>
      <c r="I54" s="12">
        <v>0</v>
      </c>
    </row>
    <row r="55" spans="2:9" ht="15" customHeight="1" x14ac:dyDescent="0.2">
      <c r="B55" t="s">
        <v>176</v>
      </c>
      <c r="C55" s="12">
        <v>7</v>
      </c>
      <c r="D55" s="8">
        <v>2.66</v>
      </c>
      <c r="E55" s="12">
        <v>7</v>
      </c>
      <c r="F55" s="8">
        <v>4.43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159</v>
      </c>
      <c r="C56" s="12">
        <v>6</v>
      </c>
      <c r="D56" s="8">
        <v>2.2799999999999998</v>
      </c>
      <c r="E56" s="12">
        <v>1</v>
      </c>
      <c r="F56" s="8">
        <v>0.63</v>
      </c>
      <c r="G56" s="12">
        <v>5</v>
      </c>
      <c r="H56" s="8">
        <v>5</v>
      </c>
      <c r="I56" s="12">
        <v>0</v>
      </c>
    </row>
    <row r="57" spans="2:9" ht="15" customHeight="1" x14ac:dyDescent="0.2">
      <c r="B57" t="s">
        <v>177</v>
      </c>
      <c r="C57" s="12">
        <v>6</v>
      </c>
      <c r="D57" s="8">
        <v>2.2799999999999998</v>
      </c>
      <c r="E57" s="12">
        <v>3</v>
      </c>
      <c r="F57" s="8">
        <v>1.9</v>
      </c>
      <c r="G57" s="12">
        <v>3</v>
      </c>
      <c r="H57" s="8">
        <v>3</v>
      </c>
      <c r="I57" s="12">
        <v>0</v>
      </c>
    </row>
    <row r="58" spans="2:9" ht="15" customHeight="1" x14ac:dyDescent="0.2">
      <c r="B58" t="s">
        <v>187</v>
      </c>
      <c r="C58" s="12">
        <v>5</v>
      </c>
      <c r="D58" s="8">
        <v>1.9</v>
      </c>
      <c r="E58" s="12">
        <v>1</v>
      </c>
      <c r="F58" s="8">
        <v>0.63</v>
      </c>
      <c r="G58" s="12">
        <v>4</v>
      </c>
      <c r="H58" s="8">
        <v>4</v>
      </c>
      <c r="I58" s="12">
        <v>0</v>
      </c>
    </row>
    <row r="59" spans="2:9" ht="15" customHeight="1" x14ac:dyDescent="0.2">
      <c r="B59" t="s">
        <v>161</v>
      </c>
      <c r="C59" s="12">
        <v>5</v>
      </c>
      <c r="D59" s="8">
        <v>1.9</v>
      </c>
      <c r="E59" s="12">
        <v>2</v>
      </c>
      <c r="F59" s="8">
        <v>1.27</v>
      </c>
      <c r="G59" s="12">
        <v>3</v>
      </c>
      <c r="H59" s="8">
        <v>3</v>
      </c>
      <c r="I59" s="12">
        <v>0</v>
      </c>
    </row>
    <row r="60" spans="2:9" ht="15" customHeight="1" x14ac:dyDescent="0.2">
      <c r="B60" t="s">
        <v>188</v>
      </c>
      <c r="C60" s="12">
        <v>5</v>
      </c>
      <c r="D60" s="8">
        <v>1.9</v>
      </c>
      <c r="E60" s="12">
        <v>3</v>
      </c>
      <c r="F60" s="8">
        <v>1.9</v>
      </c>
      <c r="G60" s="12">
        <v>2</v>
      </c>
      <c r="H60" s="8">
        <v>2</v>
      </c>
      <c r="I60" s="12">
        <v>0</v>
      </c>
    </row>
    <row r="61" spans="2:9" ht="15" customHeight="1" x14ac:dyDescent="0.2">
      <c r="B61" t="s">
        <v>160</v>
      </c>
      <c r="C61" s="12">
        <v>4</v>
      </c>
      <c r="D61" s="8">
        <v>1.52</v>
      </c>
      <c r="E61" s="12">
        <v>2</v>
      </c>
      <c r="F61" s="8">
        <v>1.27</v>
      </c>
      <c r="G61" s="12">
        <v>2</v>
      </c>
      <c r="H61" s="8">
        <v>2</v>
      </c>
      <c r="I61" s="12">
        <v>0</v>
      </c>
    </row>
    <row r="62" spans="2:9" ht="15" customHeight="1" x14ac:dyDescent="0.2">
      <c r="B62" t="s">
        <v>198</v>
      </c>
      <c r="C62" s="12">
        <v>4</v>
      </c>
      <c r="D62" s="8">
        <v>1.52</v>
      </c>
      <c r="E62" s="12">
        <v>2</v>
      </c>
      <c r="F62" s="8">
        <v>1.27</v>
      </c>
      <c r="G62" s="12">
        <v>2</v>
      </c>
      <c r="H62" s="8">
        <v>2</v>
      </c>
      <c r="I62" s="12">
        <v>0</v>
      </c>
    </row>
    <row r="63" spans="2:9" ht="15" customHeight="1" x14ac:dyDescent="0.2">
      <c r="B63" t="s">
        <v>202</v>
      </c>
      <c r="C63" s="12">
        <v>4</v>
      </c>
      <c r="D63" s="8">
        <v>1.52</v>
      </c>
      <c r="E63" s="12">
        <v>3</v>
      </c>
      <c r="F63" s="8">
        <v>1.9</v>
      </c>
      <c r="G63" s="12">
        <v>1</v>
      </c>
      <c r="H63" s="8">
        <v>1</v>
      </c>
      <c r="I63" s="12">
        <v>0</v>
      </c>
    </row>
    <row r="64" spans="2:9" ht="15" customHeight="1" x14ac:dyDescent="0.2">
      <c r="B64" t="s">
        <v>182</v>
      </c>
      <c r="C64" s="12">
        <v>4</v>
      </c>
      <c r="D64" s="8">
        <v>1.52</v>
      </c>
      <c r="E64" s="12">
        <v>3</v>
      </c>
      <c r="F64" s="8">
        <v>1.9</v>
      </c>
      <c r="G64" s="12">
        <v>1</v>
      </c>
      <c r="H64" s="8">
        <v>1</v>
      </c>
      <c r="I64" s="12">
        <v>0</v>
      </c>
    </row>
    <row r="65" spans="2:9" ht="15" customHeight="1" x14ac:dyDescent="0.2">
      <c r="B65" t="s">
        <v>184</v>
      </c>
      <c r="C65" s="12">
        <v>4</v>
      </c>
      <c r="D65" s="8">
        <v>1.52</v>
      </c>
      <c r="E65" s="12">
        <v>3</v>
      </c>
      <c r="F65" s="8">
        <v>1.9</v>
      </c>
      <c r="G65" s="12">
        <v>1</v>
      </c>
      <c r="H65" s="8">
        <v>1</v>
      </c>
      <c r="I65" s="12">
        <v>0</v>
      </c>
    </row>
    <row r="66" spans="2:9" ht="15" customHeight="1" x14ac:dyDescent="0.2">
      <c r="B66" t="s">
        <v>158</v>
      </c>
      <c r="C66" s="12">
        <v>3</v>
      </c>
      <c r="D66" s="8">
        <v>1.1399999999999999</v>
      </c>
      <c r="E66" s="12">
        <v>2</v>
      </c>
      <c r="F66" s="8">
        <v>1.27</v>
      </c>
      <c r="G66" s="12">
        <v>1</v>
      </c>
      <c r="H66" s="8">
        <v>1</v>
      </c>
      <c r="I66" s="12">
        <v>0</v>
      </c>
    </row>
    <row r="67" spans="2:9" ht="15" customHeight="1" x14ac:dyDescent="0.2">
      <c r="B67" t="s">
        <v>194</v>
      </c>
      <c r="C67" s="12">
        <v>3</v>
      </c>
      <c r="D67" s="8">
        <v>1.1399999999999999</v>
      </c>
      <c r="E67" s="12">
        <v>1</v>
      </c>
      <c r="F67" s="8">
        <v>0.63</v>
      </c>
      <c r="G67" s="12">
        <v>2</v>
      </c>
      <c r="H67" s="8">
        <v>2</v>
      </c>
      <c r="I67" s="12">
        <v>0</v>
      </c>
    </row>
    <row r="68" spans="2:9" ht="15" customHeight="1" x14ac:dyDescent="0.2">
      <c r="B68" t="s">
        <v>201</v>
      </c>
      <c r="C68" s="12">
        <v>3</v>
      </c>
      <c r="D68" s="8">
        <v>1.1399999999999999</v>
      </c>
      <c r="E68" s="12">
        <v>3</v>
      </c>
      <c r="F68" s="8">
        <v>1.9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195</v>
      </c>
      <c r="C69" s="12">
        <v>3</v>
      </c>
      <c r="D69" s="8">
        <v>1.1399999999999999</v>
      </c>
      <c r="E69" s="12">
        <v>3</v>
      </c>
      <c r="F69" s="8">
        <v>1.9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203</v>
      </c>
      <c r="C70" s="12">
        <v>3</v>
      </c>
      <c r="D70" s="8">
        <v>1.1399999999999999</v>
      </c>
      <c r="E70" s="12">
        <v>0</v>
      </c>
      <c r="F70" s="8">
        <v>0</v>
      </c>
      <c r="G70" s="12">
        <v>3</v>
      </c>
      <c r="H70" s="8">
        <v>3</v>
      </c>
      <c r="I70" s="12">
        <v>0</v>
      </c>
    </row>
    <row r="71" spans="2:9" ht="15" customHeight="1" x14ac:dyDescent="0.2">
      <c r="B71" t="s">
        <v>191</v>
      </c>
      <c r="C71" s="12">
        <v>3</v>
      </c>
      <c r="D71" s="8">
        <v>1.1399999999999999</v>
      </c>
      <c r="E71" s="12">
        <v>3</v>
      </c>
      <c r="F71" s="8">
        <v>1.9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178</v>
      </c>
      <c r="C72" s="12">
        <v>3</v>
      </c>
      <c r="D72" s="8">
        <v>1.1399999999999999</v>
      </c>
      <c r="E72" s="12">
        <v>3</v>
      </c>
      <c r="F72" s="8">
        <v>1.9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193</v>
      </c>
      <c r="C73" s="12">
        <v>3</v>
      </c>
      <c r="D73" s="8">
        <v>1.1399999999999999</v>
      </c>
      <c r="E73" s="12">
        <v>0</v>
      </c>
      <c r="F73" s="8">
        <v>0</v>
      </c>
      <c r="G73" s="12">
        <v>3</v>
      </c>
      <c r="H73" s="8">
        <v>3</v>
      </c>
      <c r="I73" s="12">
        <v>0</v>
      </c>
    </row>
    <row r="74" spans="2:9" ht="15" customHeight="1" x14ac:dyDescent="0.2">
      <c r="B74" t="s">
        <v>165</v>
      </c>
      <c r="C74" s="12">
        <v>3</v>
      </c>
      <c r="D74" s="8">
        <v>1.1399999999999999</v>
      </c>
      <c r="E74" s="12">
        <v>0</v>
      </c>
      <c r="F74" s="8">
        <v>0</v>
      </c>
      <c r="G74" s="12">
        <v>3</v>
      </c>
      <c r="H74" s="8">
        <v>3</v>
      </c>
      <c r="I74" s="12">
        <v>0</v>
      </c>
    </row>
    <row r="75" spans="2:9" ht="15" customHeight="1" x14ac:dyDescent="0.2">
      <c r="B75" t="s">
        <v>185</v>
      </c>
      <c r="C75" s="12">
        <v>3</v>
      </c>
      <c r="D75" s="8">
        <v>1.1399999999999999</v>
      </c>
      <c r="E75" s="12">
        <v>3</v>
      </c>
      <c r="F75" s="8">
        <v>1.9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204</v>
      </c>
      <c r="C76" s="12">
        <v>3</v>
      </c>
      <c r="D76" s="8">
        <v>1.1399999999999999</v>
      </c>
      <c r="E76" s="12">
        <v>1</v>
      </c>
      <c r="F76" s="8">
        <v>0.63</v>
      </c>
      <c r="G76" s="12">
        <v>2</v>
      </c>
      <c r="H76" s="8">
        <v>2</v>
      </c>
      <c r="I76" s="12">
        <v>0</v>
      </c>
    </row>
    <row r="77" spans="2:9" ht="15" customHeight="1" x14ac:dyDescent="0.2">
      <c r="B77" t="s">
        <v>167</v>
      </c>
      <c r="C77" s="12">
        <v>3</v>
      </c>
      <c r="D77" s="8">
        <v>1.1399999999999999</v>
      </c>
      <c r="E77" s="12">
        <v>1</v>
      </c>
      <c r="F77" s="8">
        <v>0.63</v>
      </c>
      <c r="G77" s="12">
        <v>2</v>
      </c>
      <c r="H77" s="8">
        <v>2</v>
      </c>
      <c r="I77" s="12">
        <v>0</v>
      </c>
    </row>
    <row r="78" spans="2:9" ht="15" customHeight="1" x14ac:dyDescent="0.2">
      <c r="B78" t="s">
        <v>205</v>
      </c>
      <c r="C78" s="12">
        <v>3</v>
      </c>
      <c r="D78" s="8">
        <v>1.1399999999999999</v>
      </c>
      <c r="E78" s="12">
        <v>1</v>
      </c>
      <c r="F78" s="8">
        <v>0.63</v>
      </c>
      <c r="G78" s="12">
        <v>2</v>
      </c>
      <c r="H78" s="8">
        <v>2</v>
      </c>
      <c r="I78" s="12">
        <v>0</v>
      </c>
    </row>
    <row r="79" spans="2:9" ht="15" customHeight="1" x14ac:dyDescent="0.2">
      <c r="B79" t="s">
        <v>172</v>
      </c>
      <c r="C79" s="12">
        <v>3</v>
      </c>
      <c r="D79" s="8">
        <v>1.1399999999999999</v>
      </c>
      <c r="E79" s="12">
        <v>3</v>
      </c>
      <c r="F79" s="8">
        <v>1.9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206</v>
      </c>
      <c r="C80" s="12">
        <v>3</v>
      </c>
      <c r="D80" s="8">
        <v>1.1399999999999999</v>
      </c>
      <c r="E80" s="12">
        <v>0</v>
      </c>
      <c r="F80" s="8">
        <v>0</v>
      </c>
      <c r="G80" s="12">
        <v>3</v>
      </c>
      <c r="H80" s="8">
        <v>3</v>
      </c>
      <c r="I80" s="12">
        <v>0</v>
      </c>
    </row>
    <row r="82" spans="2:2" ht="15" customHeight="1" x14ac:dyDescent="0.2">
      <c r="B8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EE5F-ECCB-46D0-94F0-CD8C3A1B8E1A}">
  <sheetPr>
    <pageSetUpPr fitToPage="1"/>
  </sheetPr>
  <dimension ref="A1:H96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75</v>
      </c>
      <c r="B1" s="7" t="s">
        <v>76</v>
      </c>
      <c r="C1" s="7" t="s">
        <v>77</v>
      </c>
      <c r="D1" s="7" t="s">
        <v>78</v>
      </c>
      <c r="E1" s="7" t="s">
        <v>79</v>
      </c>
      <c r="F1" s="7" t="s">
        <v>80</v>
      </c>
      <c r="G1" s="7" t="s">
        <v>81</v>
      </c>
      <c r="H1" s="7" t="s">
        <v>82</v>
      </c>
    </row>
    <row r="2" spans="1:8" x14ac:dyDescent="0.2">
      <c r="A2" s="1" t="s">
        <v>0</v>
      </c>
      <c r="B2" s="4">
        <v>47628</v>
      </c>
      <c r="C2" s="5">
        <v>99.99</v>
      </c>
      <c r="D2" s="4">
        <v>24325</v>
      </c>
      <c r="E2" s="5">
        <v>100.01</v>
      </c>
      <c r="F2" s="4">
        <v>22785</v>
      </c>
      <c r="G2" s="5">
        <v>99.970000000000013</v>
      </c>
      <c r="H2" s="4">
        <v>124</v>
      </c>
    </row>
    <row r="3" spans="1:8" x14ac:dyDescent="0.2">
      <c r="A3" s="2" t="s">
        <v>60</v>
      </c>
      <c r="B3" s="4">
        <v>22</v>
      </c>
      <c r="C3" s="5">
        <v>0.05</v>
      </c>
      <c r="D3" s="4">
        <v>5</v>
      </c>
      <c r="E3" s="5">
        <v>0.02</v>
      </c>
      <c r="F3" s="4">
        <v>17</v>
      </c>
      <c r="G3" s="5">
        <v>7.0000000000000007E-2</v>
      </c>
      <c r="H3" s="4">
        <v>0</v>
      </c>
    </row>
    <row r="4" spans="1:8" x14ac:dyDescent="0.2">
      <c r="A4" s="2" t="s">
        <v>61</v>
      </c>
      <c r="B4" s="4">
        <v>7663</v>
      </c>
      <c r="C4" s="5">
        <v>16.09</v>
      </c>
      <c r="D4" s="4">
        <v>2532</v>
      </c>
      <c r="E4" s="5">
        <v>10.41</v>
      </c>
      <c r="F4" s="4">
        <v>5130</v>
      </c>
      <c r="G4" s="5">
        <v>22.51</v>
      </c>
      <c r="H4" s="4">
        <v>1</v>
      </c>
    </row>
    <row r="5" spans="1:8" x14ac:dyDescent="0.2">
      <c r="A5" s="2" t="s">
        <v>62</v>
      </c>
      <c r="B5" s="4">
        <v>3698</v>
      </c>
      <c r="C5" s="5">
        <v>7.76</v>
      </c>
      <c r="D5" s="4">
        <v>1342</v>
      </c>
      <c r="E5" s="5">
        <v>5.52</v>
      </c>
      <c r="F5" s="4">
        <v>2352</v>
      </c>
      <c r="G5" s="5">
        <v>10.32</v>
      </c>
      <c r="H5" s="4">
        <v>2</v>
      </c>
    </row>
    <row r="6" spans="1:8" x14ac:dyDescent="0.2">
      <c r="A6" s="2" t="s">
        <v>63</v>
      </c>
      <c r="B6" s="4">
        <v>121</v>
      </c>
      <c r="C6" s="5">
        <v>0.25</v>
      </c>
      <c r="D6" s="4">
        <v>2</v>
      </c>
      <c r="E6" s="5">
        <v>0.01</v>
      </c>
      <c r="F6" s="4">
        <v>96</v>
      </c>
      <c r="G6" s="5">
        <v>0.42</v>
      </c>
      <c r="H6" s="4">
        <v>0</v>
      </c>
    </row>
    <row r="7" spans="1:8" x14ac:dyDescent="0.2">
      <c r="A7" s="2" t="s">
        <v>64</v>
      </c>
      <c r="B7" s="4">
        <v>326</v>
      </c>
      <c r="C7" s="5">
        <v>0.68</v>
      </c>
      <c r="D7" s="4">
        <v>28</v>
      </c>
      <c r="E7" s="5">
        <v>0.12</v>
      </c>
      <c r="F7" s="4">
        <v>295</v>
      </c>
      <c r="G7" s="5">
        <v>1.29</v>
      </c>
      <c r="H7" s="4">
        <v>2</v>
      </c>
    </row>
    <row r="8" spans="1:8" x14ac:dyDescent="0.2">
      <c r="A8" s="2" t="s">
        <v>65</v>
      </c>
      <c r="B8" s="4">
        <v>456</v>
      </c>
      <c r="C8" s="5">
        <v>0.96</v>
      </c>
      <c r="D8" s="4">
        <v>104</v>
      </c>
      <c r="E8" s="5">
        <v>0.43</v>
      </c>
      <c r="F8" s="4">
        <v>341</v>
      </c>
      <c r="G8" s="5">
        <v>1.5</v>
      </c>
      <c r="H8" s="4">
        <v>10</v>
      </c>
    </row>
    <row r="9" spans="1:8" x14ac:dyDescent="0.2">
      <c r="A9" s="2" t="s">
        <v>66</v>
      </c>
      <c r="B9" s="4">
        <v>11275</v>
      </c>
      <c r="C9" s="5">
        <v>23.67</v>
      </c>
      <c r="D9" s="4">
        <v>5246</v>
      </c>
      <c r="E9" s="5">
        <v>21.57</v>
      </c>
      <c r="F9" s="4">
        <v>5989</v>
      </c>
      <c r="G9" s="5">
        <v>26.28</v>
      </c>
      <c r="H9" s="4">
        <v>38</v>
      </c>
    </row>
    <row r="10" spans="1:8" x14ac:dyDescent="0.2">
      <c r="A10" s="2" t="s">
        <v>67</v>
      </c>
      <c r="B10" s="4">
        <v>394</v>
      </c>
      <c r="C10" s="5">
        <v>0.83</v>
      </c>
      <c r="D10" s="4">
        <v>62</v>
      </c>
      <c r="E10" s="5">
        <v>0.25</v>
      </c>
      <c r="F10" s="4">
        <v>332</v>
      </c>
      <c r="G10" s="5">
        <v>1.46</v>
      </c>
      <c r="H10" s="4">
        <v>0</v>
      </c>
    </row>
    <row r="11" spans="1:8" x14ac:dyDescent="0.2">
      <c r="A11" s="2" t="s">
        <v>68</v>
      </c>
      <c r="B11" s="4">
        <v>4083</v>
      </c>
      <c r="C11" s="5">
        <v>8.57</v>
      </c>
      <c r="D11" s="4">
        <v>1876</v>
      </c>
      <c r="E11" s="5">
        <v>7.71</v>
      </c>
      <c r="F11" s="4">
        <v>2196</v>
      </c>
      <c r="G11" s="5">
        <v>9.64</v>
      </c>
      <c r="H11" s="4">
        <v>5</v>
      </c>
    </row>
    <row r="12" spans="1:8" x14ac:dyDescent="0.2">
      <c r="A12" s="2" t="s">
        <v>69</v>
      </c>
      <c r="B12" s="4">
        <v>2192</v>
      </c>
      <c r="C12" s="5">
        <v>4.5999999999999996</v>
      </c>
      <c r="D12" s="4">
        <v>984</v>
      </c>
      <c r="E12" s="5">
        <v>4.05</v>
      </c>
      <c r="F12" s="4">
        <v>1194</v>
      </c>
      <c r="G12" s="5">
        <v>5.24</v>
      </c>
      <c r="H12" s="4">
        <v>4</v>
      </c>
    </row>
    <row r="13" spans="1:8" x14ac:dyDescent="0.2">
      <c r="A13" s="2" t="s">
        <v>70</v>
      </c>
      <c r="B13" s="4">
        <v>5562</v>
      </c>
      <c r="C13" s="5">
        <v>11.68</v>
      </c>
      <c r="D13" s="4">
        <v>4209</v>
      </c>
      <c r="E13" s="5">
        <v>17.3</v>
      </c>
      <c r="F13" s="4">
        <v>1320</v>
      </c>
      <c r="G13" s="5">
        <v>5.79</v>
      </c>
      <c r="H13" s="4">
        <v>4</v>
      </c>
    </row>
    <row r="14" spans="1:8" x14ac:dyDescent="0.2">
      <c r="A14" s="2" t="s">
        <v>71</v>
      </c>
      <c r="B14" s="4">
        <v>6276</v>
      </c>
      <c r="C14" s="5">
        <v>13.18</v>
      </c>
      <c r="D14" s="4">
        <v>5003</v>
      </c>
      <c r="E14" s="5">
        <v>20.57</v>
      </c>
      <c r="F14" s="4">
        <v>1238</v>
      </c>
      <c r="G14" s="5">
        <v>5.43</v>
      </c>
      <c r="H14" s="4">
        <v>9</v>
      </c>
    </row>
    <row r="15" spans="1:8" x14ac:dyDescent="0.2">
      <c r="A15" s="2" t="s">
        <v>72</v>
      </c>
      <c r="B15" s="4">
        <v>1525</v>
      </c>
      <c r="C15" s="5">
        <v>3.2</v>
      </c>
      <c r="D15" s="4">
        <v>971</v>
      </c>
      <c r="E15" s="5">
        <v>3.99</v>
      </c>
      <c r="F15" s="4">
        <v>381</v>
      </c>
      <c r="G15" s="5">
        <v>1.67</v>
      </c>
      <c r="H15" s="4">
        <v>9</v>
      </c>
    </row>
    <row r="16" spans="1:8" x14ac:dyDescent="0.2">
      <c r="A16" s="2" t="s">
        <v>73</v>
      </c>
      <c r="B16" s="4">
        <v>2183</v>
      </c>
      <c r="C16" s="5">
        <v>4.58</v>
      </c>
      <c r="D16" s="4">
        <v>1270</v>
      </c>
      <c r="E16" s="5">
        <v>5.22</v>
      </c>
      <c r="F16" s="4">
        <v>821</v>
      </c>
      <c r="G16" s="5">
        <v>3.6</v>
      </c>
      <c r="H16" s="4">
        <v>5</v>
      </c>
    </row>
    <row r="17" spans="1:8" x14ac:dyDescent="0.2">
      <c r="A17" s="2" t="s">
        <v>74</v>
      </c>
      <c r="B17" s="4">
        <v>1852</v>
      </c>
      <c r="C17" s="5">
        <v>3.89</v>
      </c>
      <c r="D17" s="4">
        <v>691</v>
      </c>
      <c r="E17" s="5">
        <v>2.84</v>
      </c>
      <c r="F17" s="4">
        <v>1083</v>
      </c>
      <c r="G17" s="5">
        <v>4.75</v>
      </c>
      <c r="H17" s="4">
        <v>35</v>
      </c>
    </row>
    <row r="18" spans="1:8" x14ac:dyDescent="0.2">
      <c r="A18" s="1" t="s">
        <v>1</v>
      </c>
      <c r="B18" s="4">
        <v>6581</v>
      </c>
      <c r="C18" s="5">
        <v>100.00000000000001</v>
      </c>
      <c r="D18" s="4">
        <v>3083</v>
      </c>
      <c r="E18" s="5">
        <v>100</v>
      </c>
      <c r="F18" s="4">
        <v>3470</v>
      </c>
      <c r="G18" s="5">
        <v>100.01</v>
      </c>
      <c r="H18" s="4">
        <v>13</v>
      </c>
    </row>
    <row r="19" spans="1:8" x14ac:dyDescent="0.2">
      <c r="A19" s="2" t="s">
        <v>60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2">
      <c r="A20" s="2" t="s">
        <v>61</v>
      </c>
      <c r="B20" s="4">
        <v>834</v>
      </c>
      <c r="C20" s="5">
        <v>12.67</v>
      </c>
      <c r="D20" s="4">
        <v>182</v>
      </c>
      <c r="E20" s="5">
        <v>5.9</v>
      </c>
      <c r="F20" s="4">
        <v>652</v>
      </c>
      <c r="G20" s="5">
        <v>18.79</v>
      </c>
      <c r="H20" s="4">
        <v>0</v>
      </c>
    </row>
    <row r="21" spans="1:8" x14ac:dyDescent="0.2">
      <c r="A21" s="2" t="s">
        <v>62</v>
      </c>
      <c r="B21" s="4">
        <v>374</v>
      </c>
      <c r="C21" s="5">
        <v>5.68</v>
      </c>
      <c r="D21" s="4">
        <v>94</v>
      </c>
      <c r="E21" s="5">
        <v>3.05</v>
      </c>
      <c r="F21" s="4">
        <v>280</v>
      </c>
      <c r="G21" s="5">
        <v>8.07</v>
      </c>
      <c r="H21" s="4">
        <v>0</v>
      </c>
    </row>
    <row r="22" spans="1:8" x14ac:dyDescent="0.2">
      <c r="A22" s="2" t="s">
        <v>63</v>
      </c>
      <c r="B22" s="4">
        <v>13</v>
      </c>
      <c r="C22" s="5">
        <v>0.2</v>
      </c>
      <c r="D22" s="4">
        <v>0</v>
      </c>
      <c r="E22" s="5">
        <v>0</v>
      </c>
      <c r="F22" s="4">
        <v>12</v>
      </c>
      <c r="G22" s="5">
        <v>0.35</v>
      </c>
      <c r="H22" s="4">
        <v>0</v>
      </c>
    </row>
    <row r="23" spans="1:8" x14ac:dyDescent="0.2">
      <c r="A23" s="2" t="s">
        <v>64</v>
      </c>
      <c r="B23" s="4">
        <v>63</v>
      </c>
      <c r="C23" s="5">
        <v>0.96</v>
      </c>
      <c r="D23" s="4">
        <v>3</v>
      </c>
      <c r="E23" s="5">
        <v>0.1</v>
      </c>
      <c r="F23" s="4">
        <v>59</v>
      </c>
      <c r="G23" s="5">
        <v>1.7</v>
      </c>
      <c r="H23" s="4">
        <v>1</v>
      </c>
    </row>
    <row r="24" spans="1:8" x14ac:dyDescent="0.2">
      <c r="A24" s="2" t="s">
        <v>65</v>
      </c>
      <c r="B24" s="4">
        <v>55</v>
      </c>
      <c r="C24" s="5">
        <v>0.84</v>
      </c>
      <c r="D24" s="4">
        <v>23</v>
      </c>
      <c r="E24" s="5">
        <v>0.75</v>
      </c>
      <c r="F24" s="4">
        <v>31</v>
      </c>
      <c r="G24" s="5">
        <v>0.89</v>
      </c>
      <c r="H24" s="4">
        <v>1</v>
      </c>
    </row>
    <row r="25" spans="1:8" x14ac:dyDescent="0.2">
      <c r="A25" s="2" t="s">
        <v>66</v>
      </c>
      <c r="B25" s="4">
        <v>1558</v>
      </c>
      <c r="C25" s="5">
        <v>23.67</v>
      </c>
      <c r="D25" s="4">
        <v>604</v>
      </c>
      <c r="E25" s="5">
        <v>19.59</v>
      </c>
      <c r="F25" s="4">
        <v>950</v>
      </c>
      <c r="G25" s="5">
        <v>27.38</v>
      </c>
      <c r="H25" s="4">
        <v>4</v>
      </c>
    </row>
    <row r="26" spans="1:8" x14ac:dyDescent="0.2">
      <c r="A26" s="2" t="s">
        <v>67</v>
      </c>
      <c r="B26" s="4">
        <v>53</v>
      </c>
      <c r="C26" s="5">
        <v>0.81</v>
      </c>
      <c r="D26" s="4">
        <v>5</v>
      </c>
      <c r="E26" s="5">
        <v>0.16</v>
      </c>
      <c r="F26" s="4">
        <v>48</v>
      </c>
      <c r="G26" s="5">
        <v>1.38</v>
      </c>
      <c r="H26" s="4">
        <v>0</v>
      </c>
    </row>
    <row r="27" spans="1:8" x14ac:dyDescent="0.2">
      <c r="A27" s="2" t="s">
        <v>68</v>
      </c>
      <c r="B27" s="4">
        <v>874</v>
      </c>
      <c r="C27" s="5">
        <v>13.28</v>
      </c>
      <c r="D27" s="4">
        <v>508</v>
      </c>
      <c r="E27" s="5">
        <v>16.48</v>
      </c>
      <c r="F27" s="4">
        <v>364</v>
      </c>
      <c r="G27" s="5">
        <v>10.49</v>
      </c>
      <c r="H27" s="4">
        <v>1</v>
      </c>
    </row>
    <row r="28" spans="1:8" x14ac:dyDescent="0.2">
      <c r="A28" s="2" t="s">
        <v>69</v>
      </c>
      <c r="B28" s="4">
        <v>406</v>
      </c>
      <c r="C28" s="5">
        <v>6.17</v>
      </c>
      <c r="D28" s="4">
        <v>167</v>
      </c>
      <c r="E28" s="5">
        <v>5.42</v>
      </c>
      <c r="F28" s="4">
        <v>237</v>
      </c>
      <c r="G28" s="5">
        <v>6.83</v>
      </c>
      <c r="H28" s="4">
        <v>1</v>
      </c>
    </row>
    <row r="29" spans="1:8" x14ac:dyDescent="0.2">
      <c r="A29" s="2" t="s">
        <v>70</v>
      </c>
      <c r="B29" s="4">
        <v>738</v>
      </c>
      <c r="C29" s="5">
        <v>11.21</v>
      </c>
      <c r="D29" s="4">
        <v>513</v>
      </c>
      <c r="E29" s="5">
        <v>16.64</v>
      </c>
      <c r="F29" s="4">
        <v>222</v>
      </c>
      <c r="G29" s="5">
        <v>6.4</v>
      </c>
      <c r="H29" s="4">
        <v>0</v>
      </c>
    </row>
    <row r="30" spans="1:8" x14ac:dyDescent="0.2">
      <c r="A30" s="2" t="s">
        <v>71</v>
      </c>
      <c r="B30" s="4">
        <v>847</v>
      </c>
      <c r="C30" s="5">
        <v>12.87</v>
      </c>
      <c r="D30" s="4">
        <v>601</v>
      </c>
      <c r="E30" s="5">
        <v>19.489999999999998</v>
      </c>
      <c r="F30" s="4">
        <v>241</v>
      </c>
      <c r="G30" s="5">
        <v>6.95</v>
      </c>
      <c r="H30" s="4">
        <v>0</v>
      </c>
    </row>
    <row r="31" spans="1:8" x14ac:dyDescent="0.2">
      <c r="A31" s="2" t="s">
        <v>72</v>
      </c>
      <c r="B31" s="4">
        <v>194</v>
      </c>
      <c r="C31" s="5">
        <v>2.95</v>
      </c>
      <c r="D31" s="4">
        <v>121</v>
      </c>
      <c r="E31" s="5">
        <v>3.92</v>
      </c>
      <c r="F31" s="4">
        <v>70</v>
      </c>
      <c r="G31" s="5">
        <v>2.02</v>
      </c>
      <c r="H31" s="4">
        <v>0</v>
      </c>
    </row>
    <row r="32" spans="1:8" x14ac:dyDescent="0.2">
      <c r="A32" s="2" t="s">
        <v>73</v>
      </c>
      <c r="B32" s="4">
        <v>308</v>
      </c>
      <c r="C32" s="5">
        <v>4.68</v>
      </c>
      <c r="D32" s="4">
        <v>192</v>
      </c>
      <c r="E32" s="5">
        <v>6.23</v>
      </c>
      <c r="F32" s="4">
        <v>113</v>
      </c>
      <c r="G32" s="5">
        <v>3.26</v>
      </c>
      <c r="H32" s="4">
        <v>3</v>
      </c>
    </row>
    <row r="33" spans="1:8" x14ac:dyDescent="0.2">
      <c r="A33" s="2" t="s">
        <v>74</v>
      </c>
      <c r="B33" s="4">
        <v>264</v>
      </c>
      <c r="C33" s="5">
        <v>4.01</v>
      </c>
      <c r="D33" s="4">
        <v>70</v>
      </c>
      <c r="E33" s="5">
        <v>2.27</v>
      </c>
      <c r="F33" s="4">
        <v>191</v>
      </c>
      <c r="G33" s="5">
        <v>5.5</v>
      </c>
      <c r="H33" s="4">
        <v>2</v>
      </c>
    </row>
    <row r="34" spans="1:8" x14ac:dyDescent="0.2">
      <c r="A34" s="1" t="s">
        <v>2</v>
      </c>
      <c r="B34" s="4">
        <v>3606</v>
      </c>
      <c r="C34" s="5">
        <v>100.00999999999999</v>
      </c>
      <c r="D34" s="4">
        <v>1875</v>
      </c>
      <c r="E34" s="5">
        <v>100</v>
      </c>
      <c r="F34" s="4">
        <v>1701</v>
      </c>
      <c r="G34" s="5">
        <v>100.01</v>
      </c>
      <c r="H34" s="4">
        <v>14</v>
      </c>
    </row>
    <row r="35" spans="1:8" x14ac:dyDescent="0.2">
      <c r="A35" s="2" t="s">
        <v>60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61</v>
      </c>
      <c r="B36" s="4">
        <v>481</v>
      </c>
      <c r="C36" s="5">
        <v>13.34</v>
      </c>
      <c r="D36" s="4">
        <v>149</v>
      </c>
      <c r="E36" s="5">
        <v>7.95</v>
      </c>
      <c r="F36" s="4">
        <v>332</v>
      </c>
      <c r="G36" s="5">
        <v>19.52</v>
      </c>
      <c r="H36" s="4">
        <v>0</v>
      </c>
    </row>
    <row r="37" spans="1:8" x14ac:dyDescent="0.2">
      <c r="A37" s="2" t="s">
        <v>62</v>
      </c>
      <c r="B37" s="4">
        <v>306</v>
      </c>
      <c r="C37" s="5">
        <v>8.49</v>
      </c>
      <c r="D37" s="4">
        <v>147</v>
      </c>
      <c r="E37" s="5">
        <v>7.84</v>
      </c>
      <c r="F37" s="4">
        <v>159</v>
      </c>
      <c r="G37" s="5">
        <v>9.35</v>
      </c>
      <c r="H37" s="4">
        <v>0</v>
      </c>
    </row>
    <row r="38" spans="1:8" x14ac:dyDescent="0.2">
      <c r="A38" s="2" t="s">
        <v>63</v>
      </c>
      <c r="B38" s="4">
        <v>3</v>
      </c>
      <c r="C38" s="5">
        <v>0.08</v>
      </c>
      <c r="D38" s="4">
        <v>0</v>
      </c>
      <c r="E38" s="5">
        <v>0</v>
      </c>
      <c r="F38" s="4">
        <v>1</v>
      </c>
      <c r="G38" s="5">
        <v>0.06</v>
      </c>
      <c r="H38" s="4">
        <v>0</v>
      </c>
    </row>
    <row r="39" spans="1:8" x14ac:dyDescent="0.2">
      <c r="A39" s="2" t="s">
        <v>64</v>
      </c>
      <c r="B39" s="4">
        <v>38</v>
      </c>
      <c r="C39" s="5">
        <v>1.05</v>
      </c>
      <c r="D39" s="4">
        <v>1</v>
      </c>
      <c r="E39" s="5">
        <v>0.05</v>
      </c>
      <c r="F39" s="4">
        <v>36</v>
      </c>
      <c r="G39" s="5">
        <v>2.12</v>
      </c>
      <c r="H39" s="4">
        <v>1</v>
      </c>
    </row>
    <row r="40" spans="1:8" x14ac:dyDescent="0.2">
      <c r="A40" s="2" t="s">
        <v>65</v>
      </c>
      <c r="B40" s="4">
        <v>23</v>
      </c>
      <c r="C40" s="5">
        <v>0.64</v>
      </c>
      <c r="D40" s="4">
        <v>2</v>
      </c>
      <c r="E40" s="5">
        <v>0.11</v>
      </c>
      <c r="F40" s="4">
        <v>20</v>
      </c>
      <c r="G40" s="5">
        <v>1.18</v>
      </c>
      <c r="H40" s="4">
        <v>1</v>
      </c>
    </row>
    <row r="41" spans="1:8" x14ac:dyDescent="0.2">
      <c r="A41" s="2" t="s">
        <v>66</v>
      </c>
      <c r="B41" s="4">
        <v>853</v>
      </c>
      <c r="C41" s="5">
        <v>23.66</v>
      </c>
      <c r="D41" s="4">
        <v>368</v>
      </c>
      <c r="E41" s="5">
        <v>19.63</v>
      </c>
      <c r="F41" s="4">
        <v>483</v>
      </c>
      <c r="G41" s="5">
        <v>28.4</v>
      </c>
      <c r="H41" s="4">
        <v>2</v>
      </c>
    </row>
    <row r="42" spans="1:8" x14ac:dyDescent="0.2">
      <c r="A42" s="2" t="s">
        <v>67</v>
      </c>
      <c r="B42" s="4">
        <v>33</v>
      </c>
      <c r="C42" s="5">
        <v>0.92</v>
      </c>
      <c r="D42" s="4">
        <v>3</v>
      </c>
      <c r="E42" s="5">
        <v>0.16</v>
      </c>
      <c r="F42" s="4">
        <v>30</v>
      </c>
      <c r="G42" s="5">
        <v>1.76</v>
      </c>
      <c r="H42" s="4">
        <v>0</v>
      </c>
    </row>
    <row r="43" spans="1:8" x14ac:dyDescent="0.2">
      <c r="A43" s="2" t="s">
        <v>68</v>
      </c>
      <c r="B43" s="4">
        <v>330</v>
      </c>
      <c r="C43" s="5">
        <v>9.15</v>
      </c>
      <c r="D43" s="4">
        <v>136</v>
      </c>
      <c r="E43" s="5">
        <v>7.25</v>
      </c>
      <c r="F43" s="4">
        <v>192</v>
      </c>
      <c r="G43" s="5">
        <v>11.29</v>
      </c>
      <c r="H43" s="4">
        <v>2</v>
      </c>
    </row>
    <row r="44" spans="1:8" x14ac:dyDescent="0.2">
      <c r="A44" s="2" t="s">
        <v>69</v>
      </c>
      <c r="B44" s="4">
        <v>177</v>
      </c>
      <c r="C44" s="5">
        <v>4.91</v>
      </c>
      <c r="D44" s="4">
        <v>88</v>
      </c>
      <c r="E44" s="5">
        <v>4.6900000000000004</v>
      </c>
      <c r="F44" s="4">
        <v>88</v>
      </c>
      <c r="G44" s="5">
        <v>5.17</v>
      </c>
      <c r="H44" s="4">
        <v>0</v>
      </c>
    </row>
    <row r="45" spans="1:8" x14ac:dyDescent="0.2">
      <c r="A45" s="2" t="s">
        <v>70</v>
      </c>
      <c r="B45" s="4">
        <v>507</v>
      </c>
      <c r="C45" s="5">
        <v>14.06</v>
      </c>
      <c r="D45" s="4">
        <v>384</v>
      </c>
      <c r="E45" s="5">
        <v>20.48</v>
      </c>
      <c r="F45" s="4">
        <v>120</v>
      </c>
      <c r="G45" s="5">
        <v>7.05</v>
      </c>
      <c r="H45" s="4">
        <v>0</v>
      </c>
    </row>
    <row r="46" spans="1:8" x14ac:dyDescent="0.2">
      <c r="A46" s="2" t="s">
        <v>71</v>
      </c>
      <c r="B46" s="4">
        <v>489</v>
      </c>
      <c r="C46" s="5">
        <v>13.56</v>
      </c>
      <c r="D46" s="4">
        <v>403</v>
      </c>
      <c r="E46" s="5">
        <v>21.49</v>
      </c>
      <c r="F46" s="4">
        <v>85</v>
      </c>
      <c r="G46" s="5">
        <v>5</v>
      </c>
      <c r="H46" s="4">
        <v>0</v>
      </c>
    </row>
    <row r="47" spans="1:8" x14ac:dyDescent="0.2">
      <c r="A47" s="2" t="s">
        <v>72</v>
      </c>
      <c r="B47" s="4">
        <v>110</v>
      </c>
      <c r="C47" s="5">
        <v>3.05</v>
      </c>
      <c r="D47" s="4">
        <v>74</v>
      </c>
      <c r="E47" s="5">
        <v>3.95</v>
      </c>
      <c r="F47" s="4">
        <v>30</v>
      </c>
      <c r="G47" s="5">
        <v>1.76</v>
      </c>
      <c r="H47" s="4">
        <v>0</v>
      </c>
    </row>
    <row r="48" spans="1:8" x14ac:dyDescent="0.2">
      <c r="A48" s="2" t="s">
        <v>73</v>
      </c>
      <c r="B48" s="4">
        <v>140</v>
      </c>
      <c r="C48" s="5">
        <v>3.88</v>
      </c>
      <c r="D48" s="4">
        <v>82</v>
      </c>
      <c r="E48" s="5">
        <v>4.37</v>
      </c>
      <c r="F48" s="4">
        <v>55</v>
      </c>
      <c r="G48" s="5">
        <v>3.23</v>
      </c>
      <c r="H48" s="4">
        <v>1</v>
      </c>
    </row>
    <row r="49" spans="1:8" x14ac:dyDescent="0.2">
      <c r="A49" s="2" t="s">
        <v>74</v>
      </c>
      <c r="B49" s="4">
        <v>116</v>
      </c>
      <c r="C49" s="5">
        <v>3.22</v>
      </c>
      <c r="D49" s="4">
        <v>38</v>
      </c>
      <c r="E49" s="5">
        <v>2.0299999999999998</v>
      </c>
      <c r="F49" s="4">
        <v>70</v>
      </c>
      <c r="G49" s="5">
        <v>4.12</v>
      </c>
      <c r="H49" s="4">
        <v>7</v>
      </c>
    </row>
    <row r="50" spans="1:8" x14ac:dyDescent="0.2">
      <c r="A50" s="1" t="s">
        <v>3</v>
      </c>
      <c r="B50" s="4">
        <v>8281</v>
      </c>
      <c r="C50" s="5">
        <v>100.00999999999999</v>
      </c>
      <c r="D50" s="4">
        <v>3332</v>
      </c>
      <c r="E50" s="5">
        <v>99.99</v>
      </c>
      <c r="F50" s="4">
        <v>4893</v>
      </c>
      <c r="G50" s="5">
        <v>99.990000000000009</v>
      </c>
      <c r="H50" s="4">
        <v>15</v>
      </c>
    </row>
    <row r="51" spans="1:8" x14ac:dyDescent="0.2">
      <c r="A51" s="2" t="s">
        <v>60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61</v>
      </c>
      <c r="B52" s="4">
        <v>1328</v>
      </c>
      <c r="C52" s="5">
        <v>16.04</v>
      </c>
      <c r="D52" s="4">
        <v>225</v>
      </c>
      <c r="E52" s="5">
        <v>6.75</v>
      </c>
      <c r="F52" s="4">
        <v>1103</v>
      </c>
      <c r="G52" s="5">
        <v>22.54</v>
      </c>
      <c r="H52" s="4">
        <v>0</v>
      </c>
    </row>
    <row r="53" spans="1:8" x14ac:dyDescent="0.2">
      <c r="A53" s="2" t="s">
        <v>62</v>
      </c>
      <c r="B53" s="4">
        <v>454</v>
      </c>
      <c r="C53" s="5">
        <v>5.48</v>
      </c>
      <c r="D53" s="4">
        <v>128</v>
      </c>
      <c r="E53" s="5">
        <v>3.84</v>
      </c>
      <c r="F53" s="4">
        <v>326</v>
      </c>
      <c r="G53" s="5">
        <v>6.66</v>
      </c>
      <c r="H53" s="4">
        <v>0</v>
      </c>
    </row>
    <row r="54" spans="1:8" x14ac:dyDescent="0.2">
      <c r="A54" s="2" t="s">
        <v>63</v>
      </c>
      <c r="B54" s="4">
        <v>16</v>
      </c>
      <c r="C54" s="5">
        <v>0.19</v>
      </c>
      <c r="D54" s="4">
        <v>0</v>
      </c>
      <c r="E54" s="5">
        <v>0</v>
      </c>
      <c r="F54" s="4">
        <v>16</v>
      </c>
      <c r="G54" s="5">
        <v>0.33</v>
      </c>
      <c r="H54" s="4">
        <v>0</v>
      </c>
    </row>
    <row r="55" spans="1:8" x14ac:dyDescent="0.2">
      <c r="A55" s="2" t="s">
        <v>64</v>
      </c>
      <c r="B55" s="4">
        <v>67</v>
      </c>
      <c r="C55" s="5">
        <v>0.81</v>
      </c>
      <c r="D55" s="4">
        <v>4</v>
      </c>
      <c r="E55" s="5">
        <v>0.12</v>
      </c>
      <c r="F55" s="4">
        <v>63</v>
      </c>
      <c r="G55" s="5">
        <v>1.29</v>
      </c>
      <c r="H55" s="4">
        <v>0</v>
      </c>
    </row>
    <row r="56" spans="1:8" x14ac:dyDescent="0.2">
      <c r="A56" s="2" t="s">
        <v>65</v>
      </c>
      <c r="B56" s="4">
        <v>82</v>
      </c>
      <c r="C56" s="5">
        <v>0.99</v>
      </c>
      <c r="D56" s="4">
        <v>12</v>
      </c>
      <c r="E56" s="5">
        <v>0.36</v>
      </c>
      <c r="F56" s="4">
        <v>70</v>
      </c>
      <c r="G56" s="5">
        <v>1.43</v>
      </c>
      <c r="H56" s="4">
        <v>0</v>
      </c>
    </row>
    <row r="57" spans="1:8" x14ac:dyDescent="0.2">
      <c r="A57" s="2" t="s">
        <v>66</v>
      </c>
      <c r="B57" s="4">
        <v>1812</v>
      </c>
      <c r="C57" s="5">
        <v>21.88</v>
      </c>
      <c r="D57" s="4">
        <v>566</v>
      </c>
      <c r="E57" s="5">
        <v>16.989999999999998</v>
      </c>
      <c r="F57" s="4">
        <v>1240</v>
      </c>
      <c r="G57" s="5">
        <v>25.34</v>
      </c>
      <c r="H57" s="4">
        <v>6</v>
      </c>
    </row>
    <row r="58" spans="1:8" x14ac:dyDescent="0.2">
      <c r="A58" s="2" t="s">
        <v>67</v>
      </c>
      <c r="B58" s="4">
        <v>90</v>
      </c>
      <c r="C58" s="5">
        <v>1.0900000000000001</v>
      </c>
      <c r="D58" s="4">
        <v>9</v>
      </c>
      <c r="E58" s="5">
        <v>0.27</v>
      </c>
      <c r="F58" s="4">
        <v>81</v>
      </c>
      <c r="G58" s="5">
        <v>1.66</v>
      </c>
      <c r="H58" s="4">
        <v>0</v>
      </c>
    </row>
    <row r="59" spans="1:8" x14ac:dyDescent="0.2">
      <c r="A59" s="2" t="s">
        <v>68</v>
      </c>
      <c r="B59" s="4">
        <v>1073</v>
      </c>
      <c r="C59" s="5">
        <v>12.96</v>
      </c>
      <c r="D59" s="4">
        <v>378</v>
      </c>
      <c r="E59" s="5">
        <v>11.34</v>
      </c>
      <c r="F59" s="4">
        <v>692</v>
      </c>
      <c r="G59" s="5">
        <v>14.14</v>
      </c>
      <c r="H59" s="4">
        <v>1</v>
      </c>
    </row>
    <row r="60" spans="1:8" x14ac:dyDescent="0.2">
      <c r="A60" s="2" t="s">
        <v>69</v>
      </c>
      <c r="B60" s="4">
        <v>520</v>
      </c>
      <c r="C60" s="5">
        <v>6.28</v>
      </c>
      <c r="D60" s="4">
        <v>186</v>
      </c>
      <c r="E60" s="5">
        <v>5.58</v>
      </c>
      <c r="F60" s="4">
        <v>333</v>
      </c>
      <c r="G60" s="5">
        <v>6.81</v>
      </c>
      <c r="H60" s="4">
        <v>0</v>
      </c>
    </row>
    <row r="61" spans="1:8" x14ac:dyDescent="0.2">
      <c r="A61" s="2" t="s">
        <v>70</v>
      </c>
      <c r="B61" s="4">
        <v>741</v>
      </c>
      <c r="C61" s="5">
        <v>8.9499999999999993</v>
      </c>
      <c r="D61" s="4">
        <v>549</v>
      </c>
      <c r="E61" s="5">
        <v>16.48</v>
      </c>
      <c r="F61" s="4">
        <v>192</v>
      </c>
      <c r="G61" s="5">
        <v>3.92</v>
      </c>
      <c r="H61" s="4">
        <v>0</v>
      </c>
    </row>
    <row r="62" spans="1:8" x14ac:dyDescent="0.2">
      <c r="A62" s="2" t="s">
        <v>71</v>
      </c>
      <c r="B62" s="4">
        <v>1024</v>
      </c>
      <c r="C62" s="5">
        <v>12.37</v>
      </c>
      <c r="D62" s="4">
        <v>763</v>
      </c>
      <c r="E62" s="5">
        <v>22.9</v>
      </c>
      <c r="F62" s="4">
        <v>258</v>
      </c>
      <c r="G62" s="5">
        <v>5.27</v>
      </c>
      <c r="H62" s="4">
        <v>1</v>
      </c>
    </row>
    <row r="63" spans="1:8" x14ac:dyDescent="0.2">
      <c r="A63" s="2" t="s">
        <v>72</v>
      </c>
      <c r="B63" s="4">
        <v>296</v>
      </c>
      <c r="C63" s="5">
        <v>3.57</v>
      </c>
      <c r="D63" s="4">
        <v>182</v>
      </c>
      <c r="E63" s="5">
        <v>5.46</v>
      </c>
      <c r="F63" s="4">
        <v>79</v>
      </c>
      <c r="G63" s="5">
        <v>1.61</v>
      </c>
      <c r="H63" s="4">
        <v>3</v>
      </c>
    </row>
    <row r="64" spans="1:8" x14ac:dyDescent="0.2">
      <c r="A64" s="2" t="s">
        <v>73</v>
      </c>
      <c r="B64" s="4">
        <v>409</v>
      </c>
      <c r="C64" s="5">
        <v>4.9400000000000004</v>
      </c>
      <c r="D64" s="4">
        <v>243</v>
      </c>
      <c r="E64" s="5">
        <v>7.29</v>
      </c>
      <c r="F64" s="4">
        <v>165</v>
      </c>
      <c r="G64" s="5">
        <v>3.37</v>
      </c>
      <c r="H64" s="4">
        <v>0</v>
      </c>
    </row>
    <row r="65" spans="1:8" x14ac:dyDescent="0.2">
      <c r="A65" s="2" t="s">
        <v>74</v>
      </c>
      <c r="B65" s="4">
        <v>369</v>
      </c>
      <c r="C65" s="5">
        <v>4.46</v>
      </c>
      <c r="D65" s="4">
        <v>87</v>
      </c>
      <c r="E65" s="5">
        <v>2.61</v>
      </c>
      <c r="F65" s="4">
        <v>275</v>
      </c>
      <c r="G65" s="5">
        <v>5.62</v>
      </c>
      <c r="H65" s="4">
        <v>4</v>
      </c>
    </row>
    <row r="66" spans="1:8" x14ac:dyDescent="0.2">
      <c r="A66" s="1" t="s">
        <v>4</v>
      </c>
      <c r="B66" s="4">
        <v>7748</v>
      </c>
      <c r="C66" s="5">
        <v>100.00999999999999</v>
      </c>
      <c r="D66" s="4">
        <v>3370</v>
      </c>
      <c r="E66" s="5">
        <v>100.01000000000002</v>
      </c>
      <c r="F66" s="4">
        <v>4328</v>
      </c>
      <c r="G66" s="5">
        <v>99.999999999999972</v>
      </c>
      <c r="H66" s="4">
        <v>10</v>
      </c>
    </row>
    <row r="67" spans="1:8" x14ac:dyDescent="0.2">
      <c r="A67" s="2" t="s">
        <v>60</v>
      </c>
      <c r="B67" s="4">
        <v>5</v>
      </c>
      <c r="C67" s="5">
        <v>0.06</v>
      </c>
      <c r="D67" s="4">
        <v>0</v>
      </c>
      <c r="E67" s="5">
        <v>0</v>
      </c>
      <c r="F67" s="4">
        <v>5</v>
      </c>
      <c r="G67" s="5">
        <v>0.12</v>
      </c>
      <c r="H67" s="4">
        <v>0</v>
      </c>
    </row>
    <row r="68" spans="1:8" x14ac:dyDescent="0.2">
      <c r="A68" s="2" t="s">
        <v>61</v>
      </c>
      <c r="B68" s="4">
        <v>1220</v>
      </c>
      <c r="C68" s="5">
        <v>15.75</v>
      </c>
      <c r="D68" s="4">
        <v>206</v>
      </c>
      <c r="E68" s="5">
        <v>6.11</v>
      </c>
      <c r="F68" s="4">
        <v>1014</v>
      </c>
      <c r="G68" s="5">
        <v>23.43</v>
      </c>
      <c r="H68" s="4">
        <v>0</v>
      </c>
    </row>
    <row r="69" spans="1:8" x14ac:dyDescent="0.2">
      <c r="A69" s="2" t="s">
        <v>62</v>
      </c>
      <c r="B69" s="4">
        <v>558</v>
      </c>
      <c r="C69" s="5">
        <v>7.2</v>
      </c>
      <c r="D69" s="4">
        <v>153</v>
      </c>
      <c r="E69" s="5">
        <v>4.54</v>
      </c>
      <c r="F69" s="4">
        <v>404</v>
      </c>
      <c r="G69" s="5">
        <v>9.33</v>
      </c>
      <c r="H69" s="4">
        <v>1</v>
      </c>
    </row>
    <row r="70" spans="1:8" x14ac:dyDescent="0.2">
      <c r="A70" s="2" t="s">
        <v>63</v>
      </c>
      <c r="B70" s="4">
        <v>21</v>
      </c>
      <c r="C70" s="5">
        <v>0.27</v>
      </c>
      <c r="D70" s="4">
        <v>0</v>
      </c>
      <c r="E70" s="5">
        <v>0</v>
      </c>
      <c r="F70" s="4">
        <v>19</v>
      </c>
      <c r="G70" s="5">
        <v>0.44</v>
      </c>
      <c r="H70" s="4">
        <v>0</v>
      </c>
    </row>
    <row r="71" spans="1:8" x14ac:dyDescent="0.2">
      <c r="A71" s="2" t="s">
        <v>64</v>
      </c>
      <c r="B71" s="4">
        <v>58</v>
      </c>
      <c r="C71" s="5">
        <v>0.75</v>
      </c>
      <c r="D71" s="4">
        <v>4</v>
      </c>
      <c r="E71" s="5">
        <v>0.12</v>
      </c>
      <c r="F71" s="4">
        <v>54</v>
      </c>
      <c r="G71" s="5">
        <v>1.25</v>
      </c>
      <c r="H71" s="4">
        <v>0</v>
      </c>
    </row>
    <row r="72" spans="1:8" x14ac:dyDescent="0.2">
      <c r="A72" s="2" t="s">
        <v>65</v>
      </c>
      <c r="B72" s="4">
        <v>81</v>
      </c>
      <c r="C72" s="5">
        <v>1.05</v>
      </c>
      <c r="D72" s="4">
        <v>6</v>
      </c>
      <c r="E72" s="5">
        <v>0.18</v>
      </c>
      <c r="F72" s="4">
        <v>75</v>
      </c>
      <c r="G72" s="5">
        <v>1.73</v>
      </c>
      <c r="H72" s="4">
        <v>0</v>
      </c>
    </row>
    <row r="73" spans="1:8" x14ac:dyDescent="0.2">
      <c r="A73" s="2" t="s">
        <v>66</v>
      </c>
      <c r="B73" s="4">
        <v>1833</v>
      </c>
      <c r="C73" s="5">
        <v>23.66</v>
      </c>
      <c r="D73" s="4">
        <v>713</v>
      </c>
      <c r="E73" s="5">
        <v>21.16</v>
      </c>
      <c r="F73" s="4">
        <v>1116</v>
      </c>
      <c r="G73" s="5">
        <v>25.79</v>
      </c>
      <c r="H73" s="4">
        <v>4</v>
      </c>
    </row>
    <row r="74" spans="1:8" x14ac:dyDescent="0.2">
      <c r="A74" s="2" t="s">
        <v>67</v>
      </c>
      <c r="B74" s="4">
        <v>92</v>
      </c>
      <c r="C74" s="5">
        <v>1.19</v>
      </c>
      <c r="D74" s="4">
        <v>12</v>
      </c>
      <c r="E74" s="5">
        <v>0.36</v>
      </c>
      <c r="F74" s="4">
        <v>80</v>
      </c>
      <c r="G74" s="5">
        <v>1.85</v>
      </c>
      <c r="H74" s="4">
        <v>0</v>
      </c>
    </row>
    <row r="75" spans="1:8" x14ac:dyDescent="0.2">
      <c r="A75" s="2" t="s">
        <v>68</v>
      </c>
      <c r="B75" s="4">
        <v>444</v>
      </c>
      <c r="C75" s="5">
        <v>5.73</v>
      </c>
      <c r="D75" s="4">
        <v>42</v>
      </c>
      <c r="E75" s="5">
        <v>1.25</v>
      </c>
      <c r="F75" s="4">
        <v>402</v>
      </c>
      <c r="G75" s="5">
        <v>9.2899999999999991</v>
      </c>
      <c r="H75" s="4">
        <v>0</v>
      </c>
    </row>
    <row r="76" spans="1:8" x14ac:dyDescent="0.2">
      <c r="A76" s="2" t="s">
        <v>69</v>
      </c>
      <c r="B76" s="4">
        <v>380</v>
      </c>
      <c r="C76" s="5">
        <v>4.9000000000000004</v>
      </c>
      <c r="D76" s="4">
        <v>151</v>
      </c>
      <c r="E76" s="5">
        <v>4.4800000000000004</v>
      </c>
      <c r="F76" s="4">
        <v>229</v>
      </c>
      <c r="G76" s="5">
        <v>5.29</v>
      </c>
      <c r="H76" s="4">
        <v>0</v>
      </c>
    </row>
    <row r="77" spans="1:8" x14ac:dyDescent="0.2">
      <c r="A77" s="2" t="s">
        <v>70</v>
      </c>
      <c r="B77" s="4">
        <v>911</v>
      </c>
      <c r="C77" s="5">
        <v>11.76</v>
      </c>
      <c r="D77" s="4">
        <v>676</v>
      </c>
      <c r="E77" s="5">
        <v>20.059999999999999</v>
      </c>
      <c r="F77" s="4">
        <v>235</v>
      </c>
      <c r="G77" s="5">
        <v>5.43</v>
      </c>
      <c r="H77" s="4">
        <v>0</v>
      </c>
    </row>
    <row r="78" spans="1:8" x14ac:dyDescent="0.2">
      <c r="A78" s="2" t="s">
        <v>71</v>
      </c>
      <c r="B78" s="4">
        <v>1131</v>
      </c>
      <c r="C78" s="5">
        <v>14.6</v>
      </c>
      <c r="D78" s="4">
        <v>886</v>
      </c>
      <c r="E78" s="5">
        <v>26.29</v>
      </c>
      <c r="F78" s="4">
        <v>243</v>
      </c>
      <c r="G78" s="5">
        <v>5.61</v>
      </c>
      <c r="H78" s="4">
        <v>2</v>
      </c>
    </row>
    <row r="79" spans="1:8" x14ac:dyDescent="0.2">
      <c r="A79" s="2" t="s">
        <v>72</v>
      </c>
      <c r="B79" s="4">
        <v>295</v>
      </c>
      <c r="C79" s="5">
        <v>3.81</v>
      </c>
      <c r="D79" s="4">
        <v>182</v>
      </c>
      <c r="E79" s="5">
        <v>5.4</v>
      </c>
      <c r="F79" s="4">
        <v>80</v>
      </c>
      <c r="G79" s="5">
        <v>1.85</v>
      </c>
      <c r="H79" s="4">
        <v>0</v>
      </c>
    </row>
    <row r="80" spans="1:8" x14ac:dyDescent="0.2">
      <c r="A80" s="2" t="s">
        <v>73</v>
      </c>
      <c r="B80" s="4">
        <v>416</v>
      </c>
      <c r="C80" s="5">
        <v>5.37</v>
      </c>
      <c r="D80" s="4">
        <v>234</v>
      </c>
      <c r="E80" s="5">
        <v>6.94</v>
      </c>
      <c r="F80" s="4">
        <v>181</v>
      </c>
      <c r="G80" s="5">
        <v>4.18</v>
      </c>
      <c r="H80" s="4">
        <v>1</v>
      </c>
    </row>
    <row r="81" spans="1:8" x14ac:dyDescent="0.2">
      <c r="A81" s="2" t="s">
        <v>74</v>
      </c>
      <c r="B81" s="4">
        <v>303</v>
      </c>
      <c r="C81" s="5">
        <v>3.91</v>
      </c>
      <c r="D81" s="4">
        <v>105</v>
      </c>
      <c r="E81" s="5">
        <v>3.12</v>
      </c>
      <c r="F81" s="4">
        <v>191</v>
      </c>
      <c r="G81" s="5">
        <v>4.41</v>
      </c>
      <c r="H81" s="4">
        <v>2</v>
      </c>
    </row>
    <row r="82" spans="1:8" x14ac:dyDescent="0.2">
      <c r="A82" s="1" t="s">
        <v>5</v>
      </c>
      <c r="B82" s="4">
        <v>1580</v>
      </c>
      <c r="C82" s="5">
        <v>99.989999999999981</v>
      </c>
      <c r="D82" s="4">
        <v>890</v>
      </c>
      <c r="E82" s="5">
        <v>99.990000000000023</v>
      </c>
      <c r="F82" s="4">
        <v>661</v>
      </c>
      <c r="G82" s="5">
        <v>100.00999999999999</v>
      </c>
      <c r="H82" s="4">
        <v>12</v>
      </c>
    </row>
    <row r="83" spans="1:8" x14ac:dyDescent="0.2">
      <c r="A83" s="2" t="s">
        <v>60</v>
      </c>
      <c r="B83" s="4">
        <v>2</v>
      </c>
      <c r="C83" s="5">
        <v>0.13</v>
      </c>
      <c r="D83" s="4">
        <v>1</v>
      </c>
      <c r="E83" s="5">
        <v>0.11</v>
      </c>
      <c r="F83" s="4">
        <v>1</v>
      </c>
      <c r="G83" s="5">
        <v>0.15</v>
      </c>
      <c r="H83" s="4">
        <v>0</v>
      </c>
    </row>
    <row r="84" spans="1:8" x14ac:dyDescent="0.2">
      <c r="A84" s="2" t="s">
        <v>61</v>
      </c>
      <c r="B84" s="4">
        <v>186</v>
      </c>
      <c r="C84" s="5">
        <v>11.77</v>
      </c>
      <c r="D84" s="4">
        <v>65</v>
      </c>
      <c r="E84" s="5">
        <v>7.3</v>
      </c>
      <c r="F84" s="4">
        <v>121</v>
      </c>
      <c r="G84" s="5">
        <v>18.309999999999999</v>
      </c>
      <c r="H84" s="4">
        <v>0</v>
      </c>
    </row>
    <row r="85" spans="1:8" x14ac:dyDescent="0.2">
      <c r="A85" s="2" t="s">
        <v>62</v>
      </c>
      <c r="B85" s="4">
        <v>136</v>
      </c>
      <c r="C85" s="5">
        <v>8.61</v>
      </c>
      <c r="D85" s="4">
        <v>61</v>
      </c>
      <c r="E85" s="5">
        <v>6.85</v>
      </c>
      <c r="F85" s="4">
        <v>75</v>
      </c>
      <c r="G85" s="5">
        <v>11.35</v>
      </c>
      <c r="H85" s="4">
        <v>0</v>
      </c>
    </row>
    <row r="86" spans="1:8" x14ac:dyDescent="0.2">
      <c r="A86" s="2" t="s">
        <v>63</v>
      </c>
      <c r="B86" s="4">
        <v>2</v>
      </c>
      <c r="C86" s="5">
        <v>0.13</v>
      </c>
      <c r="D86" s="4">
        <v>0</v>
      </c>
      <c r="E86" s="5">
        <v>0</v>
      </c>
      <c r="F86" s="4">
        <v>2</v>
      </c>
      <c r="G86" s="5">
        <v>0.3</v>
      </c>
      <c r="H86" s="4">
        <v>0</v>
      </c>
    </row>
    <row r="87" spans="1:8" x14ac:dyDescent="0.2">
      <c r="A87" s="2" t="s">
        <v>64</v>
      </c>
      <c r="B87" s="4">
        <v>8</v>
      </c>
      <c r="C87" s="5">
        <v>0.51</v>
      </c>
      <c r="D87" s="4">
        <v>0</v>
      </c>
      <c r="E87" s="5">
        <v>0</v>
      </c>
      <c r="F87" s="4">
        <v>8</v>
      </c>
      <c r="G87" s="5">
        <v>1.21</v>
      </c>
      <c r="H87" s="4">
        <v>0</v>
      </c>
    </row>
    <row r="88" spans="1:8" x14ac:dyDescent="0.2">
      <c r="A88" s="2" t="s">
        <v>65</v>
      </c>
      <c r="B88" s="4">
        <v>12</v>
      </c>
      <c r="C88" s="5">
        <v>0.76</v>
      </c>
      <c r="D88" s="4">
        <v>1</v>
      </c>
      <c r="E88" s="5">
        <v>0.11</v>
      </c>
      <c r="F88" s="4">
        <v>11</v>
      </c>
      <c r="G88" s="5">
        <v>1.66</v>
      </c>
      <c r="H88" s="4">
        <v>0</v>
      </c>
    </row>
    <row r="89" spans="1:8" x14ac:dyDescent="0.2">
      <c r="A89" s="2" t="s">
        <v>66</v>
      </c>
      <c r="B89" s="4">
        <v>378</v>
      </c>
      <c r="C89" s="5">
        <v>23.92</v>
      </c>
      <c r="D89" s="4">
        <v>197</v>
      </c>
      <c r="E89" s="5">
        <v>22.13</v>
      </c>
      <c r="F89" s="4">
        <v>177</v>
      </c>
      <c r="G89" s="5">
        <v>26.78</v>
      </c>
      <c r="H89" s="4">
        <v>4</v>
      </c>
    </row>
    <row r="90" spans="1:8" x14ac:dyDescent="0.2">
      <c r="A90" s="2" t="s">
        <v>67</v>
      </c>
      <c r="B90" s="4">
        <v>12</v>
      </c>
      <c r="C90" s="5">
        <v>0.76</v>
      </c>
      <c r="D90" s="4">
        <v>5</v>
      </c>
      <c r="E90" s="5">
        <v>0.56000000000000005</v>
      </c>
      <c r="F90" s="4">
        <v>7</v>
      </c>
      <c r="G90" s="5">
        <v>1.06</v>
      </c>
      <c r="H90" s="4">
        <v>0</v>
      </c>
    </row>
    <row r="91" spans="1:8" x14ac:dyDescent="0.2">
      <c r="A91" s="2" t="s">
        <v>68</v>
      </c>
      <c r="B91" s="4">
        <v>120</v>
      </c>
      <c r="C91" s="5">
        <v>7.59</v>
      </c>
      <c r="D91" s="4">
        <v>43</v>
      </c>
      <c r="E91" s="5">
        <v>4.83</v>
      </c>
      <c r="F91" s="4">
        <v>77</v>
      </c>
      <c r="G91" s="5">
        <v>11.65</v>
      </c>
      <c r="H91" s="4">
        <v>0</v>
      </c>
    </row>
    <row r="92" spans="1:8" x14ac:dyDescent="0.2">
      <c r="A92" s="2" t="s">
        <v>69</v>
      </c>
      <c r="B92" s="4">
        <v>74</v>
      </c>
      <c r="C92" s="5">
        <v>4.68</v>
      </c>
      <c r="D92" s="4">
        <v>46</v>
      </c>
      <c r="E92" s="5">
        <v>5.17</v>
      </c>
      <c r="F92" s="4">
        <v>28</v>
      </c>
      <c r="G92" s="5">
        <v>4.24</v>
      </c>
      <c r="H92" s="4">
        <v>0</v>
      </c>
    </row>
    <row r="93" spans="1:8" x14ac:dyDescent="0.2">
      <c r="A93" s="2" t="s">
        <v>70</v>
      </c>
      <c r="B93" s="4">
        <v>229</v>
      </c>
      <c r="C93" s="5">
        <v>14.49</v>
      </c>
      <c r="D93" s="4">
        <v>166</v>
      </c>
      <c r="E93" s="5">
        <v>18.649999999999999</v>
      </c>
      <c r="F93" s="4">
        <v>62</v>
      </c>
      <c r="G93" s="5">
        <v>9.3800000000000008</v>
      </c>
      <c r="H93" s="4">
        <v>1</v>
      </c>
    </row>
    <row r="94" spans="1:8" x14ac:dyDescent="0.2">
      <c r="A94" s="2" t="s">
        <v>71</v>
      </c>
      <c r="B94" s="4">
        <v>219</v>
      </c>
      <c r="C94" s="5">
        <v>13.86</v>
      </c>
      <c r="D94" s="4">
        <v>176</v>
      </c>
      <c r="E94" s="5">
        <v>19.78</v>
      </c>
      <c r="F94" s="4">
        <v>38</v>
      </c>
      <c r="G94" s="5">
        <v>5.75</v>
      </c>
      <c r="H94" s="4">
        <v>5</v>
      </c>
    </row>
    <row r="95" spans="1:8" x14ac:dyDescent="0.2">
      <c r="A95" s="2" t="s">
        <v>72</v>
      </c>
      <c r="B95" s="4">
        <v>71</v>
      </c>
      <c r="C95" s="5">
        <v>4.49</v>
      </c>
      <c r="D95" s="4">
        <v>49</v>
      </c>
      <c r="E95" s="5">
        <v>5.51</v>
      </c>
      <c r="F95" s="4">
        <v>16</v>
      </c>
      <c r="G95" s="5">
        <v>2.42</v>
      </c>
      <c r="H95" s="4">
        <v>0</v>
      </c>
    </row>
    <row r="96" spans="1:8" x14ac:dyDescent="0.2">
      <c r="A96" s="2" t="s">
        <v>73</v>
      </c>
      <c r="B96" s="4">
        <v>78</v>
      </c>
      <c r="C96" s="5">
        <v>4.9400000000000004</v>
      </c>
      <c r="D96" s="4">
        <v>54</v>
      </c>
      <c r="E96" s="5">
        <v>6.07</v>
      </c>
      <c r="F96" s="4">
        <v>14</v>
      </c>
      <c r="G96" s="5">
        <v>2.12</v>
      </c>
      <c r="H96" s="4">
        <v>0</v>
      </c>
    </row>
    <row r="97" spans="1:8" x14ac:dyDescent="0.2">
      <c r="A97" s="2" t="s">
        <v>74</v>
      </c>
      <c r="B97" s="4">
        <v>53</v>
      </c>
      <c r="C97" s="5">
        <v>3.35</v>
      </c>
      <c r="D97" s="4">
        <v>26</v>
      </c>
      <c r="E97" s="5">
        <v>2.92</v>
      </c>
      <c r="F97" s="4">
        <v>24</v>
      </c>
      <c r="G97" s="5">
        <v>3.63</v>
      </c>
      <c r="H97" s="4">
        <v>2</v>
      </c>
    </row>
    <row r="98" spans="1:8" x14ac:dyDescent="0.2">
      <c r="A98" s="1" t="s">
        <v>6</v>
      </c>
      <c r="B98" s="4">
        <v>1830</v>
      </c>
      <c r="C98" s="5">
        <v>99.999999999999986</v>
      </c>
      <c r="D98" s="4">
        <v>974</v>
      </c>
      <c r="E98" s="5">
        <v>100.00999999999999</v>
      </c>
      <c r="F98" s="4">
        <v>843</v>
      </c>
      <c r="G98" s="5">
        <v>99.999999999999986</v>
      </c>
      <c r="H98" s="4">
        <v>4</v>
      </c>
    </row>
    <row r="99" spans="1:8" x14ac:dyDescent="0.2">
      <c r="A99" s="2" t="s">
        <v>60</v>
      </c>
      <c r="B99" s="4">
        <v>2</v>
      </c>
      <c r="C99" s="5">
        <v>0.11</v>
      </c>
      <c r="D99" s="4">
        <v>0</v>
      </c>
      <c r="E99" s="5">
        <v>0</v>
      </c>
      <c r="F99" s="4">
        <v>2</v>
      </c>
      <c r="G99" s="5">
        <v>0.24</v>
      </c>
      <c r="H99" s="4">
        <v>0</v>
      </c>
    </row>
    <row r="100" spans="1:8" x14ac:dyDescent="0.2">
      <c r="A100" s="2" t="s">
        <v>61</v>
      </c>
      <c r="B100" s="4">
        <v>288</v>
      </c>
      <c r="C100" s="5">
        <v>15.74</v>
      </c>
      <c r="D100" s="4">
        <v>117</v>
      </c>
      <c r="E100" s="5">
        <v>12.01</v>
      </c>
      <c r="F100" s="4">
        <v>171</v>
      </c>
      <c r="G100" s="5">
        <v>20.28</v>
      </c>
      <c r="H100" s="4">
        <v>0</v>
      </c>
    </row>
    <row r="101" spans="1:8" x14ac:dyDescent="0.2">
      <c r="A101" s="2" t="s">
        <v>62</v>
      </c>
      <c r="B101" s="4">
        <v>153</v>
      </c>
      <c r="C101" s="5">
        <v>8.36</v>
      </c>
      <c r="D101" s="4">
        <v>52</v>
      </c>
      <c r="E101" s="5">
        <v>5.34</v>
      </c>
      <c r="F101" s="4">
        <v>101</v>
      </c>
      <c r="G101" s="5">
        <v>11.98</v>
      </c>
      <c r="H101" s="4">
        <v>0</v>
      </c>
    </row>
    <row r="102" spans="1:8" x14ac:dyDescent="0.2">
      <c r="A102" s="2" t="s">
        <v>63</v>
      </c>
      <c r="B102" s="4">
        <v>5</v>
      </c>
      <c r="C102" s="5">
        <v>0.27</v>
      </c>
      <c r="D102" s="4">
        <v>0</v>
      </c>
      <c r="E102" s="5">
        <v>0</v>
      </c>
      <c r="F102" s="4">
        <v>5</v>
      </c>
      <c r="G102" s="5">
        <v>0.59</v>
      </c>
      <c r="H102" s="4">
        <v>0</v>
      </c>
    </row>
    <row r="103" spans="1:8" x14ac:dyDescent="0.2">
      <c r="A103" s="2" t="s">
        <v>64</v>
      </c>
      <c r="B103" s="4">
        <v>9</v>
      </c>
      <c r="C103" s="5">
        <v>0.49</v>
      </c>
      <c r="D103" s="4">
        <v>0</v>
      </c>
      <c r="E103" s="5">
        <v>0</v>
      </c>
      <c r="F103" s="4">
        <v>9</v>
      </c>
      <c r="G103" s="5">
        <v>1.07</v>
      </c>
      <c r="H103" s="4">
        <v>0</v>
      </c>
    </row>
    <row r="104" spans="1:8" x14ac:dyDescent="0.2">
      <c r="A104" s="2" t="s">
        <v>65</v>
      </c>
      <c r="B104" s="4">
        <v>18</v>
      </c>
      <c r="C104" s="5">
        <v>0.98</v>
      </c>
      <c r="D104" s="4">
        <v>2</v>
      </c>
      <c r="E104" s="5">
        <v>0.21</v>
      </c>
      <c r="F104" s="4">
        <v>15</v>
      </c>
      <c r="G104" s="5">
        <v>1.78</v>
      </c>
      <c r="H104" s="4">
        <v>1</v>
      </c>
    </row>
    <row r="105" spans="1:8" x14ac:dyDescent="0.2">
      <c r="A105" s="2" t="s">
        <v>66</v>
      </c>
      <c r="B105" s="4">
        <v>441</v>
      </c>
      <c r="C105" s="5">
        <v>24.1</v>
      </c>
      <c r="D105" s="4">
        <v>212</v>
      </c>
      <c r="E105" s="5">
        <v>21.77</v>
      </c>
      <c r="F105" s="4">
        <v>228</v>
      </c>
      <c r="G105" s="5">
        <v>27.05</v>
      </c>
      <c r="H105" s="4">
        <v>1</v>
      </c>
    </row>
    <row r="106" spans="1:8" x14ac:dyDescent="0.2">
      <c r="A106" s="2" t="s">
        <v>67</v>
      </c>
      <c r="B106" s="4">
        <v>23</v>
      </c>
      <c r="C106" s="5">
        <v>1.26</v>
      </c>
      <c r="D106" s="4">
        <v>6</v>
      </c>
      <c r="E106" s="5">
        <v>0.62</v>
      </c>
      <c r="F106" s="4">
        <v>17</v>
      </c>
      <c r="G106" s="5">
        <v>2.02</v>
      </c>
      <c r="H106" s="4">
        <v>0</v>
      </c>
    </row>
    <row r="107" spans="1:8" x14ac:dyDescent="0.2">
      <c r="A107" s="2" t="s">
        <v>68</v>
      </c>
      <c r="B107" s="4">
        <v>93</v>
      </c>
      <c r="C107" s="5">
        <v>5.08</v>
      </c>
      <c r="D107" s="4">
        <v>27</v>
      </c>
      <c r="E107" s="5">
        <v>2.77</v>
      </c>
      <c r="F107" s="4">
        <v>64</v>
      </c>
      <c r="G107" s="5">
        <v>7.59</v>
      </c>
      <c r="H107" s="4">
        <v>1</v>
      </c>
    </row>
    <row r="108" spans="1:8" x14ac:dyDescent="0.2">
      <c r="A108" s="2" t="s">
        <v>69</v>
      </c>
      <c r="B108" s="4">
        <v>65</v>
      </c>
      <c r="C108" s="5">
        <v>3.55</v>
      </c>
      <c r="D108" s="4">
        <v>39</v>
      </c>
      <c r="E108" s="5">
        <v>4</v>
      </c>
      <c r="F108" s="4">
        <v>25</v>
      </c>
      <c r="G108" s="5">
        <v>2.97</v>
      </c>
      <c r="H108" s="4">
        <v>0</v>
      </c>
    </row>
    <row r="109" spans="1:8" x14ac:dyDescent="0.2">
      <c r="A109" s="2" t="s">
        <v>70</v>
      </c>
      <c r="B109" s="4">
        <v>208</v>
      </c>
      <c r="C109" s="5">
        <v>11.37</v>
      </c>
      <c r="D109" s="4">
        <v>164</v>
      </c>
      <c r="E109" s="5">
        <v>16.84</v>
      </c>
      <c r="F109" s="4">
        <v>44</v>
      </c>
      <c r="G109" s="5">
        <v>5.22</v>
      </c>
      <c r="H109" s="4">
        <v>0</v>
      </c>
    </row>
    <row r="110" spans="1:8" x14ac:dyDescent="0.2">
      <c r="A110" s="2" t="s">
        <v>71</v>
      </c>
      <c r="B110" s="4">
        <v>243</v>
      </c>
      <c r="C110" s="5">
        <v>13.28</v>
      </c>
      <c r="D110" s="4">
        <v>181</v>
      </c>
      <c r="E110" s="5">
        <v>18.579999999999998</v>
      </c>
      <c r="F110" s="4">
        <v>62</v>
      </c>
      <c r="G110" s="5">
        <v>7.35</v>
      </c>
      <c r="H110" s="4">
        <v>0</v>
      </c>
    </row>
    <row r="111" spans="1:8" x14ac:dyDescent="0.2">
      <c r="A111" s="2" t="s">
        <v>72</v>
      </c>
      <c r="B111" s="4">
        <v>81</v>
      </c>
      <c r="C111" s="5">
        <v>4.43</v>
      </c>
      <c r="D111" s="4">
        <v>67</v>
      </c>
      <c r="E111" s="5">
        <v>6.88</v>
      </c>
      <c r="F111" s="4">
        <v>9</v>
      </c>
      <c r="G111" s="5">
        <v>1.07</v>
      </c>
      <c r="H111" s="4">
        <v>0</v>
      </c>
    </row>
    <row r="112" spans="1:8" x14ac:dyDescent="0.2">
      <c r="A112" s="2" t="s">
        <v>73</v>
      </c>
      <c r="B112" s="4">
        <v>123</v>
      </c>
      <c r="C112" s="5">
        <v>6.72</v>
      </c>
      <c r="D112" s="4">
        <v>67</v>
      </c>
      <c r="E112" s="5">
        <v>6.88</v>
      </c>
      <c r="F112" s="4">
        <v>55</v>
      </c>
      <c r="G112" s="5">
        <v>6.52</v>
      </c>
      <c r="H112" s="4">
        <v>0</v>
      </c>
    </row>
    <row r="113" spans="1:8" x14ac:dyDescent="0.2">
      <c r="A113" s="2" t="s">
        <v>74</v>
      </c>
      <c r="B113" s="4">
        <v>78</v>
      </c>
      <c r="C113" s="5">
        <v>4.26</v>
      </c>
      <c r="D113" s="4">
        <v>40</v>
      </c>
      <c r="E113" s="5">
        <v>4.1100000000000003</v>
      </c>
      <c r="F113" s="4">
        <v>36</v>
      </c>
      <c r="G113" s="5">
        <v>4.2699999999999996</v>
      </c>
      <c r="H113" s="4">
        <v>1</v>
      </c>
    </row>
    <row r="114" spans="1:8" x14ac:dyDescent="0.2">
      <c r="A114" s="1" t="s">
        <v>7</v>
      </c>
      <c r="B114" s="4">
        <v>1343</v>
      </c>
      <c r="C114" s="5">
        <v>100.00000000000001</v>
      </c>
      <c r="D114" s="4">
        <v>864</v>
      </c>
      <c r="E114" s="5">
        <v>100.00999999999999</v>
      </c>
      <c r="F114" s="4">
        <v>462</v>
      </c>
      <c r="G114" s="5">
        <v>100.01</v>
      </c>
      <c r="H114" s="4">
        <v>2</v>
      </c>
    </row>
    <row r="115" spans="1:8" x14ac:dyDescent="0.2">
      <c r="A115" s="2" t="s">
        <v>60</v>
      </c>
      <c r="B115" s="4">
        <v>1</v>
      </c>
      <c r="C115" s="5">
        <v>7.0000000000000007E-2</v>
      </c>
      <c r="D115" s="4">
        <v>0</v>
      </c>
      <c r="E115" s="5">
        <v>0</v>
      </c>
      <c r="F115" s="4">
        <v>1</v>
      </c>
      <c r="G115" s="5">
        <v>0.22</v>
      </c>
      <c r="H115" s="4">
        <v>0</v>
      </c>
    </row>
    <row r="116" spans="1:8" x14ac:dyDescent="0.2">
      <c r="A116" s="2" t="s">
        <v>61</v>
      </c>
      <c r="B116" s="4">
        <v>194</v>
      </c>
      <c r="C116" s="5">
        <v>14.45</v>
      </c>
      <c r="D116" s="4">
        <v>106</v>
      </c>
      <c r="E116" s="5">
        <v>12.27</v>
      </c>
      <c r="F116" s="4">
        <v>88</v>
      </c>
      <c r="G116" s="5">
        <v>19.05</v>
      </c>
      <c r="H116" s="4">
        <v>0</v>
      </c>
    </row>
    <row r="117" spans="1:8" x14ac:dyDescent="0.2">
      <c r="A117" s="2" t="s">
        <v>62</v>
      </c>
      <c r="B117" s="4">
        <v>135</v>
      </c>
      <c r="C117" s="5">
        <v>10.050000000000001</v>
      </c>
      <c r="D117" s="4">
        <v>56</v>
      </c>
      <c r="E117" s="5">
        <v>6.48</v>
      </c>
      <c r="F117" s="4">
        <v>79</v>
      </c>
      <c r="G117" s="5">
        <v>17.100000000000001</v>
      </c>
      <c r="H117" s="4">
        <v>0</v>
      </c>
    </row>
    <row r="118" spans="1:8" x14ac:dyDescent="0.2">
      <c r="A118" s="2" t="s">
        <v>63</v>
      </c>
      <c r="B118" s="4">
        <v>5</v>
      </c>
      <c r="C118" s="5">
        <v>0.37</v>
      </c>
      <c r="D118" s="4">
        <v>0</v>
      </c>
      <c r="E118" s="5">
        <v>0</v>
      </c>
      <c r="F118" s="4">
        <v>5</v>
      </c>
      <c r="G118" s="5">
        <v>1.08</v>
      </c>
      <c r="H118" s="4">
        <v>0</v>
      </c>
    </row>
    <row r="119" spans="1:8" x14ac:dyDescent="0.2">
      <c r="A119" s="2" t="s">
        <v>64</v>
      </c>
      <c r="B119" s="4">
        <v>6</v>
      </c>
      <c r="C119" s="5">
        <v>0.45</v>
      </c>
      <c r="D119" s="4">
        <v>2</v>
      </c>
      <c r="E119" s="5">
        <v>0.23</v>
      </c>
      <c r="F119" s="4">
        <v>4</v>
      </c>
      <c r="G119" s="5">
        <v>0.87</v>
      </c>
      <c r="H119" s="4">
        <v>0</v>
      </c>
    </row>
    <row r="120" spans="1:8" x14ac:dyDescent="0.2">
      <c r="A120" s="2" t="s">
        <v>65</v>
      </c>
      <c r="B120" s="4">
        <v>8</v>
      </c>
      <c r="C120" s="5">
        <v>0.6</v>
      </c>
      <c r="D120" s="4">
        <v>4</v>
      </c>
      <c r="E120" s="5">
        <v>0.46</v>
      </c>
      <c r="F120" s="4">
        <v>4</v>
      </c>
      <c r="G120" s="5">
        <v>0.87</v>
      </c>
      <c r="H120" s="4">
        <v>0</v>
      </c>
    </row>
    <row r="121" spans="1:8" x14ac:dyDescent="0.2">
      <c r="A121" s="2" t="s">
        <v>66</v>
      </c>
      <c r="B121" s="4">
        <v>364</v>
      </c>
      <c r="C121" s="5">
        <v>27.1</v>
      </c>
      <c r="D121" s="4">
        <v>231</v>
      </c>
      <c r="E121" s="5">
        <v>26.74</v>
      </c>
      <c r="F121" s="4">
        <v>133</v>
      </c>
      <c r="G121" s="5">
        <v>28.79</v>
      </c>
      <c r="H121" s="4">
        <v>0</v>
      </c>
    </row>
    <row r="122" spans="1:8" x14ac:dyDescent="0.2">
      <c r="A122" s="2" t="s">
        <v>67</v>
      </c>
      <c r="B122" s="4">
        <v>4</v>
      </c>
      <c r="C122" s="5">
        <v>0.3</v>
      </c>
      <c r="D122" s="4">
        <v>2</v>
      </c>
      <c r="E122" s="5">
        <v>0.23</v>
      </c>
      <c r="F122" s="4">
        <v>2</v>
      </c>
      <c r="G122" s="5">
        <v>0.43</v>
      </c>
      <c r="H122" s="4">
        <v>0</v>
      </c>
    </row>
    <row r="123" spans="1:8" x14ac:dyDescent="0.2">
      <c r="A123" s="2" t="s">
        <v>68</v>
      </c>
      <c r="B123" s="4">
        <v>57</v>
      </c>
      <c r="C123" s="5">
        <v>4.24</v>
      </c>
      <c r="D123" s="4">
        <v>34</v>
      </c>
      <c r="E123" s="5">
        <v>3.94</v>
      </c>
      <c r="F123" s="4">
        <v>23</v>
      </c>
      <c r="G123" s="5">
        <v>4.9800000000000004</v>
      </c>
      <c r="H123" s="4">
        <v>0</v>
      </c>
    </row>
    <row r="124" spans="1:8" x14ac:dyDescent="0.2">
      <c r="A124" s="2" t="s">
        <v>69</v>
      </c>
      <c r="B124" s="4">
        <v>38</v>
      </c>
      <c r="C124" s="5">
        <v>2.83</v>
      </c>
      <c r="D124" s="4">
        <v>21</v>
      </c>
      <c r="E124" s="5">
        <v>2.4300000000000002</v>
      </c>
      <c r="F124" s="4">
        <v>17</v>
      </c>
      <c r="G124" s="5">
        <v>3.68</v>
      </c>
      <c r="H124" s="4">
        <v>0</v>
      </c>
    </row>
    <row r="125" spans="1:8" x14ac:dyDescent="0.2">
      <c r="A125" s="2" t="s">
        <v>70</v>
      </c>
      <c r="B125" s="4">
        <v>185</v>
      </c>
      <c r="C125" s="5">
        <v>13.78</v>
      </c>
      <c r="D125" s="4">
        <v>155</v>
      </c>
      <c r="E125" s="5">
        <v>17.940000000000001</v>
      </c>
      <c r="F125" s="4">
        <v>28</v>
      </c>
      <c r="G125" s="5">
        <v>6.06</v>
      </c>
      <c r="H125" s="4">
        <v>0</v>
      </c>
    </row>
    <row r="126" spans="1:8" x14ac:dyDescent="0.2">
      <c r="A126" s="2" t="s">
        <v>71</v>
      </c>
      <c r="B126" s="4">
        <v>196</v>
      </c>
      <c r="C126" s="5">
        <v>14.59</v>
      </c>
      <c r="D126" s="4">
        <v>175</v>
      </c>
      <c r="E126" s="5">
        <v>20.25</v>
      </c>
      <c r="F126" s="4">
        <v>21</v>
      </c>
      <c r="G126" s="5">
        <v>4.55</v>
      </c>
      <c r="H126" s="4">
        <v>0</v>
      </c>
    </row>
    <row r="127" spans="1:8" x14ac:dyDescent="0.2">
      <c r="A127" s="2" t="s">
        <v>72</v>
      </c>
      <c r="B127" s="4">
        <v>52</v>
      </c>
      <c r="C127" s="5">
        <v>3.87</v>
      </c>
      <c r="D127" s="4">
        <v>27</v>
      </c>
      <c r="E127" s="5">
        <v>3.13</v>
      </c>
      <c r="F127" s="4">
        <v>13</v>
      </c>
      <c r="G127" s="5">
        <v>2.81</v>
      </c>
      <c r="H127" s="4">
        <v>0</v>
      </c>
    </row>
    <row r="128" spans="1:8" x14ac:dyDescent="0.2">
      <c r="A128" s="2" t="s">
        <v>73</v>
      </c>
      <c r="B128" s="4">
        <v>52</v>
      </c>
      <c r="C128" s="5">
        <v>3.87</v>
      </c>
      <c r="D128" s="4">
        <v>27</v>
      </c>
      <c r="E128" s="5">
        <v>3.13</v>
      </c>
      <c r="F128" s="4">
        <v>24</v>
      </c>
      <c r="G128" s="5">
        <v>5.19</v>
      </c>
      <c r="H128" s="4">
        <v>0</v>
      </c>
    </row>
    <row r="129" spans="1:8" x14ac:dyDescent="0.2">
      <c r="A129" s="2" t="s">
        <v>74</v>
      </c>
      <c r="B129" s="4">
        <v>46</v>
      </c>
      <c r="C129" s="5">
        <v>3.43</v>
      </c>
      <c r="D129" s="4">
        <v>24</v>
      </c>
      <c r="E129" s="5">
        <v>2.78</v>
      </c>
      <c r="F129" s="4">
        <v>20</v>
      </c>
      <c r="G129" s="5">
        <v>4.33</v>
      </c>
      <c r="H129" s="4">
        <v>2</v>
      </c>
    </row>
    <row r="130" spans="1:8" x14ac:dyDescent="0.2">
      <c r="A130" s="1" t="s">
        <v>8</v>
      </c>
      <c r="B130" s="4">
        <v>970</v>
      </c>
      <c r="C130" s="5">
        <v>100.00000000000001</v>
      </c>
      <c r="D130" s="4">
        <v>567</v>
      </c>
      <c r="E130" s="5">
        <v>99.98</v>
      </c>
      <c r="F130" s="4">
        <v>387</v>
      </c>
      <c r="G130" s="5">
        <v>100</v>
      </c>
      <c r="H130" s="4">
        <v>2</v>
      </c>
    </row>
    <row r="131" spans="1:8" x14ac:dyDescent="0.2">
      <c r="A131" s="2" t="s">
        <v>60</v>
      </c>
      <c r="B131" s="4">
        <v>1</v>
      </c>
      <c r="C131" s="5">
        <v>0.1</v>
      </c>
      <c r="D131" s="4">
        <v>0</v>
      </c>
      <c r="E131" s="5">
        <v>0</v>
      </c>
      <c r="F131" s="4">
        <v>1</v>
      </c>
      <c r="G131" s="5">
        <v>0.26</v>
      </c>
      <c r="H131" s="4">
        <v>0</v>
      </c>
    </row>
    <row r="132" spans="1:8" x14ac:dyDescent="0.2">
      <c r="A132" s="2" t="s">
        <v>61</v>
      </c>
      <c r="B132" s="4">
        <v>136</v>
      </c>
      <c r="C132" s="5">
        <v>14.02</v>
      </c>
      <c r="D132" s="4">
        <v>62</v>
      </c>
      <c r="E132" s="5">
        <v>10.93</v>
      </c>
      <c r="F132" s="4">
        <v>74</v>
      </c>
      <c r="G132" s="5">
        <v>19.12</v>
      </c>
      <c r="H132" s="4">
        <v>0</v>
      </c>
    </row>
    <row r="133" spans="1:8" x14ac:dyDescent="0.2">
      <c r="A133" s="2" t="s">
        <v>62</v>
      </c>
      <c r="B133" s="4">
        <v>72</v>
      </c>
      <c r="C133" s="5">
        <v>7.42</v>
      </c>
      <c r="D133" s="4">
        <v>19</v>
      </c>
      <c r="E133" s="5">
        <v>3.35</v>
      </c>
      <c r="F133" s="4">
        <v>53</v>
      </c>
      <c r="G133" s="5">
        <v>13.7</v>
      </c>
      <c r="H133" s="4">
        <v>0</v>
      </c>
    </row>
    <row r="134" spans="1:8" x14ac:dyDescent="0.2">
      <c r="A134" s="2" t="s">
        <v>63</v>
      </c>
      <c r="B134" s="4">
        <v>3</v>
      </c>
      <c r="C134" s="5">
        <v>0.31</v>
      </c>
      <c r="D134" s="4">
        <v>0</v>
      </c>
      <c r="E134" s="5">
        <v>0</v>
      </c>
      <c r="F134" s="4">
        <v>3</v>
      </c>
      <c r="G134" s="5">
        <v>0.78</v>
      </c>
      <c r="H134" s="4">
        <v>0</v>
      </c>
    </row>
    <row r="135" spans="1:8" x14ac:dyDescent="0.2">
      <c r="A135" s="2" t="s">
        <v>64</v>
      </c>
      <c r="B135" s="4">
        <v>4</v>
      </c>
      <c r="C135" s="5">
        <v>0.41</v>
      </c>
      <c r="D135" s="4">
        <v>0</v>
      </c>
      <c r="E135" s="5">
        <v>0</v>
      </c>
      <c r="F135" s="4">
        <v>4</v>
      </c>
      <c r="G135" s="5">
        <v>1.03</v>
      </c>
      <c r="H135" s="4">
        <v>0</v>
      </c>
    </row>
    <row r="136" spans="1:8" x14ac:dyDescent="0.2">
      <c r="A136" s="2" t="s">
        <v>65</v>
      </c>
      <c r="B136" s="4">
        <v>6</v>
      </c>
      <c r="C136" s="5">
        <v>0.62</v>
      </c>
      <c r="D136" s="4">
        <v>1</v>
      </c>
      <c r="E136" s="5">
        <v>0.18</v>
      </c>
      <c r="F136" s="4">
        <v>4</v>
      </c>
      <c r="G136" s="5">
        <v>1.03</v>
      </c>
      <c r="H136" s="4">
        <v>1</v>
      </c>
    </row>
    <row r="137" spans="1:8" x14ac:dyDescent="0.2">
      <c r="A137" s="2" t="s">
        <v>66</v>
      </c>
      <c r="B137" s="4">
        <v>249</v>
      </c>
      <c r="C137" s="5">
        <v>25.67</v>
      </c>
      <c r="D137" s="4">
        <v>118</v>
      </c>
      <c r="E137" s="5">
        <v>20.81</v>
      </c>
      <c r="F137" s="4">
        <v>130</v>
      </c>
      <c r="G137" s="5">
        <v>33.590000000000003</v>
      </c>
      <c r="H137" s="4">
        <v>1</v>
      </c>
    </row>
    <row r="138" spans="1:8" x14ac:dyDescent="0.2">
      <c r="A138" s="2" t="s">
        <v>67</v>
      </c>
      <c r="B138" s="4">
        <v>9</v>
      </c>
      <c r="C138" s="5">
        <v>0.93</v>
      </c>
      <c r="D138" s="4">
        <v>1</v>
      </c>
      <c r="E138" s="5">
        <v>0.18</v>
      </c>
      <c r="F138" s="4">
        <v>8</v>
      </c>
      <c r="G138" s="5">
        <v>2.0699999999999998</v>
      </c>
      <c r="H138" s="4">
        <v>0</v>
      </c>
    </row>
    <row r="139" spans="1:8" x14ac:dyDescent="0.2">
      <c r="A139" s="2" t="s">
        <v>68</v>
      </c>
      <c r="B139" s="4">
        <v>70</v>
      </c>
      <c r="C139" s="5">
        <v>7.22</v>
      </c>
      <c r="D139" s="4">
        <v>43</v>
      </c>
      <c r="E139" s="5">
        <v>7.58</v>
      </c>
      <c r="F139" s="4">
        <v>27</v>
      </c>
      <c r="G139" s="5">
        <v>6.98</v>
      </c>
      <c r="H139" s="4">
        <v>0</v>
      </c>
    </row>
    <row r="140" spans="1:8" x14ac:dyDescent="0.2">
      <c r="A140" s="2" t="s">
        <v>69</v>
      </c>
      <c r="B140" s="4">
        <v>45</v>
      </c>
      <c r="C140" s="5">
        <v>4.6399999999999997</v>
      </c>
      <c r="D140" s="4">
        <v>24</v>
      </c>
      <c r="E140" s="5">
        <v>4.2300000000000004</v>
      </c>
      <c r="F140" s="4">
        <v>20</v>
      </c>
      <c r="G140" s="5">
        <v>5.17</v>
      </c>
      <c r="H140" s="4">
        <v>0</v>
      </c>
    </row>
    <row r="141" spans="1:8" x14ac:dyDescent="0.2">
      <c r="A141" s="2" t="s">
        <v>70</v>
      </c>
      <c r="B141" s="4">
        <v>143</v>
      </c>
      <c r="C141" s="5">
        <v>14.74</v>
      </c>
      <c r="D141" s="4">
        <v>118</v>
      </c>
      <c r="E141" s="5">
        <v>20.81</v>
      </c>
      <c r="F141" s="4">
        <v>25</v>
      </c>
      <c r="G141" s="5">
        <v>6.46</v>
      </c>
      <c r="H141" s="4">
        <v>0</v>
      </c>
    </row>
    <row r="142" spans="1:8" x14ac:dyDescent="0.2">
      <c r="A142" s="2" t="s">
        <v>71</v>
      </c>
      <c r="B142" s="4">
        <v>131</v>
      </c>
      <c r="C142" s="5">
        <v>13.51</v>
      </c>
      <c r="D142" s="4">
        <v>118</v>
      </c>
      <c r="E142" s="5">
        <v>20.81</v>
      </c>
      <c r="F142" s="4">
        <v>13</v>
      </c>
      <c r="G142" s="5">
        <v>3.36</v>
      </c>
      <c r="H142" s="4">
        <v>0</v>
      </c>
    </row>
    <row r="143" spans="1:8" x14ac:dyDescent="0.2">
      <c r="A143" s="2" t="s">
        <v>72</v>
      </c>
      <c r="B143" s="4">
        <v>35</v>
      </c>
      <c r="C143" s="5">
        <v>3.61</v>
      </c>
      <c r="D143" s="4">
        <v>21</v>
      </c>
      <c r="E143" s="5">
        <v>3.7</v>
      </c>
      <c r="F143" s="4">
        <v>4</v>
      </c>
      <c r="G143" s="5">
        <v>1.03</v>
      </c>
      <c r="H143" s="4">
        <v>0</v>
      </c>
    </row>
    <row r="144" spans="1:8" x14ac:dyDescent="0.2">
      <c r="A144" s="2" t="s">
        <v>73</v>
      </c>
      <c r="B144" s="4">
        <v>33</v>
      </c>
      <c r="C144" s="5">
        <v>3.4</v>
      </c>
      <c r="D144" s="4">
        <v>21</v>
      </c>
      <c r="E144" s="5">
        <v>3.7</v>
      </c>
      <c r="F144" s="4">
        <v>11</v>
      </c>
      <c r="G144" s="5">
        <v>2.84</v>
      </c>
      <c r="H144" s="4">
        <v>0</v>
      </c>
    </row>
    <row r="145" spans="1:8" x14ac:dyDescent="0.2">
      <c r="A145" s="2" t="s">
        <v>74</v>
      </c>
      <c r="B145" s="4">
        <v>33</v>
      </c>
      <c r="C145" s="5">
        <v>3.4</v>
      </c>
      <c r="D145" s="4">
        <v>21</v>
      </c>
      <c r="E145" s="5">
        <v>3.7</v>
      </c>
      <c r="F145" s="4">
        <v>10</v>
      </c>
      <c r="G145" s="5">
        <v>2.58</v>
      </c>
      <c r="H145" s="4">
        <v>0</v>
      </c>
    </row>
    <row r="146" spans="1:8" x14ac:dyDescent="0.2">
      <c r="A146" s="1" t="s">
        <v>9</v>
      </c>
      <c r="B146" s="4">
        <v>1414</v>
      </c>
      <c r="C146" s="5">
        <v>99.97999999999999</v>
      </c>
      <c r="D146" s="4">
        <v>857</v>
      </c>
      <c r="E146" s="5">
        <v>99.99</v>
      </c>
      <c r="F146" s="4">
        <v>538</v>
      </c>
      <c r="G146" s="5">
        <v>99.990000000000009</v>
      </c>
      <c r="H146" s="4">
        <v>3</v>
      </c>
    </row>
    <row r="147" spans="1:8" x14ac:dyDescent="0.2">
      <c r="A147" s="2" t="s">
        <v>60</v>
      </c>
      <c r="B147" s="4">
        <v>3</v>
      </c>
      <c r="C147" s="5">
        <v>0.21</v>
      </c>
      <c r="D147" s="4">
        <v>2</v>
      </c>
      <c r="E147" s="5">
        <v>0.23</v>
      </c>
      <c r="F147" s="4">
        <v>1</v>
      </c>
      <c r="G147" s="5">
        <v>0.19</v>
      </c>
      <c r="H147" s="4">
        <v>0</v>
      </c>
    </row>
    <row r="148" spans="1:8" x14ac:dyDescent="0.2">
      <c r="A148" s="2" t="s">
        <v>61</v>
      </c>
      <c r="B148" s="4">
        <v>264</v>
      </c>
      <c r="C148" s="5">
        <v>18.670000000000002</v>
      </c>
      <c r="D148" s="4">
        <v>126</v>
      </c>
      <c r="E148" s="5">
        <v>14.7</v>
      </c>
      <c r="F148" s="4">
        <v>138</v>
      </c>
      <c r="G148" s="5">
        <v>25.65</v>
      </c>
      <c r="H148" s="4">
        <v>0</v>
      </c>
    </row>
    <row r="149" spans="1:8" x14ac:dyDescent="0.2">
      <c r="A149" s="2" t="s">
        <v>62</v>
      </c>
      <c r="B149" s="4">
        <v>131</v>
      </c>
      <c r="C149" s="5">
        <v>9.26</v>
      </c>
      <c r="D149" s="4">
        <v>47</v>
      </c>
      <c r="E149" s="5">
        <v>5.48</v>
      </c>
      <c r="F149" s="4">
        <v>83</v>
      </c>
      <c r="G149" s="5">
        <v>15.43</v>
      </c>
      <c r="H149" s="4">
        <v>0</v>
      </c>
    </row>
    <row r="150" spans="1:8" x14ac:dyDescent="0.2">
      <c r="A150" s="2" t="s">
        <v>63</v>
      </c>
      <c r="B150" s="4">
        <v>4</v>
      </c>
      <c r="C150" s="5">
        <v>0.28000000000000003</v>
      </c>
      <c r="D150" s="4">
        <v>0</v>
      </c>
      <c r="E150" s="5">
        <v>0</v>
      </c>
      <c r="F150" s="4">
        <v>4</v>
      </c>
      <c r="G150" s="5">
        <v>0.74</v>
      </c>
      <c r="H150" s="4">
        <v>0</v>
      </c>
    </row>
    <row r="151" spans="1:8" x14ac:dyDescent="0.2">
      <c r="A151" s="2" t="s">
        <v>64</v>
      </c>
      <c r="B151" s="4">
        <v>3</v>
      </c>
      <c r="C151" s="5">
        <v>0.21</v>
      </c>
      <c r="D151" s="4">
        <v>1</v>
      </c>
      <c r="E151" s="5">
        <v>0.12</v>
      </c>
      <c r="F151" s="4">
        <v>2</v>
      </c>
      <c r="G151" s="5">
        <v>0.37</v>
      </c>
      <c r="H151" s="4">
        <v>0</v>
      </c>
    </row>
    <row r="152" spans="1:8" x14ac:dyDescent="0.2">
      <c r="A152" s="2" t="s">
        <v>65</v>
      </c>
      <c r="B152" s="4">
        <v>9</v>
      </c>
      <c r="C152" s="5">
        <v>0.64</v>
      </c>
      <c r="D152" s="4">
        <v>4</v>
      </c>
      <c r="E152" s="5">
        <v>0.47</v>
      </c>
      <c r="F152" s="4">
        <v>4</v>
      </c>
      <c r="G152" s="5">
        <v>0.74</v>
      </c>
      <c r="H152" s="4">
        <v>1</v>
      </c>
    </row>
    <row r="153" spans="1:8" x14ac:dyDescent="0.2">
      <c r="A153" s="2" t="s">
        <v>66</v>
      </c>
      <c r="B153" s="4">
        <v>350</v>
      </c>
      <c r="C153" s="5">
        <v>24.75</v>
      </c>
      <c r="D153" s="4">
        <v>200</v>
      </c>
      <c r="E153" s="5">
        <v>23.34</v>
      </c>
      <c r="F153" s="4">
        <v>150</v>
      </c>
      <c r="G153" s="5">
        <v>27.88</v>
      </c>
      <c r="H153" s="4">
        <v>0</v>
      </c>
    </row>
    <row r="154" spans="1:8" x14ac:dyDescent="0.2">
      <c r="A154" s="2" t="s">
        <v>67</v>
      </c>
      <c r="B154" s="4">
        <v>6</v>
      </c>
      <c r="C154" s="5">
        <v>0.42</v>
      </c>
      <c r="D154" s="4">
        <v>2</v>
      </c>
      <c r="E154" s="5">
        <v>0.23</v>
      </c>
      <c r="F154" s="4">
        <v>4</v>
      </c>
      <c r="G154" s="5">
        <v>0.74</v>
      </c>
      <c r="H154" s="4">
        <v>0</v>
      </c>
    </row>
    <row r="155" spans="1:8" x14ac:dyDescent="0.2">
      <c r="A155" s="2" t="s">
        <v>68</v>
      </c>
      <c r="B155" s="4">
        <v>155</v>
      </c>
      <c r="C155" s="5">
        <v>10.96</v>
      </c>
      <c r="D155" s="4">
        <v>123</v>
      </c>
      <c r="E155" s="5">
        <v>14.35</v>
      </c>
      <c r="F155" s="4">
        <v>32</v>
      </c>
      <c r="G155" s="5">
        <v>5.95</v>
      </c>
      <c r="H155" s="4">
        <v>0</v>
      </c>
    </row>
    <row r="156" spans="1:8" x14ac:dyDescent="0.2">
      <c r="A156" s="2" t="s">
        <v>69</v>
      </c>
      <c r="B156" s="4">
        <v>37</v>
      </c>
      <c r="C156" s="5">
        <v>2.62</v>
      </c>
      <c r="D156" s="4">
        <v>23</v>
      </c>
      <c r="E156" s="5">
        <v>2.68</v>
      </c>
      <c r="F156" s="4">
        <v>14</v>
      </c>
      <c r="G156" s="5">
        <v>2.6</v>
      </c>
      <c r="H156" s="4">
        <v>0</v>
      </c>
    </row>
    <row r="157" spans="1:8" x14ac:dyDescent="0.2">
      <c r="A157" s="2" t="s">
        <v>70</v>
      </c>
      <c r="B157" s="4">
        <v>142</v>
      </c>
      <c r="C157" s="5">
        <v>10.039999999999999</v>
      </c>
      <c r="D157" s="4">
        <v>102</v>
      </c>
      <c r="E157" s="5">
        <v>11.9</v>
      </c>
      <c r="F157" s="4">
        <v>38</v>
      </c>
      <c r="G157" s="5">
        <v>7.06</v>
      </c>
      <c r="H157" s="4">
        <v>0</v>
      </c>
    </row>
    <row r="158" spans="1:8" x14ac:dyDescent="0.2">
      <c r="A158" s="2" t="s">
        <v>71</v>
      </c>
      <c r="B158" s="4">
        <v>170</v>
      </c>
      <c r="C158" s="5">
        <v>12.02</v>
      </c>
      <c r="D158" s="4">
        <v>144</v>
      </c>
      <c r="E158" s="5">
        <v>16.8</v>
      </c>
      <c r="F158" s="4">
        <v>25</v>
      </c>
      <c r="G158" s="5">
        <v>4.6500000000000004</v>
      </c>
      <c r="H158" s="4">
        <v>0</v>
      </c>
    </row>
    <row r="159" spans="1:8" x14ac:dyDescent="0.2">
      <c r="A159" s="2" t="s">
        <v>72</v>
      </c>
      <c r="B159" s="4">
        <v>29</v>
      </c>
      <c r="C159" s="5">
        <v>2.0499999999999998</v>
      </c>
      <c r="D159" s="4">
        <v>19</v>
      </c>
      <c r="E159" s="5">
        <v>2.2200000000000002</v>
      </c>
      <c r="F159" s="4">
        <v>7</v>
      </c>
      <c r="G159" s="5">
        <v>1.3</v>
      </c>
      <c r="H159" s="4">
        <v>0</v>
      </c>
    </row>
    <row r="160" spans="1:8" x14ac:dyDescent="0.2">
      <c r="A160" s="2" t="s">
        <v>73</v>
      </c>
      <c r="B160" s="4">
        <v>57</v>
      </c>
      <c r="C160" s="5">
        <v>4.03</v>
      </c>
      <c r="D160" s="4">
        <v>34</v>
      </c>
      <c r="E160" s="5">
        <v>3.97</v>
      </c>
      <c r="F160" s="4">
        <v>15</v>
      </c>
      <c r="G160" s="5">
        <v>2.79</v>
      </c>
      <c r="H160" s="4">
        <v>0</v>
      </c>
    </row>
    <row r="161" spans="1:8" x14ac:dyDescent="0.2">
      <c r="A161" s="2" t="s">
        <v>74</v>
      </c>
      <c r="B161" s="4">
        <v>54</v>
      </c>
      <c r="C161" s="5">
        <v>3.82</v>
      </c>
      <c r="D161" s="4">
        <v>30</v>
      </c>
      <c r="E161" s="5">
        <v>3.5</v>
      </c>
      <c r="F161" s="4">
        <v>21</v>
      </c>
      <c r="G161" s="5">
        <v>3.9</v>
      </c>
      <c r="H161" s="4">
        <v>2</v>
      </c>
    </row>
    <row r="162" spans="1:8" x14ac:dyDescent="0.2">
      <c r="A162" s="1" t="s">
        <v>10</v>
      </c>
      <c r="B162" s="4">
        <v>997</v>
      </c>
      <c r="C162" s="5">
        <v>100.00000000000001</v>
      </c>
      <c r="D162" s="4">
        <v>589</v>
      </c>
      <c r="E162" s="5">
        <v>99.99</v>
      </c>
      <c r="F162" s="4">
        <v>396</v>
      </c>
      <c r="G162" s="5">
        <v>99.990000000000023</v>
      </c>
      <c r="H162" s="4">
        <v>1</v>
      </c>
    </row>
    <row r="163" spans="1:8" x14ac:dyDescent="0.2">
      <c r="A163" s="2" t="s">
        <v>60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61</v>
      </c>
      <c r="B164" s="4">
        <v>228</v>
      </c>
      <c r="C164" s="5">
        <v>22.87</v>
      </c>
      <c r="D164" s="4">
        <v>115</v>
      </c>
      <c r="E164" s="5">
        <v>19.52</v>
      </c>
      <c r="F164" s="4">
        <v>113</v>
      </c>
      <c r="G164" s="5">
        <v>28.54</v>
      </c>
      <c r="H164" s="4">
        <v>0</v>
      </c>
    </row>
    <row r="165" spans="1:8" x14ac:dyDescent="0.2">
      <c r="A165" s="2" t="s">
        <v>62</v>
      </c>
      <c r="B165" s="4">
        <v>93</v>
      </c>
      <c r="C165" s="5">
        <v>9.33</v>
      </c>
      <c r="D165" s="4">
        <v>40</v>
      </c>
      <c r="E165" s="5">
        <v>6.79</v>
      </c>
      <c r="F165" s="4">
        <v>53</v>
      </c>
      <c r="G165" s="5">
        <v>13.38</v>
      </c>
      <c r="H165" s="4">
        <v>0</v>
      </c>
    </row>
    <row r="166" spans="1:8" x14ac:dyDescent="0.2">
      <c r="A166" s="2" t="s">
        <v>63</v>
      </c>
      <c r="B166" s="4">
        <v>5</v>
      </c>
      <c r="C166" s="5">
        <v>0.5</v>
      </c>
      <c r="D166" s="4">
        <v>0</v>
      </c>
      <c r="E166" s="5">
        <v>0</v>
      </c>
      <c r="F166" s="4">
        <v>5</v>
      </c>
      <c r="G166" s="5">
        <v>1.26</v>
      </c>
      <c r="H166" s="4">
        <v>0</v>
      </c>
    </row>
    <row r="167" spans="1:8" x14ac:dyDescent="0.2">
      <c r="A167" s="2" t="s">
        <v>64</v>
      </c>
      <c r="B167" s="4">
        <v>0</v>
      </c>
      <c r="C167" s="5">
        <v>0</v>
      </c>
      <c r="D167" s="4">
        <v>0</v>
      </c>
      <c r="E167" s="5">
        <v>0</v>
      </c>
      <c r="F167" s="4">
        <v>0</v>
      </c>
      <c r="G167" s="5">
        <v>0</v>
      </c>
      <c r="H167" s="4">
        <v>0</v>
      </c>
    </row>
    <row r="168" spans="1:8" x14ac:dyDescent="0.2">
      <c r="A168" s="2" t="s">
        <v>65</v>
      </c>
      <c r="B168" s="4">
        <v>11</v>
      </c>
      <c r="C168" s="5">
        <v>1.1000000000000001</v>
      </c>
      <c r="D168" s="4">
        <v>3</v>
      </c>
      <c r="E168" s="5">
        <v>0.51</v>
      </c>
      <c r="F168" s="4">
        <v>8</v>
      </c>
      <c r="G168" s="5">
        <v>2.02</v>
      </c>
      <c r="H168" s="4">
        <v>0</v>
      </c>
    </row>
    <row r="169" spans="1:8" x14ac:dyDescent="0.2">
      <c r="A169" s="2" t="s">
        <v>66</v>
      </c>
      <c r="B169" s="4">
        <v>278</v>
      </c>
      <c r="C169" s="5">
        <v>27.88</v>
      </c>
      <c r="D169" s="4">
        <v>167</v>
      </c>
      <c r="E169" s="5">
        <v>28.35</v>
      </c>
      <c r="F169" s="4">
        <v>111</v>
      </c>
      <c r="G169" s="5">
        <v>28.03</v>
      </c>
      <c r="H169" s="4">
        <v>0</v>
      </c>
    </row>
    <row r="170" spans="1:8" x14ac:dyDescent="0.2">
      <c r="A170" s="2" t="s">
        <v>67</v>
      </c>
      <c r="B170" s="4">
        <v>4</v>
      </c>
      <c r="C170" s="5">
        <v>0.4</v>
      </c>
      <c r="D170" s="4">
        <v>1</v>
      </c>
      <c r="E170" s="5">
        <v>0.17</v>
      </c>
      <c r="F170" s="4">
        <v>3</v>
      </c>
      <c r="G170" s="5">
        <v>0.76</v>
      </c>
      <c r="H170" s="4">
        <v>0</v>
      </c>
    </row>
    <row r="171" spans="1:8" x14ac:dyDescent="0.2">
      <c r="A171" s="2" t="s">
        <v>68</v>
      </c>
      <c r="B171" s="4">
        <v>36</v>
      </c>
      <c r="C171" s="5">
        <v>3.61</v>
      </c>
      <c r="D171" s="4">
        <v>24</v>
      </c>
      <c r="E171" s="5">
        <v>4.07</v>
      </c>
      <c r="F171" s="4">
        <v>12</v>
      </c>
      <c r="G171" s="5">
        <v>3.03</v>
      </c>
      <c r="H171" s="4">
        <v>0</v>
      </c>
    </row>
    <row r="172" spans="1:8" x14ac:dyDescent="0.2">
      <c r="A172" s="2" t="s">
        <v>69</v>
      </c>
      <c r="B172" s="4">
        <v>31</v>
      </c>
      <c r="C172" s="5">
        <v>3.11</v>
      </c>
      <c r="D172" s="4">
        <v>13</v>
      </c>
      <c r="E172" s="5">
        <v>2.21</v>
      </c>
      <c r="F172" s="4">
        <v>17</v>
      </c>
      <c r="G172" s="5">
        <v>4.29</v>
      </c>
      <c r="H172" s="4">
        <v>1</v>
      </c>
    </row>
    <row r="173" spans="1:8" x14ac:dyDescent="0.2">
      <c r="A173" s="2" t="s">
        <v>70</v>
      </c>
      <c r="B173" s="4">
        <v>66</v>
      </c>
      <c r="C173" s="5">
        <v>6.62</v>
      </c>
      <c r="D173" s="4">
        <v>52</v>
      </c>
      <c r="E173" s="5">
        <v>8.83</v>
      </c>
      <c r="F173" s="4">
        <v>13</v>
      </c>
      <c r="G173" s="5">
        <v>3.28</v>
      </c>
      <c r="H173" s="4">
        <v>0</v>
      </c>
    </row>
    <row r="174" spans="1:8" x14ac:dyDescent="0.2">
      <c r="A174" s="2" t="s">
        <v>71</v>
      </c>
      <c r="B174" s="4">
        <v>132</v>
      </c>
      <c r="C174" s="5">
        <v>13.24</v>
      </c>
      <c r="D174" s="4">
        <v>115</v>
      </c>
      <c r="E174" s="5">
        <v>19.52</v>
      </c>
      <c r="F174" s="4">
        <v>17</v>
      </c>
      <c r="G174" s="5">
        <v>4.29</v>
      </c>
      <c r="H174" s="4">
        <v>0</v>
      </c>
    </row>
    <row r="175" spans="1:8" x14ac:dyDescent="0.2">
      <c r="A175" s="2" t="s">
        <v>72</v>
      </c>
      <c r="B175" s="4">
        <v>20</v>
      </c>
      <c r="C175" s="5">
        <v>2.0099999999999998</v>
      </c>
      <c r="D175" s="4">
        <v>13</v>
      </c>
      <c r="E175" s="5">
        <v>2.21</v>
      </c>
      <c r="F175" s="4">
        <v>3</v>
      </c>
      <c r="G175" s="5">
        <v>0.76</v>
      </c>
      <c r="H175" s="4">
        <v>0</v>
      </c>
    </row>
    <row r="176" spans="1:8" x14ac:dyDescent="0.2">
      <c r="A176" s="2" t="s">
        <v>73</v>
      </c>
      <c r="B176" s="4">
        <v>43</v>
      </c>
      <c r="C176" s="5">
        <v>4.3099999999999996</v>
      </c>
      <c r="D176" s="4">
        <v>16</v>
      </c>
      <c r="E176" s="5">
        <v>2.72</v>
      </c>
      <c r="F176" s="4">
        <v>21</v>
      </c>
      <c r="G176" s="5">
        <v>5.3</v>
      </c>
      <c r="H176" s="4">
        <v>0</v>
      </c>
    </row>
    <row r="177" spans="1:8" x14ac:dyDescent="0.2">
      <c r="A177" s="2" t="s">
        <v>74</v>
      </c>
      <c r="B177" s="4">
        <v>50</v>
      </c>
      <c r="C177" s="5">
        <v>5.0199999999999996</v>
      </c>
      <c r="D177" s="4">
        <v>30</v>
      </c>
      <c r="E177" s="5">
        <v>5.09</v>
      </c>
      <c r="F177" s="4">
        <v>20</v>
      </c>
      <c r="G177" s="5">
        <v>5.05</v>
      </c>
      <c r="H177" s="4">
        <v>0</v>
      </c>
    </row>
    <row r="178" spans="1:8" x14ac:dyDescent="0.2">
      <c r="A178" s="1" t="s">
        <v>11</v>
      </c>
      <c r="B178" s="4">
        <v>1519</v>
      </c>
      <c r="C178" s="5">
        <v>100</v>
      </c>
      <c r="D178" s="4">
        <v>798</v>
      </c>
      <c r="E178" s="5">
        <v>100</v>
      </c>
      <c r="F178" s="4">
        <v>688</v>
      </c>
      <c r="G178" s="5">
        <v>100.00999999999999</v>
      </c>
      <c r="H178" s="4">
        <v>5</v>
      </c>
    </row>
    <row r="179" spans="1:8" x14ac:dyDescent="0.2">
      <c r="A179" s="2" t="s">
        <v>60</v>
      </c>
      <c r="B179" s="4">
        <v>1</v>
      </c>
      <c r="C179" s="5">
        <v>7.0000000000000007E-2</v>
      </c>
      <c r="D179" s="4">
        <v>0</v>
      </c>
      <c r="E179" s="5">
        <v>0</v>
      </c>
      <c r="F179" s="4">
        <v>1</v>
      </c>
      <c r="G179" s="5">
        <v>0.15</v>
      </c>
      <c r="H179" s="4">
        <v>0</v>
      </c>
    </row>
    <row r="180" spans="1:8" x14ac:dyDescent="0.2">
      <c r="A180" s="2" t="s">
        <v>61</v>
      </c>
      <c r="B180" s="4">
        <v>234</v>
      </c>
      <c r="C180" s="5">
        <v>15.4</v>
      </c>
      <c r="D180" s="4">
        <v>59</v>
      </c>
      <c r="E180" s="5">
        <v>7.39</v>
      </c>
      <c r="F180" s="4">
        <v>175</v>
      </c>
      <c r="G180" s="5">
        <v>25.44</v>
      </c>
      <c r="H180" s="4">
        <v>0</v>
      </c>
    </row>
    <row r="181" spans="1:8" x14ac:dyDescent="0.2">
      <c r="A181" s="2" t="s">
        <v>62</v>
      </c>
      <c r="B181" s="4">
        <v>139</v>
      </c>
      <c r="C181" s="5">
        <v>9.15</v>
      </c>
      <c r="D181" s="4">
        <v>63</v>
      </c>
      <c r="E181" s="5">
        <v>7.89</v>
      </c>
      <c r="F181" s="4">
        <v>76</v>
      </c>
      <c r="G181" s="5">
        <v>11.05</v>
      </c>
      <c r="H181" s="4">
        <v>0</v>
      </c>
    </row>
    <row r="182" spans="1:8" x14ac:dyDescent="0.2">
      <c r="A182" s="2" t="s">
        <v>63</v>
      </c>
      <c r="B182" s="4">
        <v>9</v>
      </c>
      <c r="C182" s="5">
        <v>0.59</v>
      </c>
      <c r="D182" s="4">
        <v>0</v>
      </c>
      <c r="E182" s="5">
        <v>0</v>
      </c>
      <c r="F182" s="4">
        <v>9</v>
      </c>
      <c r="G182" s="5">
        <v>1.31</v>
      </c>
      <c r="H182" s="4">
        <v>0</v>
      </c>
    </row>
    <row r="183" spans="1:8" x14ac:dyDescent="0.2">
      <c r="A183" s="2" t="s">
        <v>64</v>
      </c>
      <c r="B183" s="4">
        <v>16</v>
      </c>
      <c r="C183" s="5">
        <v>1.05</v>
      </c>
      <c r="D183" s="4">
        <v>1</v>
      </c>
      <c r="E183" s="5">
        <v>0.13</v>
      </c>
      <c r="F183" s="4">
        <v>15</v>
      </c>
      <c r="G183" s="5">
        <v>2.1800000000000002</v>
      </c>
      <c r="H183" s="4">
        <v>0</v>
      </c>
    </row>
    <row r="184" spans="1:8" x14ac:dyDescent="0.2">
      <c r="A184" s="2" t="s">
        <v>65</v>
      </c>
      <c r="B184" s="4">
        <v>12</v>
      </c>
      <c r="C184" s="5">
        <v>0.79</v>
      </c>
      <c r="D184" s="4">
        <v>0</v>
      </c>
      <c r="E184" s="5">
        <v>0</v>
      </c>
      <c r="F184" s="4">
        <v>12</v>
      </c>
      <c r="G184" s="5">
        <v>1.74</v>
      </c>
      <c r="H184" s="4">
        <v>0</v>
      </c>
    </row>
    <row r="185" spans="1:8" x14ac:dyDescent="0.2">
      <c r="A185" s="2" t="s">
        <v>66</v>
      </c>
      <c r="B185" s="4">
        <v>352</v>
      </c>
      <c r="C185" s="5">
        <v>23.17</v>
      </c>
      <c r="D185" s="4">
        <v>174</v>
      </c>
      <c r="E185" s="5">
        <v>21.8</v>
      </c>
      <c r="F185" s="4">
        <v>177</v>
      </c>
      <c r="G185" s="5">
        <v>25.73</v>
      </c>
      <c r="H185" s="4">
        <v>1</v>
      </c>
    </row>
    <row r="186" spans="1:8" x14ac:dyDescent="0.2">
      <c r="A186" s="2" t="s">
        <v>67</v>
      </c>
      <c r="B186" s="4">
        <v>13</v>
      </c>
      <c r="C186" s="5">
        <v>0.86</v>
      </c>
      <c r="D186" s="4">
        <v>3</v>
      </c>
      <c r="E186" s="5">
        <v>0.38</v>
      </c>
      <c r="F186" s="4">
        <v>10</v>
      </c>
      <c r="G186" s="5">
        <v>1.45</v>
      </c>
      <c r="H186" s="4">
        <v>0</v>
      </c>
    </row>
    <row r="187" spans="1:8" x14ac:dyDescent="0.2">
      <c r="A187" s="2" t="s">
        <v>68</v>
      </c>
      <c r="B187" s="4">
        <v>139</v>
      </c>
      <c r="C187" s="5">
        <v>9.15</v>
      </c>
      <c r="D187" s="4">
        <v>84</v>
      </c>
      <c r="E187" s="5">
        <v>10.53</v>
      </c>
      <c r="F187" s="4">
        <v>55</v>
      </c>
      <c r="G187" s="5">
        <v>7.99</v>
      </c>
      <c r="H187" s="4">
        <v>0</v>
      </c>
    </row>
    <row r="188" spans="1:8" x14ac:dyDescent="0.2">
      <c r="A188" s="2" t="s">
        <v>69</v>
      </c>
      <c r="B188" s="4">
        <v>70</v>
      </c>
      <c r="C188" s="5">
        <v>4.6100000000000003</v>
      </c>
      <c r="D188" s="4">
        <v>35</v>
      </c>
      <c r="E188" s="5">
        <v>4.3899999999999997</v>
      </c>
      <c r="F188" s="4">
        <v>35</v>
      </c>
      <c r="G188" s="5">
        <v>5.09</v>
      </c>
      <c r="H188" s="4">
        <v>0</v>
      </c>
    </row>
    <row r="189" spans="1:8" x14ac:dyDescent="0.2">
      <c r="A189" s="2" t="s">
        <v>70</v>
      </c>
      <c r="B189" s="4">
        <v>147</v>
      </c>
      <c r="C189" s="5">
        <v>9.68</v>
      </c>
      <c r="D189" s="4">
        <v>108</v>
      </c>
      <c r="E189" s="5">
        <v>13.53</v>
      </c>
      <c r="F189" s="4">
        <v>38</v>
      </c>
      <c r="G189" s="5">
        <v>5.52</v>
      </c>
      <c r="H189" s="4">
        <v>0</v>
      </c>
    </row>
    <row r="190" spans="1:8" x14ac:dyDescent="0.2">
      <c r="A190" s="2" t="s">
        <v>71</v>
      </c>
      <c r="B190" s="4">
        <v>199</v>
      </c>
      <c r="C190" s="5">
        <v>13.1</v>
      </c>
      <c r="D190" s="4">
        <v>165</v>
      </c>
      <c r="E190" s="5">
        <v>20.68</v>
      </c>
      <c r="F190" s="4">
        <v>34</v>
      </c>
      <c r="G190" s="5">
        <v>4.9400000000000004</v>
      </c>
      <c r="H190" s="4">
        <v>0</v>
      </c>
    </row>
    <row r="191" spans="1:8" x14ac:dyDescent="0.2">
      <c r="A191" s="2" t="s">
        <v>72</v>
      </c>
      <c r="B191" s="4">
        <v>51</v>
      </c>
      <c r="C191" s="5">
        <v>3.36</v>
      </c>
      <c r="D191" s="4">
        <v>35</v>
      </c>
      <c r="E191" s="5">
        <v>4.3899999999999997</v>
      </c>
      <c r="F191" s="4">
        <v>7</v>
      </c>
      <c r="G191" s="5">
        <v>1.02</v>
      </c>
      <c r="H191" s="4">
        <v>1</v>
      </c>
    </row>
    <row r="192" spans="1:8" x14ac:dyDescent="0.2">
      <c r="A192" s="2" t="s">
        <v>73</v>
      </c>
      <c r="B192" s="4">
        <v>89</v>
      </c>
      <c r="C192" s="5">
        <v>5.86</v>
      </c>
      <c r="D192" s="4">
        <v>46</v>
      </c>
      <c r="E192" s="5">
        <v>5.76</v>
      </c>
      <c r="F192" s="4">
        <v>24</v>
      </c>
      <c r="G192" s="5">
        <v>3.49</v>
      </c>
      <c r="H192" s="4">
        <v>0</v>
      </c>
    </row>
    <row r="193" spans="1:8" x14ac:dyDescent="0.2">
      <c r="A193" s="2" t="s">
        <v>74</v>
      </c>
      <c r="B193" s="4">
        <v>48</v>
      </c>
      <c r="C193" s="5">
        <v>3.16</v>
      </c>
      <c r="D193" s="4">
        <v>25</v>
      </c>
      <c r="E193" s="5">
        <v>3.13</v>
      </c>
      <c r="F193" s="4">
        <v>20</v>
      </c>
      <c r="G193" s="5">
        <v>2.91</v>
      </c>
      <c r="H193" s="4">
        <v>3</v>
      </c>
    </row>
    <row r="194" spans="1:8" x14ac:dyDescent="0.2">
      <c r="A194" s="1" t="s">
        <v>12</v>
      </c>
      <c r="B194" s="4">
        <v>1521</v>
      </c>
      <c r="C194" s="5">
        <v>100.00999999999999</v>
      </c>
      <c r="D194" s="4">
        <v>970</v>
      </c>
      <c r="E194" s="5">
        <v>100</v>
      </c>
      <c r="F194" s="4">
        <v>538</v>
      </c>
      <c r="G194" s="5">
        <v>99.999999999999986</v>
      </c>
      <c r="H194" s="4">
        <v>8</v>
      </c>
    </row>
    <row r="195" spans="1:8" x14ac:dyDescent="0.2">
      <c r="A195" s="2" t="s">
        <v>60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61</v>
      </c>
      <c r="B196" s="4">
        <v>294</v>
      </c>
      <c r="C196" s="5">
        <v>19.329999999999998</v>
      </c>
      <c r="D196" s="4">
        <v>153</v>
      </c>
      <c r="E196" s="5">
        <v>15.77</v>
      </c>
      <c r="F196" s="4">
        <v>141</v>
      </c>
      <c r="G196" s="5">
        <v>26.21</v>
      </c>
      <c r="H196" s="4">
        <v>0</v>
      </c>
    </row>
    <row r="197" spans="1:8" x14ac:dyDescent="0.2">
      <c r="A197" s="2" t="s">
        <v>62</v>
      </c>
      <c r="B197" s="4">
        <v>137</v>
      </c>
      <c r="C197" s="5">
        <v>9.01</v>
      </c>
      <c r="D197" s="4">
        <v>60</v>
      </c>
      <c r="E197" s="5">
        <v>6.19</v>
      </c>
      <c r="F197" s="4">
        <v>77</v>
      </c>
      <c r="G197" s="5">
        <v>14.31</v>
      </c>
      <c r="H197" s="4">
        <v>0</v>
      </c>
    </row>
    <row r="198" spans="1:8" x14ac:dyDescent="0.2">
      <c r="A198" s="2" t="s">
        <v>63</v>
      </c>
      <c r="B198" s="4">
        <v>1</v>
      </c>
      <c r="C198" s="5">
        <v>7.0000000000000007E-2</v>
      </c>
      <c r="D198" s="4">
        <v>0</v>
      </c>
      <c r="E198" s="5">
        <v>0</v>
      </c>
      <c r="F198" s="4">
        <v>1</v>
      </c>
      <c r="G198" s="5">
        <v>0.19</v>
      </c>
      <c r="H198" s="4">
        <v>0</v>
      </c>
    </row>
    <row r="199" spans="1:8" x14ac:dyDescent="0.2">
      <c r="A199" s="2" t="s">
        <v>64</v>
      </c>
      <c r="B199" s="4">
        <v>5</v>
      </c>
      <c r="C199" s="5">
        <v>0.33</v>
      </c>
      <c r="D199" s="4">
        <v>0</v>
      </c>
      <c r="E199" s="5">
        <v>0</v>
      </c>
      <c r="F199" s="4">
        <v>4</v>
      </c>
      <c r="G199" s="5">
        <v>0.74</v>
      </c>
      <c r="H199" s="4">
        <v>0</v>
      </c>
    </row>
    <row r="200" spans="1:8" x14ac:dyDescent="0.2">
      <c r="A200" s="2" t="s">
        <v>65</v>
      </c>
      <c r="B200" s="4">
        <v>24</v>
      </c>
      <c r="C200" s="5">
        <v>1.58</v>
      </c>
      <c r="D200" s="4">
        <v>12</v>
      </c>
      <c r="E200" s="5">
        <v>1.24</v>
      </c>
      <c r="F200" s="4">
        <v>12</v>
      </c>
      <c r="G200" s="5">
        <v>2.23</v>
      </c>
      <c r="H200" s="4">
        <v>0</v>
      </c>
    </row>
    <row r="201" spans="1:8" x14ac:dyDescent="0.2">
      <c r="A201" s="2" t="s">
        <v>66</v>
      </c>
      <c r="B201" s="4">
        <v>381</v>
      </c>
      <c r="C201" s="5">
        <v>25.05</v>
      </c>
      <c r="D201" s="4">
        <v>221</v>
      </c>
      <c r="E201" s="5">
        <v>22.78</v>
      </c>
      <c r="F201" s="4">
        <v>157</v>
      </c>
      <c r="G201" s="5">
        <v>29.18</v>
      </c>
      <c r="H201" s="4">
        <v>3</v>
      </c>
    </row>
    <row r="202" spans="1:8" x14ac:dyDescent="0.2">
      <c r="A202" s="2" t="s">
        <v>67</v>
      </c>
      <c r="B202" s="4">
        <v>7</v>
      </c>
      <c r="C202" s="5">
        <v>0.46</v>
      </c>
      <c r="D202" s="4">
        <v>3</v>
      </c>
      <c r="E202" s="5">
        <v>0.31</v>
      </c>
      <c r="F202" s="4">
        <v>4</v>
      </c>
      <c r="G202" s="5">
        <v>0.74</v>
      </c>
      <c r="H202" s="4">
        <v>0</v>
      </c>
    </row>
    <row r="203" spans="1:8" x14ac:dyDescent="0.2">
      <c r="A203" s="2" t="s">
        <v>68</v>
      </c>
      <c r="B203" s="4">
        <v>178</v>
      </c>
      <c r="C203" s="5">
        <v>11.7</v>
      </c>
      <c r="D203" s="4">
        <v>135</v>
      </c>
      <c r="E203" s="5">
        <v>13.92</v>
      </c>
      <c r="F203" s="4">
        <v>43</v>
      </c>
      <c r="G203" s="5">
        <v>7.99</v>
      </c>
      <c r="H203" s="4">
        <v>0</v>
      </c>
    </row>
    <row r="204" spans="1:8" x14ac:dyDescent="0.2">
      <c r="A204" s="2" t="s">
        <v>69</v>
      </c>
      <c r="B204" s="4">
        <v>39</v>
      </c>
      <c r="C204" s="5">
        <v>2.56</v>
      </c>
      <c r="D204" s="4">
        <v>24</v>
      </c>
      <c r="E204" s="5">
        <v>2.4700000000000002</v>
      </c>
      <c r="F204" s="4">
        <v>13</v>
      </c>
      <c r="G204" s="5">
        <v>2.42</v>
      </c>
      <c r="H204" s="4">
        <v>1</v>
      </c>
    </row>
    <row r="205" spans="1:8" x14ac:dyDescent="0.2">
      <c r="A205" s="2" t="s">
        <v>70</v>
      </c>
      <c r="B205" s="4">
        <v>125</v>
      </c>
      <c r="C205" s="5">
        <v>8.2200000000000006</v>
      </c>
      <c r="D205" s="4">
        <v>111</v>
      </c>
      <c r="E205" s="5">
        <v>11.44</v>
      </c>
      <c r="F205" s="4">
        <v>12</v>
      </c>
      <c r="G205" s="5">
        <v>2.23</v>
      </c>
      <c r="H205" s="4">
        <v>0</v>
      </c>
    </row>
    <row r="206" spans="1:8" x14ac:dyDescent="0.2">
      <c r="A206" s="2" t="s">
        <v>71</v>
      </c>
      <c r="B206" s="4">
        <v>198</v>
      </c>
      <c r="C206" s="5">
        <v>13.02</v>
      </c>
      <c r="D206" s="4">
        <v>168</v>
      </c>
      <c r="E206" s="5">
        <v>17.32</v>
      </c>
      <c r="F206" s="4">
        <v>30</v>
      </c>
      <c r="G206" s="5">
        <v>5.58</v>
      </c>
      <c r="H206" s="4">
        <v>0</v>
      </c>
    </row>
    <row r="207" spans="1:8" x14ac:dyDescent="0.2">
      <c r="A207" s="2" t="s">
        <v>72</v>
      </c>
      <c r="B207" s="4">
        <v>31</v>
      </c>
      <c r="C207" s="5">
        <v>2.04</v>
      </c>
      <c r="D207" s="4">
        <v>22</v>
      </c>
      <c r="E207" s="5">
        <v>2.27</v>
      </c>
      <c r="F207" s="4">
        <v>7</v>
      </c>
      <c r="G207" s="5">
        <v>1.3</v>
      </c>
      <c r="H207" s="4">
        <v>2</v>
      </c>
    </row>
    <row r="208" spans="1:8" x14ac:dyDescent="0.2">
      <c r="A208" s="2" t="s">
        <v>73</v>
      </c>
      <c r="B208" s="4">
        <v>46</v>
      </c>
      <c r="C208" s="5">
        <v>3.02</v>
      </c>
      <c r="D208" s="4">
        <v>33</v>
      </c>
      <c r="E208" s="5">
        <v>3.4</v>
      </c>
      <c r="F208" s="4">
        <v>13</v>
      </c>
      <c r="G208" s="5">
        <v>2.42</v>
      </c>
      <c r="H208" s="4">
        <v>0</v>
      </c>
    </row>
    <row r="209" spans="1:8" x14ac:dyDescent="0.2">
      <c r="A209" s="2" t="s">
        <v>74</v>
      </c>
      <c r="B209" s="4">
        <v>55</v>
      </c>
      <c r="C209" s="5">
        <v>3.62</v>
      </c>
      <c r="D209" s="4">
        <v>28</v>
      </c>
      <c r="E209" s="5">
        <v>2.89</v>
      </c>
      <c r="F209" s="4">
        <v>24</v>
      </c>
      <c r="G209" s="5">
        <v>4.46</v>
      </c>
      <c r="H209" s="4">
        <v>2</v>
      </c>
    </row>
    <row r="210" spans="1:8" x14ac:dyDescent="0.2">
      <c r="A210" s="1" t="s">
        <v>13</v>
      </c>
      <c r="B210" s="4">
        <v>740</v>
      </c>
      <c r="C210" s="5">
        <v>100</v>
      </c>
      <c r="D210" s="4">
        <v>417</v>
      </c>
      <c r="E210" s="5">
        <v>100.01999999999998</v>
      </c>
      <c r="F210" s="4">
        <v>317</v>
      </c>
      <c r="G210" s="5">
        <v>99.99</v>
      </c>
      <c r="H210" s="4">
        <v>0</v>
      </c>
    </row>
    <row r="211" spans="1:8" x14ac:dyDescent="0.2">
      <c r="A211" s="2" t="s">
        <v>60</v>
      </c>
      <c r="B211" s="4">
        <v>2</v>
      </c>
      <c r="C211" s="5">
        <v>0.27</v>
      </c>
      <c r="D211" s="4">
        <v>1</v>
      </c>
      <c r="E211" s="5">
        <v>0.24</v>
      </c>
      <c r="F211" s="4">
        <v>1</v>
      </c>
      <c r="G211" s="5">
        <v>0.32</v>
      </c>
      <c r="H211" s="4">
        <v>0</v>
      </c>
    </row>
    <row r="212" spans="1:8" x14ac:dyDescent="0.2">
      <c r="A212" s="2" t="s">
        <v>61</v>
      </c>
      <c r="B212" s="4">
        <v>157</v>
      </c>
      <c r="C212" s="5">
        <v>21.22</v>
      </c>
      <c r="D212" s="4">
        <v>77</v>
      </c>
      <c r="E212" s="5">
        <v>18.47</v>
      </c>
      <c r="F212" s="4">
        <v>80</v>
      </c>
      <c r="G212" s="5">
        <v>25.24</v>
      </c>
      <c r="H212" s="4">
        <v>0</v>
      </c>
    </row>
    <row r="213" spans="1:8" x14ac:dyDescent="0.2">
      <c r="A213" s="2" t="s">
        <v>62</v>
      </c>
      <c r="B213" s="4">
        <v>69</v>
      </c>
      <c r="C213" s="5">
        <v>9.32</v>
      </c>
      <c r="D213" s="4">
        <v>28</v>
      </c>
      <c r="E213" s="5">
        <v>6.71</v>
      </c>
      <c r="F213" s="4">
        <v>41</v>
      </c>
      <c r="G213" s="5">
        <v>12.93</v>
      </c>
      <c r="H213" s="4">
        <v>0</v>
      </c>
    </row>
    <row r="214" spans="1:8" x14ac:dyDescent="0.2">
      <c r="A214" s="2" t="s">
        <v>63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2">
      <c r="A215" s="2" t="s">
        <v>64</v>
      </c>
      <c r="B215" s="4">
        <v>3</v>
      </c>
      <c r="C215" s="5">
        <v>0.41</v>
      </c>
      <c r="D215" s="4">
        <v>1</v>
      </c>
      <c r="E215" s="5">
        <v>0.24</v>
      </c>
      <c r="F215" s="4">
        <v>2</v>
      </c>
      <c r="G215" s="5">
        <v>0.63</v>
      </c>
      <c r="H215" s="4">
        <v>0</v>
      </c>
    </row>
    <row r="216" spans="1:8" x14ac:dyDescent="0.2">
      <c r="A216" s="2" t="s">
        <v>65</v>
      </c>
      <c r="B216" s="4">
        <v>13</v>
      </c>
      <c r="C216" s="5">
        <v>1.76</v>
      </c>
      <c r="D216" s="4">
        <v>3</v>
      </c>
      <c r="E216" s="5">
        <v>0.72</v>
      </c>
      <c r="F216" s="4">
        <v>10</v>
      </c>
      <c r="G216" s="5">
        <v>3.15</v>
      </c>
      <c r="H216" s="4">
        <v>0</v>
      </c>
    </row>
    <row r="217" spans="1:8" x14ac:dyDescent="0.2">
      <c r="A217" s="2" t="s">
        <v>66</v>
      </c>
      <c r="B217" s="4">
        <v>147</v>
      </c>
      <c r="C217" s="5">
        <v>19.86</v>
      </c>
      <c r="D217" s="4">
        <v>75</v>
      </c>
      <c r="E217" s="5">
        <v>17.989999999999998</v>
      </c>
      <c r="F217" s="4">
        <v>72</v>
      </c>
      <c r="G217" s="5">
        <v>22.71</v>
      </c>
      <c r="H217" s="4">
        <v>0</v>
      </c>
    </row>
    <row r="218" spans="1:8" x14ac:dyDescent="0.2">
      <c r="A218" s="2" t="s">
        <v>67</v>
      </c>
      <c r="B218" s="4">
        <v>3</v>
      </c>
      <c r="C218" s="5">
        <v>0.41</v>
      </c>
      <c r="D218" s="4">
        <v>3</v>
      </c>
      <c r="E218" s="5">
        <v>0.72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68</v>
      </c>
      <c r="B219" s="4">
        <v>88</v>
      </c>
      <c r="C219" s="5">
        <v>11.89</v>
      </c>
      <c r="D219" s="4">
        <v>60</v>
      </c>
      <c r="E219" s="5">
        <v>14.39</v>
      </c>
      <c r="F219" s="4">
        <v>28</v>
      </c>
      <c r="G219" s="5">
        <v>8.83</v>
      </c>
      <c r="H219" s="4">
        <v>0</v>
      </c>
    </row>
    <row r="220" spans="1:8" x14ac:dyDescent="0.2">
      <c r="A220" s="2" t="s">
        <v>69</v>
      </c>
      <c r="B220" s="4">
        <v>29</v>
      </c>
      <c r="C220" s="5">
        <v>3.92</v>
      </c>
      <c r="D220" s="4">
        <v>16</v>
      </c>
      <c r="E220" s="5">
        <v>3.84</v>
      </c>
      <c r="F220" s="4">
        <v>13</v>
      </c>
      <c r="G220" s="5">
        <v>4.0999999999999996</v>
      </c>
      <c r="H220" s="4">
        <v>0</v>
      </c>
    </row>
    <row r="221" spans="1:8" x14ac:dyDescent="0.2">
      <c r="A221" s="2" t="s">
        <v>70</v>
      </c>
      <c r="B221" s="4">
        <v>59</v>
      </c>
      <c r="C221" s="5">
        <v>7.97</v>
      </c>
      <c r="D221" s="4">
        <v>43</v>
      </c>
      <c r="E221" s="5">
        <v>10.31</v>
      </c>
      <c r="F221" s="4">
        <v>16</v>
      </c>
      <c r="G221" s="5">
        <v>5.05</v>
      </c>
      <c r="H221" s="4">
        <v>0</v>
      </c>
    </row>
    <row r="222" spans="1:8" x14ac:dyDescent="0.2">
      <c r="A222" s="2" t="s">
        <v>71</v>
      </c>
      <c r="B222" s="4">
        <v>87</v>
      </c>
      <c r="C222" s="5">
        <v>11.76</v>
      </c>
      <c r="D222" s="4">
        <v>72</v>
      </c>
      <c r="E222" s="5">
        <v>17.27</v>
      </c>
      <c r="F222" s="4">
        <v>15</v>
      </c>
      <c r="G222" s="5">
        <v>4.7300000000000004</v>
      </c>
      <c r="H222" s="4">
        <v>0</v>
      </c>
    </row>
    <row r="223" spans="1:8" x14ac:dyDescent="0.2">
      <c r="A223" s="2" t="s">
        <v>72</v>
      </c>
      <c r="B223" s="4">
        <v>18</v>
      </c>
      <c r="C223" s="5">
        <v>2.4300000000000002</v>
      </c>
      <c r="D223" s="4">
        <v>8</v>
      </c>
      <c r="E223" s="5">
        <v>1.92</v>
      </c>
      <c r="F223" s="4">
        <v>6</v>
      </c>
      <c r="G223" s="5">
        <v>1.89</v>
      </c>
      <c r="H223" s="4">
        <v>0</v>
      </c>
    </row>
    <row r="224" spans="1:8" x14ac:dyDescent="0.2">
      <c r="A224" s="2" t="s">
        <v>73</v>
      </c>
      <c r="B224" s="4">
        <v>41</v>
      </c>
      <c r="C224" s="5">
        <v>5.54</v>
      </c>
      <c r="D224" s="4">
        <v>18</v>
      </c>
      <c r="E224" s="5">
        <v>4.32</v>
      </c>
      <c r="F224" s="4">
        <v>21</v>
      </c>
      <c r="G224" s="5">
        <v>6.62</v>
      </c>
      <c r="H224" s="4">
        <v>0</v>
      </c>
    </row>
    <row r="225" spans="1:8" x14ac:dyDescent="0.2">
      <c r="A225" s="2" t="s">
        <v>74</v>
      </c>
      <c r="B225" s="4">
        <v>24</v>
      </c>
      <c r="C225" s="5">
        <v>3.24</v>
      </c>
      <c r="D225" s="4">
        <v>12</v>
      </c>
      <c r="E225" s="5">
        <v>2.88</v>
      </c>
      <c r="F225" s="4">
        <v>12</v>
      </c>
      <c r="G225" s="5">
        <v>3.79</v>
      </c>
      <c r="H225" s="4">
        <v>0</v>
      </c>
    </row>
    <row r="226" spans="1:8" x14ac:dyDescent="0.2">
      <c r="A226" s="1" t="s">
        <v>14</v>
      </c>
      <c r="B226" s="4">
        <v>263</v>
      </c>
      <c r="C226" s="5">
        <v>100</v>
      </c>
      <c r="D226" s="4">
        <v>158</v>
      </c>
      <c r="E226" s="5">
        <v>100.01000000000002</v>
      </c>
      <c r="F226" s="4">
        <v>100</v>
      </c>
      <c r="G226" s="5">
        <v>100</v>
      </c>
      <c r="H226" s="4">
        <v>1</v>
      </c>
    </row>
    <row r="227" spans="1:8" x14ac:dyDescent="0.2">
      <c r="A227" s="2" t="s">
        <v>60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61</v>
      </c>
      <c r="B228" s="4">
        <v>49</v>
      </c>
      <c r="C228" s="5">
        <v>18.63</v>
      </c>
      <c r="D228" s="4">
        <v>25</v>
      </c>
      <c r="E228" s="5">
        <v>15.82</v>
      </c>
      <c r="F228" s="4">
        <v>24</v>
      </c>
      <c r="G228" s="5">
        <v>24</v>
      </c>
      <c r="H228" s="4">
        <v>0</v>
      </c>
    </row>
    <row r="229" spans="1:8" x14ac:dyDescent="0.2">
      <c r="A229" s="2" t="s">
        <v>62</v>
      </c>
      <c r="B229" s="4">
        <v>23</v>
      </c>
      <c r="C229" s="5">
        <v>8.75</v>
      </c>
      <c r="D229" s="4">
        <v>6</v>
      </c>
      <c r="E229" s="5">
        <v>3.8</v>
      </c>
      <c r="F229" s="4">
        <v>17</v>
      </c>
      <c r="G229" s="5">
        <v>17</v>
      </c>
      <c r="H229" s="4">
        <v>0</v>
      </c>
    </row>
    <row r="230" spans="1:8" x14ac:dyDescent="0.2">
      <c r="A230" s="2" t="s">
        <v>63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64</v>
      </c>
      <c r="B231" s="4">
        <v>2</v>
      </c>
      <c r="C231" s="5">
        <v>0.76</v>
      </c>
      <c r="D231" s="4">
        <v>2</v>
      </c>
      <c r="E231" s="5">
        <v>1.27</v>
      </c>
      <c r="F231" s="4">
        <v>0</v>
      </c>
      <c r="G231" s="5">
        <v>0</v>
      </c>
      <c r="H231" s="4">
        <v>0</v>
      </c>
    </row>
    <row r="232" spans="1:8" x14ac:dyDescent="0.2">
      <c r="A232" s="2" t="s">
        <v>65</v>
      </c>
      <c r="B232" s="4">
        <v>2</v>
      </c>
      <c r="C232" s="5">
        <v>0.76</v>
      </c>
      <c r="D232" s="4">
        <v>2</v>
      </c>
      <c r="E232" s="5">
        <v>1.27</v>
      </c>
      <c r="F232" s="4">
        <v>0</v>
      </c>
      <c r="G232" s="5">
        <v>0</v>
      </c>
      <c r="H232" s="4">
        <v>0</v>
      </c>
    </row>
    <row r="233" spans="1:8" x14ac:dyDescent="0.2">
      <c r="A233" s="2" t="s">
        <v>66</v>
      </c>
      <c r="B233" s="4">
        <v>66</v>
      </c>
      <c r="C233" s="5">
        <v>25.1</v>
      </c>
      <c r="D233" s="4">
        <v>35</v>
      </c>
      <c r="E233" s="5">
        <v>22.15</v>
      </c>
      <c r="F233" s="4">
        <v>30</v>
      </c>
      <c r="G233" s="5">
        <v>30</v>
      </c>
      <c r="H233" s="4">
        <v>1</v>
      </c>
    </row>
    <row r="234" spans="1:8" x14ac:dyDescent="0.2">
      <c r="A234" s="2" t="s">
        <v>67</v>
      </c>
      <c r="B234" s="4">
        <v>2</v>
      </c>
      <c r="C234" s="5">
        <v>0.76</v>
      </c>
      <c r="D234" s="4">
        <v>0</v>
      </c>
      <c r="E234" s="5">
        <v>0</v>
      </c>
      <c r="F234" s="4">
        <v>2</v>
      </c>
      <c r="G234" s="5">
        <v>2</v>
      </c>
      <c r="H234" s="4">
        <v>0</v>
      </c>
    </row>
    <row r="235" spans="1:8" x14ac:dyDescent="0.2">
      <c r="A235" s="2" t="s">
        <v>68</v>
      </c>
      <c r="B235" s="4">
        <v>29</v>
      </c>
      <c r="C235" s="5">
        <v>11.03</v>
      </c>
      <c r="D235" s="4">
        <v>18</v>
      </c>
      <c r="E235" s="5">
        <v>11.39</v>
      </c>
      <c r="F235" s="4">
        <v>11</v>
      </c>
      <c r="G235" s="5">
        <v>11</v>
      </c>
      <c r="H235" s="4">
        <v>0</v>
      </c>
    </row>
    <row r="236" spans="1:8" x14ac:dyDescent="0.2">
      <c r="A236" s="2" t="s">
        <v>69</v>
      </c>
      <c r="B236" s="4">
        <v>11</v>
      </c>
      <c r="C236" s="5">
        <v>4.18</v>
      </c>
      <c r="D236" s="4">
        <v>7</v>
      </c>
      <c r="E236" s="5">
        <v>4.43</v>
      </c>
      <c r="F236" s="4">
        <v>3</v>
      </c>
      <c r="G236" s="5">
        <v>3</v>
      </c>
      <c r="H236" s="4">
        <v>0</v>
      </c>
    </row>
    <row r="237" spans="1:8" x14ac:dyDescent="0.2">
      <c r="A237" s="2" t="s">
        <v>70</v>
      </c>
      <c r="B237" s="4">
        <v>11</v>
      </c>
      <c r="C237" s="5">
        <v>4.18</v>
      </c>
      <c r="D237" s="4">
        <v>10</v>
      </c>
      <c r="E237" s="5">
        <v>6.33</v>
      </c>
      <c r="F237" s="4">
        <v>0</v>
      </c>
      <c r="G237" s="5">
        <v>0</v>
      </c>
      <c r="H237" s="4">
        <v>0</v>
      </c>
    </row>
    <row r="238" spans="1:8" x14ac:dyDescent="0.2">
      <c r="A238" s="2" t="s">
        <v>71</v>
      </c>
      <c r="B238" s="4">
        <v>29</v>
      </c>
      <c r="C238" s="5">
        <v>11.03</v>
      </c>
      <c r="D238" s="4">
        <v>26</v>
      </c>
      <c r="E238" s="5">
        <v>16.46</v>
      </c>
      <c r="F238" s="4">
        <v>3</v>
      </c>
      <c r="G238" s="5">
        <v>3</v>
      </c>
      <c r="H238" s="4">
        <v>0</v>
      </c>
    </row>
    <row r="239" spans="1:8" x14ac:dyDescent="0.2">
      <c r="A239" s="2" t="s">
        <v>72</v>
      </c>
      <c r="B239" s="4">
        <v>16</v>
      </c>
      <c r="C239" s="5">
        <v>6.08</v>
      </c>
      <c r="D239" s="4">
        <v>11</v>
      </c>
      <c r="E239" s="5">
        <v>6.96</v>
      </c>
      <c r="F239" s="4">
        <v>3</v>
      </c>
      <c r="G239" s="5">
        <v>3</v>
      </c>
      <c r="H239" s="4">
        <v>0</v>
      </c>
    </row>
    <row r="240" spans="1:8" x14ac:dyDescent="0.2">
      <c r="A240" s="2" t="s">
        <v>73</v>
      </c>
      <c r="B240" s="4">
        <v>9</v>
      </c>
      <c r="C240" s="5">
        <v>3.42</v>
      </c>
      <c r="D240" s="4">
        <v>9</v>
      </c>
      <c r="E240" s="5">
        <v>5.7</v>
      </c>
      <c r="F240" s="4">
        <v>0</v>
      </c>
      <c r="G240" s="5">
        <v>0</v>
      </c>
      <c r="H240" s="4">
        <v>0</v>
      </c>
    </row>
    <row r="241" spans="1:8" x14ac:dyDescent="0.2">
      <c r="A241" s="2" t="s">
        <v>74</v>
      </c>
      <c r="B241" s="4">
        <v>14</v>
      </c>
      <c r="C241" s="5">
        <v>5.32</v>
      </c>
      <c r="D241" s="4">
        <v>7</v>
      </c>
      <c r="E241" s="5">
        <v>4.43</v>
      </c>
      <c r="F241" s="4">
        <v>7</v>
      </c>
      <c r="G241" s="5">
        <v>7</v>
      </c>
      <c r="H241" s="4">
        <v>0</v>
      </c>
    </row>
    <row r="242" spans="1:8" x14ac:dyDescent="0.2">
      <c r="A242" s="1" t="s">
        <v>15</v>
      </c>
      <c r="B242" s="4">
        <v>184</v>
      </c>
      <c r="C242" s="5">
        <v>99.99</v>
      </c>
      <c r="D242" s="4">
        <v>91</v>
      </c>
      <c r="E242" s="5">
        <v>100.00999999999999</v>
      </c>
      <c r="F242" s="4">
        <v>89</v>
      </c>
      <c r="G242" s="5">
        <v>99.99</v>
      </c>
      <c r="H242" s="4">
        <v>0</v>
      </c>
    </row>
    <row r="243" spans="1:8" x14ac:dyDescent="0.2">
      <c r="A243" s="2" t="s">
        <v>60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61</v>
      </c>
      <c r="B244" s="4">
        <v>44</v>
      </c>
      <c r="C244" s="5">
        <v>23.91</v>
      </c>
      <c r="D244" s="4">
        <v>17</v>
      </c>
      <c r="E244" s="5">
        <v>18.68</v>
      </c>
      <c r="F244" s="4">
        <v>27</v>
      </c>
      <c r="G244" s="5">
        <v>30.34</v>
      </c>
      <c r="H244" s="4">
        <v>0</v>
      </c>
    </row>
    <row r="245" spans="1:8" x14ac:dyDescent="0.2">
      <c r="A245" s="2" t="s">
        <v>62</v>
      </c>
      <c r="B245" s="4">
        <v>13</v>
      </c>
      <c r="C245" s="5">
        <v>7.07</v>
      </c>
      <c r="D245" s="4">
        <v>2</v>
      </c>
      <c r="E245" s="5">
        <v>2.2000000000000002</v>
      </c>
      <c r="F245" s="4">
        <v>11</v>
      </c>
      <c r="G245" s="5">
        <v>12.36</v>
      </c>
      <c r="H245" s="4">
        <v>0</v>
      </c>
    </row>
    <row r="246" spans="1:8" x14ac:dyDescent="0.2">
      <c r="A246" s="2" t="s">
        <v>63</v>
      </c>
      <c r="B246" s="4">
        <v>1</v>
      </c>
      <c r="C246" s="5">
        <v>0.54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64</v>
      </c>
      <c r="B247" s="4">
        <v>1</v>
      </c>
      <c r="C247" s="5">
        <v>0.54</v>
      </c>
      <c r="D247" s="4">
        <v>1</v>
      </c>
      <c r="E247" s="5">
        <v>1.1000000000000001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65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66</v>
      </c>
      <c r="B249" s="4">
        <v>58</v>
      </c>
      <c r="C249" s="5">
        <v>31.52</v>
      </c>
      <c r="D249" s="4">
        <v>32</v>
      </c>
      <c r="E249" s="5">
        <v>35.159999999999997</v>
      </c>
      <c r="F249" s="4">
        <v>26</v>
      </c>
      <c r="G249" s="5">
        <v>29.21</v>
      </c>
      <c r="H249" s="4">
        <v>0</v>
      </c>
    </row>
    <row r="250" spans="1:8" x14ac:dyDescent="0.2">
      <c r="A250" s="2" t="s">
        <v>67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68</v>
      </c>
      <c r="B251" s="4">
        <v>10</v>
      </c>
      <c r="C251" s="5">
        <v>5.43</v>
      </c>
      <c r="D251" s="4">
        <v>4</v>
      </c>
      <c r="E251" s="5">
        <v>4.4000000000000004</v>
      </c>
      <c r="F251" s="4">
        <v>6</v>
      </c>
      <c r="G251" s="5">
        <v>6.74</v>
      </c>
      <c r="H251" s="4">
        <v>0</v>
      </c>
    </row>
    <row r="252" spans="1:8" x14ac:dyDescent="0.2">
      <c r="A252" s="2" t="s">
        <v>69</v>
      </c>
      <c r="B252" s="4">
        <v>5</v>
      </c>
      <c r="C252" s="5">
        <v>2.72</v>
      </c>
      <c r="D252" s="4">
        <v>2</v>
      </c>
      <c r="E252" s="5">
        <v>2.2000000000000002</v>
      </c>
      <c r="F252" s="4">
        <v>3</v>
      </c>
      <c r="G252" s="5">
        <v>3.37</v>
      </c>
      <c r="H252" s="4">
        <v>0</v>
      </c>
    </row>
    <row r="253" spans="1:8" x14ac:dyDescent="0.2">
      <c r="A253" s="2" t="s">
        <v>70</v>
      </c>
      <c r="B253" s="4">
        <v>11</v>
      </c>
      <c r="C253" s="5">
        <v>5.98</v>
      </c>
      <c r="D253" s="4">
        <v>6</v>
      </c>
      <c r="E253" s="5">
        <v>6.59</v>
      </c>
      <c r="F253" s="4">
        <v>4</v>
      </c>
      <c r="G253" s="5">
        <v>4.49</v>
      </c>
      <c r="H253" s="4">
        <v>0</v>
      </c>
    </row>
    <row r="254" spans="1:8" x14ac:dyDescent="0.2">
      <c r="A254" s="2" t="s">
        <v>71</v>
      </c>
      <c r="B254" s="4">
        <v>23</v>
      </c>
      <c r="C254" s="5">
        <v>12.5</v>
      </c>
      <c r="D254" s="4">
        <v>21</v>
      </c>
      <c r="E254" s="5">
        <v>23.08</v>
      </c>
      <c r="F254" s="4">
        <v>2</v>
      </c>
      <c r="G254" s="5">
        <v>2.25</v>
      </c>
      <c r="H254" s="4">
        <v>0</v>
      </c>
    </row>
    <row r="255" spans="1:8" x14ac:dyDescent="0.2">
      <c r="A255" s="2" t="s">
        <v>72</v>
      </c>
      <c r="B255" s="4">
        <v>5</v>
      </c>
      <c r="C255" s="5">
        <v>2.72</v>
      </c>
      <c r="D255" s="4">
        <v>2</v>
      </c>
      <c r="E255" s="5">
        <v>2.2000000000000002</v>
      </c>
      <c r="F255" s="4">
        <v>1</v>
      </c>
      <c r="G255" s="5">
        <v>1.1200000000000001</v>
      </c>
      <c r="H255" s="4">
        <v>0</v>
      </c>
    </row>
    <row r="256" spans="1:8" x14ac:dyDescent="0.2">
      <c r="A256" s="2" t="s">
        <v>73</v>
      </c>
      <c r="B256" s="4">
        <v>4</v>
      </c>
      <c r="C256" s="5">
        <v>2.17</v>
      </c>
      <c r="D256" s="4">
        <v>1</v>
      </c>
      <c r="E256" s="5">
        <v>1.1000000000000001</v>
      </c>
      <c r="F256" s="4">
        <v>3</v>
      </c>
      <c r="G256" s="5">
        <v>3.37</v>
      </c>
      <c r="H256" s="4">
        <v>0</v>
      </c>
    </row>
    <row r="257" spans="1:8" x14ac:dyDescent="0.2">
      <c r="A257" s="2" t="s">
        <v>74</v>
      </c>
      <c r="B257" s="4">
        <v>9</v>
      </c>
      <c r="C257" s="5">
        <v>4.8899999999999997</v>
      </c>
      <c r="D257" s="4">
        <v>3</v>
      </c>
      <c r="E257" s="5">
        <v>3.3</v>
      </c>
      <c r="F257" s="4">
        <v>6</v>
      </c>
      <c r="G257" s="5">
        <v>6.74</v>
      </c>
      <c r="H257" s="4">
        <v>0</v>
      </c>
    </row>
    <row r="258" spans="1:8" x14ac:dyDescent="0.2">
      <c r="A258" s="1" t="s">
        <v>16</v>
      </c>
      <c r="B258" s="4">
        <v>381</v>
      </c>
      <c r="C258" s="5">
        <v>100.00000000000001</v>
      </c>
      <c r="D258" s="4">
        <v>237</v>
      </c>
      <c r="E258" s="5">
        <v>99.99</v>
      </c>
      <c r="F258" s="4">
        <v>139</v>
      </c>
      <c r="G258" s="5">
        <v>100.00999999999998</v>
      </c>
      <c r="H258" s="4">
        <v>2</v>
      </c>
    </row>
    <row r="259" spans="1:8" x14ac:dyDescent="0.2">
      <c r="A259" s="2" t="s">
        <v>60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61</v>
      </c>
      <c r="B260" s="4">
        <v>59</v>
      </c>
      <c r="C260" s="5">
        <v>15.49</v>
      </c>
      <c r="D260" s="4">
        <v>26</v>
      </c>
      <c r="E260" s="5">
        <v>10.97</v>
      </c>
      <c r="F260" s="4">
        <v>33</v>
      </c>
      <c r="G260" s="5">
        <v>23.74</v>
      </c>
      <c r="H260" s="4">
        <v>0</v>
      </c>
    </row>
    <row r="261" spans="1:8" x14ac:dyDescent="0.2">
      <c r="A261" s="2" t="s">
        <v>62</v>
      </c>
      <c r="B261" s="4">
        <v>46</v>
      </c>
      <c r="C261" s="5">
        <v>12.07</v>
      </c>
      <c r="D261" s="4">
        <v>27</v>
      </c>
      <c r="E261" s="5">
        <v>11.39</v>
      </c>
      <c r="F261" s="4">
        <v>19</v>
      </c>
      <c r="G261" s="5">
        <v>13.67</v>
      </c>
      <c r="H261" s="4">
        <v>0</v>
      </c>
    </row>
    <row r="262" spans="1:8" x14ac:dyDescent="0.2">
      <c r="A262" s="2" t="s">
        <v>63</v>
      </c>
      <c r="B262" s="4">
        <v>1</v>
      </c>
      <c r="C262" s="5">
        <v>0.26</v>
      </c>
      <c r="D262" s="4">
        <v>0</v>
      </c>
      <c r="E262" s="5">
        <v>0</v>
      </c>
      <c r="F262" s="4">
        <v>1</v>
      </c>
      <c r="G262" s="5">
        <v>0.72</v>
      </c>
      <c r="H262" s="4">
        <v>0</v>
      </c>
    </row>
    <row r="263" spans="1:8" x14ac:dyDescent="0.2">
      <c r="A263" s="2" t="s">
        <v>64</v>
      </c>
      <c r="B263" s="4">
        <v>3</v>
      </c>
      <c r="C263" s="5">
        <v>0.79</v>
      </c>
      <c r="D263" s="4">
        <v>0</v>
      </c>
      <c r="E263" s="5">
        <v>0</v>
      </c>
      <c r="F263" s="4">
        <v>3</v>
      </c>
      <c r="G263" s="5">
        <v>2.16</v>
      </c>
      <c r="H263" s="4">
        <v>0</v>
      </c>
    </row>
    <row r="264" spans="1:8" x14ac:dyDescent="0.2">
      <c r="A264" s="2" t="s">
        <v>65</v>
      </c>
      <c r="B264" s="4">
        <v>1</v>
      </c>
      <c r="C264" s="5">
        <v>0.26</v>
      </c>
      <c r="D264" s="4">
        <v>1</v>
      </c>
      <c r="E264" s="5">
        <v>0.42</v>
      </c>
      <c r="F264" s="4">
        <v>0</v>
      </c>
      <c r="G264" s="5">
        <v>0</v>
      </c>
      <c r="H264" s="4">
        <v>0</v>
      </c>
    </row>
    <row r="265" spans="1:8" x14ac:dyDescent="0.2">
      <c r="A265" s="2" t="s">
        <v>66</v>
      </c>
      <c r="B265" s="4">
        <v>100</v>
      </c>
      <c r="C265" s="5">
        <v>26.25</v>
      </c>
      <c r="D265" s="4">
        <v>60</v>
      </c>
      <c r="E265" s="5">
        <v>25.32</v>
      </c>
      <c r="F265" s="4">
        <v>40</v>
      </c>
      <c r="G265" s="5">
        <v>28.78</v>
      </c>
      <c r="H265" s="4">
        <v>0</v>
      </c>
    </row>
    <row r="266" spans="1:8" x14ac:dyDescent="0.2">
      <c r="A266" s="2" t="s">
        <v>67</v>
      </c>
      <c r="B266" s="4">
        <v>3</v>
      </c>
      <c r="C266" s="5">
        <v>0.79</v>
      </c>
      <c r="D266" s="4">
        <v>1</v>
      </c>
      <c r="E266" s="5">
        <v>0.42</v>
      </c>
      <c r="F266" s="4">
        <v>2</v>
      </c>
      <c r="G266" s="5">
        <v>1.44</v>
      </c>
      <c r="H266" s="4">
        <v>0</v>
      </c>
    </row>
    <row r="267" spans="1:8" x14ac:dyDescent="0.2">
      <c r="A267" s="2" t="s">
        <v>68</v>
      </c>
      <c r="B267" s="4">
        <v>42</v>
      </c>
      <c r="C267" s="5">
        <v>11.02</v>
      </c>
      <c r="D267" s="4">
        <v>31</v>
      </c>
      <c r="E267" s="5">
        <v>13.08</v>
      </c>
      <c r="F267" s="4">
        <v>11</v>
      </c>
      <c r="G267" s="5">
        <v>7.91</v>
      </c>
      <c r="H267" s="4">
        <v>0</v>
      </c>
    </row>
    <row r="268" spans="1:8" x14ac:dyDescent="0.2">
      <c r="A268" s="2" t="s">
        <v>69</v>
      </c>
      <c r="B268" s="4">
        <v>9</v>
      </c>
      <c r="C268" s="5">
        <v>2.36</v>
      </c>
      <c r="D268" s="4">
        <v>5</v>
      </c>
      <c r="E268" s="5">
        <v>2.11</v>
      </c>
      <c r="F268" s="4">
        <v>4</v>
      </c>
      <c r="G268" s="5">
        <v>2.88</v>
      </c>
      <c r="H268" s="4">
        <v>0</v>
      </c>
    </row>
    <row r="269" spans="1:8" x14ac:dyDescent="0.2">
      <c r="A269" s="2" t="s">
        <v>70</v>
      </c>
      <c r="B269" s="4">
        <v>26</v>
      </c>
      <c r="C269" s="5">
        <v>6.82</v>
      </c>
      <c r="D269" s="4">
        <v>22</v>
      </c>
      <c r="E269" s="5">
        <v>9.2799999999999994</v>
      </c>
      <c r="F269" s="4">
        <v>3</v>
      </c>
      <c r="G269" s="5">
        <v>2.16</v>
      </c>
      <c r="H269" s="4">
        <v>0</v>
      </c>
    </row>
    <row r="270" spans="1:8" x14ac:dyDescent="0.2">
      <c r="A270" s="2" t="s">
        <v>71</v>
      </c>
      <c r="B270" s="4">
        <v>51</v>
      </c>
      <c r="C270" s="5">
        <v>13.39</v>
      </c>
      <c r="D270" s="4">
        <v>42</v>
      </c>
      <c r="E270" s="5">
        <v>17.72</v>
      </c>
      <c r="F270" s="4">
        <v>8</v>
      </c>
      <c r="G270" s="5">
        <v>5.76</v>
      </c>
      <c r="H270" s="4">
        <v>0</v>
      </c>
    </row>
    <row r="271" spans="1:8" x14ac:dyDescent="0.2">
      <c r="A271" s="2" t="s">
        <v>72</v>
      </c>
      <c r="B271" s="4">
        <v>9</v>
      </c>
      <c r="C271" s="5">
        <v>2.36</v>
      </c>
      <c r="D271" s="4">
        <v>7</v>
      </c>
      <c r="E271" s="5">
        <v>2.95</v>
      </c>
      <c r="F271" s="4">
        <v>1</v>
      </c>
      <c r="G271" s="5">
        <v>0.72</v>
      </c>
      <c r="H271" s="4">
        <v>1</v>
      </c>
    </row>
    <row r="272" spans="1:8" x14ac:dyDescent="0.2">
      <c r="A272" s="2" t="s">
        <v>73</v>
      </c>
      <c r="B272" s="4">
        <v>12</v>
      </c>
      <c r="C272" s="5">
        <v>3.15</v>
      </c>
      <c r="D272" s="4">
        <v>8</v>
      </c>
      <c r="E272" s="5">
        <v>3.38</v>
      </c>
      <c r="F272" s="4">
        <v>4</v>
      </c>
      <c r="G272" s="5">
        <v>2.88</v>
      </c>
      <c r="H272" s="4">
        <v>0</v>
      </c>
    </row>
    <row r="273" spans="1:8" x14ac:dyDescent="0.2">
      <c r="A273" s="2" t="s">
        <v>74</v>
      </c>
      <c r="B273" s="4">
        <v>19</v>
      </c>
      <c r="C273" s="5">
        <v>4.99</v>
      </c>
      <c r="D273" s="4">
        <v>7</v>
      </c>
      <c r="E273" s="5">
        <v>2.95</v>
      </c>
      <c r="F273" s="4">
        <v>10</v>
      </c>
      <c r="G273" s="5">
        <v>7.19</v>
      </c>
      <c r="H273" s="4">
        <v>1</v>
      </c>
    </row>
    <row r="274" spans="1:8" x14ac:dyDescent="0.2">
      <c r="A274" s="1" t="s">
        <v>17</v>
      </c>
      <c r="B274" s="4">
        <v>144</v>
      </c>
      <c r="C274" s="5">
        <v>99.990000000000009</v>
      </c>
      <c r="D274" s="4">
        <v>75</v>
      </c>
      <c r="E274" s="5">
        <v>99.97999999999999</v>
      </c>
      <c r="F274" s="4">
        <v>66</v>
      </c>
      <c r="G274" s="5">
        <v>100.02</v>
      </c>
      <c r="H274" s="4">
        <v>0</v>
      </c>
    </row>
    <row r="275" spans="1:8" x14ac:dyDescent="0.2">
      <c r="A275" s="2" t="s">
        <v>60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61</v>
      </c>
      <c r="B276" s="4">
        <v>36</v>
      </c>
      <c r="C276" s="5">
        <v>25</v>
      </c>
      <c r="D276" s="4">
        <v>16</v>
      </c>
      <c r="E276" s="5">
        <v>21.33</v>
      </c>
      <c r="F276" s="4">
        <v>20</v>
      </c>
      <c r="G276" s="5">
        <v>30.3</v>
      </c>
      <c r="H276" s="4">
        <v>0</v>
      </c>
    </row>
    <row r="277" spans="1:8" x14ac:dyDescent="0.2">
      <c r="A277" s="2" t="s">
        <v>62</v>
      </c>
      <c r="B277" s="4">
        <v>9</v>
      </c>
      <c r="C277" s="5">
        <v>6.25</v>
      </c>
      <c r="D277" s="4">
        <v>1</v>
      </c>
      <c r="E277" s="5">
        <v>1.33</v>
      </c>
      <c r="F277" s="4">
        <v>8</v>
      </c>
      <c r="G277" s="5">
        <v>12.12</v>
      </c>
      <c r="H277" s="4">
        <v>0</v>
      </c>
    </row>
    <row r="278" spans="1:8" x14ac:dyDescent="0.2">
      <c r="A278" s="2" t="s">
        <v>63</v>
      </c>
      <c r="B278" s="4">
        <v>1</v>
      </c>
      <c r="C278" s="5">
        <v>0.69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64</v>
      </c>
      <c r="B279" s="4">
        <v>1</v>
      </c>
      <c r="C279" s="5">
        <v>0.69</v>
      </c>
      <c r="D279" s="4">
        <v>0</v>
      </c>
      <c r="E279" s="5">
        <v>0</v>
      </c>
      <c r="F279" s="4">
        <v>1</v>
      </c>
      <c r="G279" s="5">
        <v>1.52</v>
      </c>
      <c r="H279" s="4">
        <v>0</v>
      </c>
    </row>
    <row r="280" spans="1:8" x14ac:dyDescent="0.2">
      <c r="A280" s="2" t="s">
        <v>65</v>
      </c>
      <c r="B280" s="4">
        <v>0</v>
      </c>
      <c r="C280" s="5">
        <v>0</v>
      </c>
      <c r="D280" s="4">
        <v>0</v>
      </c>
      <c r="E280" s="5">
        <v>0</v>
      </c>
      <c r="F280" s="4">
        <v>0</v>
      </c>
      <c r="G280" s="5">
        <v>0</v>
      </c>
      <c r="H280" s="4">
        <v>0</v>
      </c>
    </row>
    <row r="281" spans="1:8" x14ac:dyDescent="0.2">
      <c r="A281" s="2" t="s">
        <v>66</v>
      </c>
      <c r="B281" s="4">
        <v>36</v>
      </c>
      <c r="C281" s="5">
        <v>25</v>
      </c>
      <c r="D281" s="4">
        <v>19</v>
      </c>
      <c r="E281" s="5">
        <v>25.33</v>
      </c>
      <c r="F281" s="4">
        <v>17</v>
      </c>
      <c r="G281" s="5">
        <v>25.76</v>
      </c>
      <c r="H281" s="4">
        <v>0</v>
      </c>
    </row>
    <row r="282" spans="1:8" x14ac:dyDescent="0.2">
      <c r="A282" s="2" t="s">
        <v>67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68</v>
      </c>
      <c r="B283" s="4">
        <v>2</v>
      </c>
      <c r="C283" s="5">
        <v>1.39</v>
      </c>
      <c r="D283" s="4">
        <v>1</v>
      </c>
      <c r="E283" s="5">
        <v>1.33</v>
      </c>
      <c r="F283" s="4">
        <v>1</v>
      </c>
      <c r="G283" s="5">
        <v>1.52</v>
      </c>
      <c r="H283" s="4">
        <v>0</v>
      </c>
    </row>
    <row r="284" spans="1:8" x14ac:dyDescent="0.2">
      <c r="A284" s="2" t="s">
        <v>69</v>
      </c>
      <c r="B284" s="4">
        <v>6</v>
      </c>
      <c r="C284" s="5">
        <v>4.17</v>
      </c>
      <c r="D284" s="4">
        <v>5</v>
      </c>
      <c r="E284" s="5">
        <v>6.67</v>
      </c>
      <c r="F284" s="4">
        <v>1</v>
      </c>
      <c r="G284" s="5">
        <v>1.52</v>
      </c>
      <c r="H284" s="4">
        <v>0</v>
      </c>
    </row>
    <row r="285" spans="1:8" x14ac:dyDescent="0.2">
      <c r="A285" s="2" t="s">
        <v>70</v>
      </c>
      <c r="B285" s="4">
        <v>16</v>
      </c>
      <c r="C285" s="5">
        <v>11.11</v>
      </c>
      <c r="D285" s="4">
        <v>9</v>
      </c>
      <c r="E285" s="5">
        <v>12</v>
      </c>
      <c r="F285" s="4">
        <v>7</v>
      </c>
      <c r="G285" s="5">
        <v>10.61</v>
      </c>
      <c r="H285" s="4">
        <v>0</v>
      </c>
    </row>
    <row r="286" spans="1:8" x14ac:dyDescent="0.2">
      <c r="A286" s="2" t="s">
        <v>71</v>
      </c>
      <c r="B286" s="4">
        <v>19</v>
      </c>
      <c r="C286" s="5">
        <v>13.19</v>
      </c>
      <c r="D286" s="4">
        <v>16</v>
      </c>
      <c r="E286" s="5">
        <v>21.33</v>
      </c>
      <c r="F286" s="4">
        <v>2</v>
      </c>
      <c r="G286" s="5">
        <v>3.03</v>
      </c>
      <c r="H286" s="4">
        <v>0</v>
      </c>
    </row>
    <row r="287" spans="1:8" x14ac:dyDescent="0.2">
      <c r="A287" s="2" t="s">
        <v>72</v>
      </c>
      <c r="B287" s="4">
        <v>4</v>
      </c>
      <c r="C287" s="5">
        <v>2.78</v>
      </c>
      <c r="D287" s="4">
        <v>3</v>
      </c>
      <c r="E287" s="5">
        <v>4</v>
      </c>
      <c r="F287" s="4">
        <v>1</v>
      </c>
      <c r="G287" s="5">
        <v>1.52</v>
      </c>
      <c r="H287" s="4">
        <v>0</v>
      </c>
    </row>
    <row r="288" spans="1:8" x14ac:dyDescent="0.2">
      <c r="A288" s="2" t="s">
        <v>73</v>
      </c>
      <c r="B288" s="4">
        <v>7</v>
      </c>
      <c r="C288" s="5">
        <v>4.8600000000000003</v>
      </c>
      <c r="D288" s="4">
        <v>4</v>
      </c>
      <c r="E288" s="5">
        <v>5.33</v>
      </c>
      <c r="F288" s="4">
        <v>2</v>
      </c>
      <c r="G288" s="5">
        <v>3.03</v>
      </c>
      <c r="H288" s="4">
        <v>0</v>
      </c>
    </row>
    <row r="289" spans="1:8" x14ac:dyDescent="0.2">
      <c r="A289" s="2" t="s">
        <v>74</v>
      </c>
      <c r="B289" s="4">
        <v>7</v>
      </c>
      <c r="C289" s="5">
        <v>4.8600000000000003</v>
      </c>
      <c r="D289" s="4">
        <v>1</v>
      </c>
      <c r="E289" s="5">
        <v>1.33</v>
      </c>
      <c r="F289" s="4">
        <v>6</v>
      </c>
      <c r="G289" s="5">
        <v>9.09</v>
      </c>
      <c r="H289" s="4">
        <v>0</v>
      </c>
    </row>
    <row r="290" spans="1:8" x14ac:dyDescent="0.2">
      <c r="A290" s="1" t="s">
        <v>18</v>
      </c>
      <c r="B290" s="4">
        <v>317</v>
      </c>
      <c r="C290" s="5">
        <v>100.00999999999999</v>
      </c>
      <c r="D290" s="4">
        <v>155</v>
      </c>
      <c r="E290" s="5">
        <v>100.02</v>
      </c>
      <c r="F290" s="4">
        <v>154</v>
      </c>
      <c r="G290" s="5">
        <v>100.00999999999999</v>
      </c>
      <c r="H290" s="4">
        <v>0</v>
      </c>
    </row>
    <row r="291" spans="1:8" x14ac:dyDescent="0.2">
      <c r="A291" s="2" t="s">
        <v>60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61</v>
      </c>
      <c r="B292" s="4">
        <v>47</v>
      </c>
      <c r="C292" s="5">
        <v>14.83</v>
      </c>
      <c r="D292" s="4">
        <v>19</v>
      </c>
      <c r="E292" s="5">
        <v>12.26</v>
      </c>
      <c r="F292" s="4">
        <v>28</v>
      </c>
      <c r="G292" s="5">
        <v>18.18</v>
      </c>
      <c r="H292" s="4">
        <v>0</v>
      </c>
    </row>
    <row r="293" spans="1:8" x14ac:dyDescent="0.2">
      <c r="A293" s="2" t="s">
        <v>62</v>
      </c>
      <c r="B293" s="4">
        <v>48</v>
      </c>
      <c r="C293" s="5">
        <v>15.14</v>
      </c>
      <c r="D293" s="4">
        <v>13</v>
      </c>
      <c r="E293" s="5">
        <v>8.39</v>
      </c>
      <c r="F293" s="4">
        <v>35</v>
      </c>
      <c r="G293" s="5">
        <v>22.73</v>
      </c>
      <c r="H293" s="4">
        <v>0</v>
      </c>
    </row>
    <row r="294" spans="1:8" x14ac:dyDescent="0.2">
      <c r="A294" s="2" t="s">
        <v>63</v>
      </c>
      <c r="B294" s="4">
        <v>1</v>
      </c>
      <c r="C294" s="5">
        <v>0.32</v>
      </c>
      <c r="D294" s="4">
        <v>0</v>
      </c>
      <c r="E294" s="5">
        <v>0</v>
      </c>
      <c r="F294" s="4">
        <v>1</v>
      </c>
      <c r="G294" s="5">
        <v>0.65</v>
      </c>
      <c r="H294" s="4">
        <v>0</v>
      </c>
    </row>
    <row r="295" spans="1:8" x14ac:dyDescent="0.2">
      <c r="A295" s="2" t="s">
        <v>64</v>
      </c>
      <c r="B295" s="4">
        <v>0</v>
      </c>
      <c r="C295" s="5">
        <v>0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65</v>
      </c>
      <c r="B296" s="4">
        <v>1</v>
      </c>
      <c r="C296" s="5">
        <v>0.32</v>
      </c>
      <c r="D296" s="4">
        <v>0</v>
      </c>
      <c r="E296" s="5">
        <v>0</v>
      </c>
      <c r="F296" s="4">
        <v>1</v>
      </c>
      <c r="G296" s="5">
        <v>0.65</v>
      </c>
      <c r="H296" s="4">
        <v>0</v>
      </c>
    </row>
    <row r="297" spans="1:8" x14ac:dyDescent="0.2">
      <c r="A297" s="2" t="s">
        <v>66</v>
      </c>
      <c r="B297" s="4">
        <v>81</v>
      </c>
      <c r="C297" s="5">
        <v>25.55</v>
      </c>
      <c r="D297" s="4">
        <v>33</v>
      </c>
      <c r="E297" s="5">
        <v>21.29</v>
      </c>
      <c r="F297" s="4">
        <v>48</v>
      </c>
      <c r="G297" s="5">
        <v>31.17</v>
      </c>
      <c r="H297" s="4">
        <v>0</v>
      </c>
    </row>
    <row r="298" spans="1:8" x14ac:dyDescent="0.2">
      <c r="A298" s="2" t="s">
        <v>67</v>
      </c>
      <c r="B298" s="4">
        <v>1</v>
      </c>
      <c r="C298" s="5">
        <v>0.32</v>
      </c>
      <c r="D298" s="4">
        <v>1</v>
      </c>
      <c r="E298" s="5">
        <v>0.65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68</v>
      </c>
      <c r="B299" s="4">
        <v>16</v>
      </c>
      <c r="C299" s="5">
        <v>5.05</v>
      </c>
      <c r="D299" s="4">
        <v>7</v>
      </c>
      <c r="E299" s="5">
        <v>4.5199999999999996</v>
      </c>
      <c r="F299" s="4">
        <v>9</v>
      </c>
      <c r="G299" s="5">
        <v>5.84</v>
      </c>
      <c r="H299" s="4">
        <v>0</v>
      </c>
    </row>
    <row r="300" spans="1:8" x14ac:dyDescent="0.2">
      <c r="A300" s="2" t="s">
        <v>69</v>
      </c>
      <c r="B300" s="4">
        <v>11</v>
      </c>
      <c r="C300" s="5">
        <v>3.47</v>
      </c>
      <c r="D300" s="4">
        <v>8</v>
      </c>
      <c r="E300" s="5">
        <v>5.16</v>
      </c>
      <c r="F300" s="4">
        <v>3</v>
      </c>
      <c r="G300" s="5">
        <v>1.95</v>
      </c>
      <c r="H300" s="4">
        <v>0</v>
      </c>
    </row>
    <row r="301" spans="1:8" x14ac:dyDescent="0.2">
      <c r="A301" s="2" t="s">
        <v>70</v>
      </c>
      <c r="B301" s="4">
        <v>33</v>
      </c>
      <c r="C301" s="5">
        <v>10.41</v>
      </c>
      <c r="D301" s="4">
        <v>26</v>
      </c>
      <c r="E301" s="5">
        <v>16.77</v>
      </c>
      <c r="F301" s="4">
        <v>7</v>
      </c>
      <c r="G301" s="5">
        <v>4.55</v>
      </c>
      <c r="H301" s="4">
        <v>0</v>
      </c>
    </row>
    <row r="302" spans="1:8" x14ac:dyDescent="0.2">
      <c r="A302" s="2" t="s">
        <v>71</v>
      </c>
      <c r="B302" s="4">
        <v>46</v>
      </c>
      <c r="C302" s="5">
        <v>14.51</v>
      </c>
      <c r="D302" s="4">
        <v>32</v>
      </c>
      <c r="E302" s="5">
        <v>20.65</v>
      </c>
      <c r="F302" s="4">
        <v>11</v>
      </c>
      <c r="G302" s="5">
        <v>7.14</v>
      </c>
      <c r="H302" s="4">
        <v>0</v>
      </c>
    </row>
    <row r="303" spans="1:8" x14ac:dyDescent="0.2">
      <c r="A303" s="2" t="s">
        <v>72</v>
      </c>
      <c r="B303" s="4">
        <v>8</v>
      </c>
      <c r="C303" s="5">
        <v>2.52</v>
      </c>
      <c r="D303" s="4">
        <v>5</v>
      </c>
      <c r="E303" s="5">
        <v>3.23</v>
      </c>
      <c r="F303" s="4">
        <v>3</v>
      </c>
      <c r="G303" s="5">
        <v>1.95</v>
      </c>
      <c r="H303" s="4">
        <v>0</v>
      </c>
    </row>
    <row r="304" spans="1:8" x14ac:dyDescent="0.2">
      <c r="A304" s="2" t="s">
        <v>73</v>
      </c>
      <c r="B304" s="4">
        <v>16</v>
      </c>
      <c r="C304" s="5">
        <v>5.05</v>
      </c>
      <c r="D304" s="4">
        <v>7</v>
      </c>
      <c r="E304" s="5">
        <v>4.5199999999999996</v>
      </c>
      <c r="F304" s="4">
        <v>4</v>
      </c>
      <c r="G304" s="5">
        <v>2.6</v>
      </c>
      <c r="H304" s="4">
        <v>0</v>
      </c>
    </row>
    <row r="305" spans="1:8" x14ac:dyDescent="0.2">
      <c r="A305" s="2" t="s">
        <v>74</v>
      </c>
      <c r="B305" s="4">
        <v>8</v>
      </c>
      <c r="C305" s="5">
        <v>2.52</v>
      </c>
      <c r="D305" s="4">
        <v>4</v>
      </c>
      <c r="E305" s="5">
        <v>2.58</v>
      </c>
      <c r="F305" s="4">
        <v>4</v>
      </c>
      <c r="G305" s="5">
        <v>2.6</v>
      </c>
      <c r="H305" s="4">
        <v>0</v>
      </c>
    </row>
    <row r="306" spans="1:8" x14ac:dyDescent="0.2">
      <c r="A306" s="1" t="s">
        <v>19</v>
      </c>
      <c r="B306" s="4">
        <v>128</v>
      </c>
      <c r="C306" s="5">
        <v>100</v>
      </c>
      <c r="D306" s="4">
        <v>72</v>
      </c>
      <c r="E306" s="5">
        <v>100.01</v>
      </c>
      <c r="F306" s="4">
        <v>52</v>
      </c>
      <c r="G306" s="5">
        <v>99.999999999999986</v>
      </c>
      <c r="H306" s="4">
        <v>1</v>
      </c>
    </row>
    <row r="307" spans="1:8" x14ac:dyDescent="0.2">
      <c r="A307" s="2" t="s">
        <v>60</v>
      </c>
      <c r="B307" s="4">
        <v>1</v>
      </c>
      <c r="C307" s="5">
        <v>0.78</v>
      </c>
      <c r="D307" s="4">
        <v>0</v>
      </c>
      <c r="E307" s="5">
        <v>0</v>
      </c>
      <c r="F307" s="4">
        <v>1</v>
      </c>
      <c r="G307" s="5">
        <v>1.92</v>
      </c>
      <c r="H307" s="4">
        <v>0</v>
      </c>
    </row>
    <row r="308" spans="1:8" x14ac:dyDescent="0.2">
      <c r="A308" s="2" t="s">
        <v>61</v>
      </c>
      <c r="B308" s="4">
        <v>30</v>
      </c>
      <c r="C308" s="5">
        <v>23.44</v>
      </c>
      <c r="D308" s="4">
        <v>15</v>
      </c>
      <c r="E308" s="5">
        <v>20.83</v>
      </c>
      <c r="F308" s="4">
        <v>15</v>
      </c>
      <c r="G308" s="5">
        <v>28.85</v>
      </c>
      <c r="H308" s="4">
        <v>0</v>
      </c>
    </row>
    <row r="309" spans="1:8" x14ac:dyDescent="0.2">
      <c r="A309" s="2" t="s">
        <v>62</v>
      </c>
      <c r="B309" s="4">
        <v>13</v>
      </c>
      <c r="C309" s="5">
        <v>10.16</v>
      </c>
      <c r="D309" s="4">
        <v>3</v>
      </c>
      <c r="E309" s="5">
        <v>4.17</v>
      </c>
      <c r="F309" s="4">
        <v>10</v>
      </c>
      <c r="G309" s="5">
        <v>19.23</v>
      </c>
      <c r="H309" s="4">
        <v>0</v>
      </c>
    </row>
    <row r="310" spans="1:8" x14ac:dyDescent="0.2">
      <c r="A310" s="2" t="s">
        <v>63</v>
      </c>
      <c r="B310" s="4">
        <v>1</v>
      </c>
      <c r="C310" s="5">
        <v>0.78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64</v>
      </c>
      <c r="B311" s="4">
        <v>3</v>
      </c>
      <c r="C311" s="5">
        <v>2.34</v>
      </c>
      <c r="D311" s="4">
        <v>2</v>
      </c>
      <c r="E311" s="5">
        <v>2.78</v>
      </c>
      <c r="F311" s="4">
        <v>1</v>
      </c>
      <c r="G311" s="5">
        <v>1.92</v>
      </c>
      <c r="H311" s="4">
        <v>0</v>
      </c>
    </row>
    <row r="312" spans="1:8" x14ac:dyDescent="0.2">
      <c r="A312" s="2" t="s">
        <v>65</v>
      </c>
      <c r="B312" s="4">
        <v>3</v>
      </c>
      <c r="C312" s="5">
        <v>2.34</v>
      </c>
      <c r="D312" s="4">
        <v>0</v>
      </c>
      <c r="E312" s="5">
        <v>0</v>
      </c>
      <c r="F312" s="4">
        <v>3</v>
      </c>
      <c r="G312" s="5">
        <v>5.77</v>
      </c>
      <c r="H312" s="4">
        <v>0</v>
      </c>
    </row>
    <row r="313" spans="1:8" x14ac:dyDescent="0.2">
      <c r="A313" s="2" t="s">
        <v>66</v>
      </c>
      <c r="B313" s="4">
        <v>28</v>
      </c>
      <c r="C313" s="5">
        <v>21.88</v>
      </c>
      <c r="D313" s="4">
        <v>20</v>
      </c>
      <c r="E313" s="5">
        <v>27.78</v>
      </c>
      <c r="F313" s="4">
        <v>8</v>
      </c>
      <c r="G313" s="5">
        <v>15.38</v>
      </c>
      <c r="H313" s="4">
        <v>0</v>
      </c>
    </row>
    <row r="314" spans="1:8" x14ac:dyDescent="0.2">
      <c r="A314" s="2" t="s">
        <v>67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68</v>
      </c>
      <c r="B315" s="4">
        <v>3</v>
      </c>
      <c r="C315" s="5">
        <v>2.34</v>
      </c>
      <c r="D315" s="4">
        <v>0</v>
      </c>
      <c r="E315" s="5">
        <v>0</v>
      </c>
      <c r="F315" s="4">
        <v>3</v>
      </c>
      <c r="G315" s="5">
        <v>5.77</v>
      </c>
      <c r="H315" s="4">
        <v>0</v>
      </c>
    </row>
    <row r="316" spans="1:8" x14ac:dyDescent="0.2">
      <c r="A316" s="2" t="s">
        <v>69</v>
      </c>
      <c r="B316" s="4">
        <v>0</v>
      </c>
      <c r="C316" s="5">
        <v>0</v>
      </c>
      <c r="D316" s="4">
        <v>0</v>
      </c>
      <c r="E316" s="5">
        <v>0</v>
      </c>
      <c r="F316" s="4">
        <v>0</v>
      </c>
      <c r="G316" s="5">
        <v>0</v>
      </c>
      <c r="H316" s="4">
        <v>0</v>
      </c>
    </row>
    <row r="317" spans="1:8" x14ac:dyDescent="0.2">
      <c r="A317" s="2" t="s">
        <v>70</v>
      </c>
      <c r="B317" s="4">
        <v>25</v>
      </c>
      <c r="C317" s="5">
        <v>19.53</v>
      </c>
      <c r="D317" s="4">
        <v>19</v>
      </c>
      <c r="E317" s="5">
        <v>26.39</v>
      </c>
      <c r="F317" s="4">
        <v>5</v>
      </c>
      <c r="G317" s="5">
        <v>9.6199999999999992</v>
      </c>
      <c r="H317" s="4">
        <v>0</v>
      </c>
    </row>
    <row r="318" spans="1:8" x14ac:dyDescent="0.2">
      <c r="A318" s="2" t="s">
        <v>71</v>
      </c>
      <c r="B318" s="4">
        <v>10</v>
      </c>
      <c r="C318" s="5">
        <v>7.81</v>
      </c>
      <c r="D318" s="4">
        <v>9</v>
      </c>
      <c r="E318" s="5">
        <v>12.5</v>
      </c>
      <c r="F318" s="4">
        <v>1</v>
      </c>
      <c r="G318" s="5">
        <v>1.92</v>
      </c>
      <c r="H318" s="4">
        <v>0</v>
      </c>
    </row>
    <row r="319" spans="1:8" x14ac:dyDescent="0.2">
      <c r="A319" s="2" t="s">
        <v>72</v>
      </c>
      <c r="B319" s="4">
        <v>2</v>
      </c>
      <c r="C319" s="5">
        <v>1.56</v>
      </c>
      <c r="D319" s="4">
        <v>1</v>
      </c>
      <c r="E319" s="5">
        <v>1.39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73</v>
      </c>
      <c r="B320" s="4">
        <v>4</v>
      </c>
      <c r="C320" s="5">
        <v>3.13</v>
      </c>
      <c r="D320" s="4">
        <v>1</v>
      </c>
      <c r="E320" s="5">
        <v>1.39</v>
      </c>
      <c r="F320" s="4">
        <v>3</v>
      </c>
      <c r="G320" s="5">
        <v>5.77</v>
      </c>
      <c r="H320" s="4">
        <v>0</v>
      </c>
    </row>
    <row r="321" spans="1:8" x14ac:dyDescent="0.2">
      <c r="A321" s="2" t="s">
        <v>74</v>
      </c>
      <c r="B321" s="4">
        <v>5</v>
      </c>
      <c r="C321" s="5">
        <v>3.91</v>
      </c>
      <c r="D321" s="4">
        <v>2</v>
      </c>
      <c r="E321" s="5">
        <v>2.78</v>
      </c>
      <c r="F321" s="4">
        <v>2</v>
      </c>
      <c r="G321" s="5">
        <v>3.85</v>
      </c>
      <c r="H321" s="4">
        <v>1</v>
      </c>
    </row>
    <row r="322" spans="1:8" x14ac:dyDescent="0.2">
      <c r="A322" s="1" t="s">
        <v>20</v>
      </c>
      <c r="B322" s="4">
        <v>232</v>
      </c>
      <c r="C322" s="5">
        <v>99.99</v>
      </c>
      <c r="D322" s="4">
        <v>146</v>
      </c>
      <c r="E322" s="5">
        <v>99.990000000000009</v>
      </c>
      <c r="F322" s="4">
        <v>76</v>
      </c>
      <c r="G322" s="5">
        <v>100.01999999999998</v>
      </c>
      <c r="H322" s="4">
        <v>1</v>
      </c>
    </row>
    <row r="323" spans="1:8" x14ac:dyDescent="0.2">
      <c r="A323" s="2" t="s">
        <v>60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61</v>
      </c>
      <c r="B324" s="4">
        <v>35</v>
      </c>
      <c r="C324" s="5">
        <v>15.09</v>
      </c>
      <c r="D324" s="4">
        <v>14</v>
      </c>
      <c r="E324" s="5">
        <v>9.59</v>
      </c>
      <c r="F324" s="4">
        <v>21</v>
      </c>
      <c r="G324" s="5">
        <v>27.63</v>
      </c>
      <c r="H324" s="4">
        <v>0</v>
      </c>
    </row>
    <row r="325" spans="1:8" x14ac:dyDescent="0.2">
      <c r="A325" s="2" t="s">
        <v>62</v>
      </c>
      <c r="B325" s="4">
        <v>11</v>
      </c>
      <c r="C325" s="5">
        <v>4.74</v>
      </c>
      <c r="D325" s="4">
        <v>8</v>
      </c>
      <c r="E325" s="5">
        <v>5.48</v>
      </c>
      <c r="F325" s="4">
        <v>3</v>
      </c>
      <c r="G325" s="5">
        <v>3.95</v>
      </c>
      <c r="H325" s="4">
        <v>0</v>
      </c>
    </row>
    <row r="326" spans="1:8" x14ac:dyDescent="0.2">
      <c r="A326" s="2" t="s">
        <v>63</v>
      </c>
      <c r="B326" s="4">
        <v>2</v>
      </c>
      <c r="C326" s="5">
        <v>0.86</v>
      </c>
      <c r="D326" s="4">
        <v>0</v>
      </c>
      <c r="E326" s="5">
        <v>0</v>
      </c>
      <c r="F326" s="4">
        <v>1</v>
      </c>
      <c r="G326" s="5">
        <v>1.32</v>
      </c>
      <c r="H326" s="4">
        <v>0</v>
      </c>
    </row>
    <row r="327" spans="1:8" x14ac:dyDescent="0.2">
      <c r="A327" s="2" t="s">
        <v>64</v>
      </c>
      <c r="B327" s="4">
        <v>0</v>
      </c>
      <c r="C327" s="5">
        <v>0</v>
      </c>
      <c r="D327" s="4">
        <v>0</v>
      </c>
      <c r="E327" s="5">
        <v>0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65</v>
      </c>
      <c r="B328" s="4">
        <v>4</v>
      </c>
      <c r="C328" s="5">
        <v>1.72</v>
      </c>
      <c r="D328" s="4">
        <v>2</v>
      </c>
      <c r="E328" s="5">
        <v>1.37</v>
      </c>
      <c r="F328" s="4">
        <v>2</v>
      </c>
      <c r="G328" s="5">
        <v>2.63</v>
      </c>
      <c r="H328" s="4">
        <v>0</v>
      </c>
    </row>
    <row r="329" spans="1:8" x14ac:dyDescent="0.2">
      <c r="A329" s="2" t="s">
        <v>66</v>
      </c>
      <c r="B329" s="4">
        <v>73</v>
      </c>
      <c r="C329" s="5">
        <v>31.47</v>
      </c>
      <c r="D329" s="4">
        <v>51</v>
      </c>
      <c r="E329" s="5">
        <v>34.93</v>
      </c>
      <c r="F329" s="4">
        <v>22</v>
      </c>
      <c r="G329" s="5">
        <v>28.95</v>
      </c>
      <c r="H329" s="4">
        <v>0</v>
      </c>
    </row>
    <row r="330" spans="1:8" x14ac:dyDescent="0.2">
      <c r="A330" s="2" t="s">
        <v>67</v>
      </c>
      <c r="B330" s="4">
        <v>2</v>
      </c>
      <c r="C330" s="5">
        <v>0.86</v>
      </c>
      <c r="D330" s="4">
        <v>0</v>
      </c>
      <c r="E330" s="5">
        <v>0</v>
      </c>
      <c r="F330" s="4">
        <v>2</v>
      </c>
      <c r="G330" s="5">
        <v>2.63</v>
      </c>
      <c r="H330" s="4">
        <v>0</v>
      </c>
    </row>
    <row r="331" spans="1:8" x14ac:dyDescent="0.2">
      <c r="A331" s="2" t="s">
        <v>68</v>
      </c>
      <c r="B331" s="4">
        <v>4</v>
      </c>
      <c r="C331" s="5">
        <v>1.72</v>
      </c>
      <c r="D331" s="4">
        <v>2</v>
      </c>
      <c r="E331" s="5">
        <v>1.37</v>
      </c>
      <c r="F331" s="4">
        <v>1</v>
      </c>
      <c r="G331" s="5">
        <v>1.32</v>
      </c>
      <c r="H331" s="4">
        <v>0</v>
      </c>
    </row>
    <row r="332" spans="1:8" x14ac:dyDescent="0.2">
      <c r="A332" s="2" t="s">
        <v>69</v>
      </c>
      <c r="B332" s="4">
        <v>4</v>
      </c>
      <c r="C332" s="5">
        <v>1.72</v>
      </c>
      <c r="D332" s="4">
        <v>1</v>
      </c>
      <c r="E332" s="5">
        <v>0.68</v>
      </c>
      <c r="F332" s="4">
        <v>3</v>
      </c>
      <c r="G332" s="5">
        <v>3.95</v>
      </c>
      <c r="H332" s="4">
        <v>0</v>
      </c>
    </row>
    <row r="333" spans="1:8" x14ac:dyDescent="0.2">
      <c r="A333" s="2" t="s">
        <v>70</v>
      </c>
      <c r="B333" s="4">
        <v>48</v>
      </c>
      <c r="C333" s="5">
        <v>20.69</v>
      </c>
      <c r="D333" s="4">
        <v>35</v>
      </c>
      <c r="E333" s="5">
        <v>23.97</v>
      </c>
      <c r="F333" s="4">
        <v>13</v>
      </c>
      <c r="G333" s="5">
        <v>17.11</v>
      </c>
      <c r="H333" s="4">
        <v>0</v>
      </c>
    </row>
    <row r="334" spans="1:8" x14ac:dyDescent="0.2">
      <c r="A334" s="2" t="s">
        <v>71</v>
      </c>
      <c r="B334" s="4">
        <v>33</v>
      </c>
      <c r="C334" s="5">
        <v>14.22</v>
      </c>
      <c r="D334" s="4">
        <v>26</v>
      </c>
      <c r="E334" s="5">
        <v>17.809999999999999</v>
      </c>
      <c r="F334" s="4">
        <v>4</v>
      </c>
      <c r="G334" s="5">
        <v>5.26</v>
      </c>
      <c r="H334" s="4">
        <v>1</v>
      </c>
    </row>
    <row r="335" spans="1:8" x14ac:dyDescent="0.2">
      <c r="A335" s="2" t="s">
        <v>72</v>
      </c>
      <c r="B335" s="4">
        <v>3</v>
      </c>
      <c r="C335" s="5">
        <v>1.29</v>
      </c>
      <c r="D335" s="4">
        <v>1</v>
      </c>
      <c r="E335" s="5">
        <v>0.68</v>
      </c>
      <c r="F335" s="4">
        <v>1</v>
      </c>
      <c r="G335" s="5">
        <v>1.32</v>
      </c>
      <c r="H335" s="4">
        <v>0</v>
      </c>
    </row>
    <row r="336" spans="1:8" x14ac:dyDescent="0.2">
      <c r="A336" s="2" t="s">
        <v>73</v>
      </c>
      <c r="B336" s="4">
        <v>6</v>
      </c>
      <c r="C336" s="5">
        <v>2.59</v>
      </c>
      <c r="D336" s="4">
        <v>2</v>
      </c>
      <c r="E336" s="5">
        <v>1.37</v>
      </c>
      <c r="F336" s="4">
        <v>2</v>
      </c>
      <c r="G336" s="5">
        <v>2.63</v>
      </c>
      <c r="H336" s="4">
        <v>0</v>
      </c>
    </row>
    <row r="337" spans="1:8" x14ac:dyDescent="0.2">
      <c r="A337" s="2" t="s">
        <v>74</v>
      </c>
      <c r="B337" s="4">
        <v>7</v>
      </c>
      <c r="C337" s="5">
        <v>3.02</v>
      </c>
      <c r="D337" s="4">
        <v>4</v>
      </c>
      <c r="E337" s="5">
        <v>2.74</v>
      </c>
      <c r="F337" s="4">
        <v>1</v>
      </c>
      <c r="G337" s="5">
        <v>1.32</v>
      </c>
      <c r="H337" s="4">
        <v>0</v>
      </c>
    </row>
    <row r="338" spans="1:8" x14ac:dyDescent="0.2">
      <c r="A338" s="1" t="s">
        <v>21</v>
      </c>
      <c r="B338" s="4">
        <v>71</v>
      </c>
      <c r="C338" s="5">
        <v>100.00999999999999</v>
      </c>
      <c r="D338" s="4">
        <v>52</v>
      </c>
      <c r="E338" s="5">
        <v>99.98</v>
      </c>
      <c r="F338" s="4">
        <v>11</v>
      </c>
      <c r="G338" s="5">
        <v>100</v>
      </c>
      <c r="H338" s="4">
        <v>2</v>
      </c>
    </row>
    <row r="339" spans="1:8" x14ac:dyDescent="0.2">
      <c r="A339" s="2" t="s">
        <v>60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61</v>
      </c>
      <c r="B340" s="4">
        <v>4</v>
      </c>
      <c r="C340" s="5">
        <v>5.63</v>
      </c>
      <c r="D340" s="4">
        <v>1</v>
      </c>
      <c r="E340" s="5">
        <v>1.92</v>
      </c>
      <c r="F340" s="4">
        <v>3</v>
      </c>
      <c r="G340" s="5">
        <v>27.27</v>
      </c>
      <c r="H340" s="4">
        <v>0</v>
      </c>
    </row>
    <row r="341" spans="1:8" x14ac:dyDescent="0.2">
      <c r="A341" s="2" t="s">
        <v>62</v>
      </c>
      <c r="B341" s="4">
        <v>1</v>
      </c>
      <c r="C341" s="5">
        <v>1.41</v>
      </c>
      <c r="D341" s="4">
        <v>0</v>
      </c>
      <c r="E341" s="5">
        <v>0</v>
      </c>
      <c r="F341" s="4">
        <v>1</v>
      </c>
      <c r="G341" s="5">
        <v>9.09</v>
      </c>
      <c r="H341" s="4">
        <v>0</v>
      </c>
    </row>
    <row r="342" spans="1:8" x14ac:dyDescent="0.2">
      <c r="A342" s="2" t="s">
        <v>63</v>
      </c>
      <c r="B342" s="4">
        <v>0</v>
      </c>
      <c r="C342" s="5">
        <v>0</v>
      </c>
      <c r="D342" s="4">
        <v>0</v>
      </c>
      <c r="E342" s="5">
        <v>0</v>
      </c>
      <c r="F342" s="4">
        <v>0</v>
      </c>
      <c r="G342" s="5">
        <v>0</v>
      </c>
      <c r="H342" s="4">
        <v>0</v>
      </c>
    </row>
    <row r="343" spans="1:8" x14ac:dyDescent="0.2">
      <c r="A343" s="2" t="s">
        <v>64</v>
      </c>
      <c r="B343" s="4">
        <v>0</v>
      </c>
      <c r="C343" s="5">
        <v>0</v>
      </c>
      <c r="D343" s="4">
        <v>0</v>
      </c>
      <c r="E343" s="5">
        <v>0</v>
      </c>
      <c r="F343" s="4">
        <v>0</v>
      </c>
      <c r="G343" s="5">
        <v>0</v>
      </c>
      <c r="H343" s="4">
        <v>0</v>
      </c>
    </row>
    <row r="344" spans="1:8" x14ac:dyDescent="0.2">
      <c r="A344" s="2" t="s">
        <v>65</v>
      </c>
      <c r="B344" s="4">
        <v>2</v>
      </c>
      <c r="C344" s="5">
        <v>2.82</v>
      </c>
      <c r="D344" s="4">
        <v>1</v>
      </c>
      <c r="E344" s="5">
        <v>1.92</v>
      </c>
      <c r="F344" s="4">
        <v>0</v>
      </c>
      <c r="G344" s="5">
        <v>0</v>
      </c>
      <c r="H344" s="4">
        <v>1</v>
      </c>
    </row>
    <row r="345" spans="1:8" x14ac:dyDescent="0.2">
      <c r="A345" s="2" t="s">
        <v>66</v>
      </c>
      <c r="B345" s="4">
        <v>7</v>
      </c>
      <c r="C345" s="5">
        <v>9.86</v>
      </c>
      <c r="D345" s="4">
        <v>4</v>
      </c>
      <c r="E345" s="5">
        <v>7.69</v>
      </c>
      <c r="F345" s="4">
        <v>1</v>
      </c>
      <c r="G345" s="5">
        <v>9.09</v>
      </c>
      <c r="H345" s="4">
        <v>0</v>
      </c>
    </row>
    <row r="346" spans="1:8" x14ac:dyDescent="0.2">
      <c r="A346" s="2" t="s">
        <v>67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68</v>
      </c>
      <c r="B347" s="4">
        <v>0</v>
      </c>
      <c r="C347" s="5">
        <v>0</v>
      </c>
      <c r="D347" s="4">
        <v>0</v>
      </c>
      <c r="E347" s="5">
        <v>0</v>
      </c>
      <c r="F347" s="4">
        <v>0</v>
      </c>
      <c r="G347" s="5">
        <v>0</v>
      </c>
      <c r="H347" s="4">
        <v>0</v>
      </c>
    </row>
    <row r="348" spans="1:8" x14ac:dyDescent="0.2">
      <c r="A348" s="2" t="s">
        <v>69</v>
      </c>
      <c r="B348" s="4">
        <v>0</v>
      </c>
      <c r="C348" s="5">
        <v>0</v>
      </c>
      <c r="D348" s="4">
        <v>0</v>
      </c>
      <c r="E348" s="5">
        <v>0</v>
      </c>
      <c r="F348" s="4">
        <v>0</v>
      </c>
      <c r="G348" s="5">
        <v>0</v>
      </c>
      <c r="H348" s="4">
        <v>0</v>
      </c>
    </row>
    <row r="349" spans="1:8" x14ac:dyDescent="0.2">
      <c r="A349" s="2" t="s">
        <v>70</v>
      </c>
      <c r="B349" s="4">
        <v>47</v>
      </c>
      <c r="C349" s="5">
        <v>66.2</v>
      </c>
      <c r="D349" s="4">
        <v>40</v>
      </c>
      <c r="E349" s="5">
        <v>76.92</v>
      </c>
      <c r="F349" s="4">
        <v>6</v>
      </c>
      <c r="G349" s="5">
        <v>54.55</v>
      </c>
      <c r="H349" s="4">
        <v>0</v>
      </c>
    </row>
    <row r="350" spans="1:8" x14ac:dyDescent="0.2">
      <c r="A350" s="2" t="s">
        <v>71</v>
      </c>
      <c r="B350" s="4">
        <v>6</v>
      </c>
      <c r="C350" s="5">
        <v>8.4499999999999993</v>
      </c>
      <c r="D350" s="4">
        <v>4</v>
      </c>
      <c r="E350" s="5">
        <v>7.69</v>
      </c>
      <c r="F350" s="4">
        <v>0</v>
      </c>
      <c r="G350" s="5">
        <v>0</v>
      </c>
      <c r="H350" s="4">
        <v>0</v>
      </c>
    </row>
    <row r="351" spans="1:8" x14ac:dyDescent="0.2">
      <c r="A351" s="2" t="s">
        <v>72</v>
      </c>
      <c r="B351" s="4">
        <v>2</v>
      </c>
      <c r="C351" s="5">
        <v>2.82</v>
      </c>
      <c r="D351" s="4">
        <v>1</v>
      </c>
      <c r="E351" s="5">
        <v>1.92</v>
      </c>
      <c r="F351" s="4">
        <v>0</v>
      </c>
      <c r="G351" s="5">
        <v>0</v>
      </c>
      <c r="H351" s="4">
        <v>1</v>
      </c>
    </row>
    <row r="352" spans="1:8" x14ac:dyDescent="0.2">
      <c r="A352" s="2" t="s">
        <v>73</v>
      </c>
      <c r="B352" s="4">
        <v>2</v>
      </c>
      <c r="C352" s="5">
        <v>2.82</v>
      </c>
      <c r="D352" s="4">
        <v>1</v>
      </c>
      <c r="E352" s="5">
        <v>1.92</v>
      </c>
      <c r="F352" s="4">
        <v>0</v>
      </c>
      <c r="G352" s="5">
        <v>0</v>
      </c>
      <c r="H352" s="4">
        <v>0</v>
      </c>
    </row>
    <row r="353" spans="1:8" x14ac:dyDescent="0.2">
      <c r="A353" s="2" t="s">
        <v>74</v>
      </c>
      <c r="B353" s="4">
        <v>0</v>
      </c>
      <c r="C353" s="5">
        <v>0</v>
      </c>
      <c r="D353" s="4">
        <v>0</v>
      </c>
      <c r="E353" s="5">
        <v>0</v>
      </c>
      <c r="F353" s="4">
        <v>0</v>
      </c>
      <c r="G353" s="5">
        <v>0</v>
      </c>
      <c r="H353" s="4">
        <v>0</v>
      </c>
    </row>
    <row r="354" spans="1:8" x14ac:dyDescent="0.2">
      <c r="A354" s="1" t="s">
        <v>22</v>
      </c>
      <c r="B354" s="4">
        <v>191</v>
      </c>
      <c r="C354" s="5">
        <v>100</v>
      </c>
      <c r="D354" s="4">
        <v>135</v>
      </c>
      <c r="E354" s="5">
        <v>99.999999999999986</v>
      </c>
      <c r="F354" s="4">
        <v>51</v>
      </c>
      <c r="G354" s="5">
        <v>100</v>
      </c>
      <c r="H354" s="4">
        <v>0</v>
      </c>
    </row>
    <row r="355" spans="1:8" x14ac:dyDescent="0.2">
      <c r="A355" s="2" t="s">
        <v>60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61</v>
      </c>
      <c r="B356" s="4">
        <v>33</v>
      </c>
      <c r="C356" s="5">
        <v>17.28</v>
      </c>
      <c r="D356" s="4">
        <v>22</v>
      </c>
      <c r="E356" s="5">
        <v>16.3</v>
      </c>
      <c r="F356" s="4">
        <v>11</v>
      </c>
      <c r="G356" s="5">
        <v>21.57</v>
      </c>
      <c r="H356" s="4">
        <v>0</v>
      </c>
    </row>
    <row r="357" spans="1:8" x14ac:dyDescent="0.2">
      <c r="A357" s="2" t="s">
        <v>62</v>
      </c>
      <c r="B357" s="4">
        <v>20</v>
      </c>
      <c r="C357" s="5">
        <v>10.47</v>
      </c>
      <c r="D357" s="4">
        <v>9</v>
      </c>
      <c r="E357" s="5">
        <v>6.67</v>
      </c>
      <c r="F357" s="4">
        <v>11</v>
      </c>
      <c r="G357" s="5">
        <v>21.57</v>
      </c>
      <c r="H357" s="4">
        <v>0</v>
      </c>
    </row>
    <row r="358" spans="1:8" x14ac:dyDescent="0.2">
      <c r="A358" s="2" t="s">
        <v>63</v>
      </c>
      <c r="B358" s="4">
        <v>1</v>
      </c>
      <c r="C358" s="5">
        <v>0.52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64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65</v>
      </c>
      <c r="B360" s="4">
        <v>2</v>
      </c>
      <c r="C360" s="5">
        <v>1.05</v>
      </c>
      <c r="D360" s="4">
        <v>1</v>
      </c>
      <c r="E360" s="5">
        <v>0.74</v>
      </c>
      <c r="F360" s="4">
        <v>1</v>
      </c>
      <c r="G360" s="5">
        <v>1.96</v>
      </c>
      <c r="H360" s="4">
        <v>0</v>
      </c>
    </row>
    <row r="361" spans="1:8" x14ac:dyDescent="0.2">
      <c r="A361" s="2" t="s">
        <v>66</v>
      </c>
      <c r="B361" s="4">
        <v>37</v>
      </c>
      <c r="C361" s="5">
        <v>19.37</v>
      </c>
      <c r="D361" s="4">
        <v>26</v>
      </c>
      <c r="E361" s="5">
        <v>19.260000000000002</v>
      </c>
      <c r="F361" s="4">
        <v>11</v>
      </c>
      <c r="G361" s="5">
        <v>21.57</v>
      </c>
      <c r="H361" s="4">
        <v>0</v>
      </c>
    </row>
    <row r="362" spans="1:8" x14ac:dyDescent="0.2">
      <c r="A362" s="2" t="s">
        <v>67</v>
      </c>
      <c r="B362" s="4">
        <v>2</v>
      </c>
      <c r="C362" s="5">
        <v>1.05</v>
      </c>
      <c r="D362" s="4">
        <v>0</v>
      </c>
      <c r="E362" s="5">
        <v>0</v>
      </c>
      <c r="F362" s="4">
        <v>2</v>
      </c>
      <c r="G362" s="5">
        <v>3.92</v>
      </c>
      <c r="H362" s="4">
        <v>0</v>
      </c>
    </row>
    <row r="363" spans="1:8" x14ac:dyDescent="0.2">
      <c r="A363" s="2" t="s">
        <v>68</v>
      </c>
      <c r="B363" s="4">
        <v>4</v>
      </c>
      <c r="C363" s="5">
        <v>2.09</v>
      </c>
      <c r="D363" s="4">
        <v>1</v>
      </c>
      <c r="E363" s="5">
        <v>0.74</v>
      </c>
      <c r="F363" s="4">
        <v>3</v>
      </c>
      <c r="G363" s="5">
        <v>5.88</v>
      </c>
      <c r="H363" s="4">
        <v>0</v>
      </c>
    </row>
    <row r="364" spans="1:8" x14ac:dyDescent="0.2">
      <c r="A364" s="2" t="s">
        <v>69</v>
      </c>
      <c r="B364" s="4">
        <v>5</v>
      </c>
      <c r="C364" s="5">
        <v>2.62</v>
      </c>
      <c r="D364" s="4">
        <v>3</v>
      </c>
      <c r="E364" s="5">
        <v>2.2200000000000002</v>
      </c>
      <c r="F364" s="4">
        <v>2</v>
      </c>
      <c r="G364" s="5">
        <v>3.92</v>
      </c>
      <c r="H364" s="4">
        <v>0</v>
      </c>
    </row>
    <row r="365" spans="1:8" x14ac:dyDescent="0.2">
      <c r="A365" s="2" t="s">
        <v>70</v>
      </c>
      <c r="B365" s="4">
        <v>48</v>
      </c>
      <c r="C365" s="5">
        <v>25.13</v>
      </c>
      <c r="D365" s="4">
        <v>41</v>
      </c>
      <c r="E365" s="5">
        <v>30.37</v>
      </c>
      <c r="F365" s="4">
        <v>7</v>
      </c>
      <c r="G365" s="5">
        <v>13.73</v>
      </c>
      <c r="H365" s="4">
        <v>0</v>
      </c>
    </row>
    <row r="366" spans="1:8" x14ac:dyDescent="0.2">
      <c r="A366" s="2" t="s">
        <v>71</v>
      </c>
      <c r="B366" s="4">
        <v>24</v>
      </c>
      <c r="C366" s="5">
        <v>12.57</v>
      </c>
      <c r="D366" s="4">
        <v>24</v>
      </c>
      <c r="E366" s="5">
        <v>17.78</v>
      </c>
      <c r="F366" s="4">
        <v>0</v>
      </c>
      <c r="G366" s="5">
        <v>0</v>
      </c>
      <c r="H366" s="4">
        <v>0</v>
      </c>
    </row>
    <row r="367" spans="1:8" x14ac:dyDescent="0.2">
      <c r="A367" s="2" t="s">
        <v>72</v>
      </c>
      <c r="B367" s="4">
        <v>2</v>
      </c>
      <c r="C367" s="5">
        <v>1.05</v>
      </c>
      <c r="D367" s="4">
        <v>1</v>
      </c>
      <c r="E367" s="5">
        <v>0.74</v>
      </c>
      <c r="F367" s="4">
        <v>1</v>
      </c>
      <c r="G367" s="5">
        <v>1.96</v>
      </c>
      <c r="H367" s="4">
        <v>0</v>
      </c>
    </row>
    <row r="368" spans="1:8" x14ac:dyDescent="0.2">
      <c r="A368" s="2" t="s">
        <v>73</v>
      </c>
      <c r="B368" s="4">
        <v>9</v>
      </c>
      <c r="C368" s="5">
        <v>4.71</v>
      </c>
      <c r="D368" s="4">
        <v>6</v>
      </c>
      <c r="E368" s="5">
        <v>4.4400000000000004</v>
      </c>
      <c r="F368" s="4">
        <v>2</v>
      </c>
      <c r="G368" s="5">
        <v>3.92</v>
      </c>
      <c r="H368" s="4">
        <v>0</v>
      </c>
    </row>
    <row r="369" spans="1:8" x14ac:dyDescent="0.2">
      <c r="A369" s="2" t="s">
        <v>74</v>
      </c>
      <c r="B369" s="4">
        <v>4</v>
      </c>
      <c r="C369" s="5">
        <v>2.09</v>
      </c>
      <c r="D369" s="4">
        <v>1</v>
      </c>
      <c r="E369" s="5">
        <v>0.74</v>
      </c>
      <c r="F369" s="4">
        <v>0</v>
      </c>
      <c r="G369" s="5">
        <v>0</v>
      </c>
      <c r="H369" s="4">
        <v>0</v>
      </c>
    </row>
    <row r="370" spans="1:8" x14ac:dyDescent="0.2">
      <c r="A370" s="1" t="s">
        <v>23</v>
      </c>
      <c r="B370" s="4">
        <v>657</v>
      </c>
      <c r="C370" s="5">
        <v>99.999999999999986</v>
      </c>
      <c r="D370" s="4">
        <v>435</v>
      </c>
      <c r="E370" s="5">
        <v>100.01</v>
      </c>
      <c r="F370" s="4">
        <v>215</v>
      </c>
      <c r="G370" s="5">
        <v>100.01000000000002</v>
      </c>
      <c r="H370" s="4">
        <v>2</v>
      </c>
    </row>
    <row r="371" spans="1:8" x14ac:dyDescent="0.2">
      <c r="A371" s="2" t="s">
        <v>60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61</v>
      </c>
      <c r="B372" s="4">
        <v>95</v>
      </c>
      <c r="C372" s="5">
        <v>14.46</v>
      </c>
      <c r="D372" s="4">
        <v>54</v>
      </c>
      <c r="E372" s="5">
        <v>12.41</v>
      </c>
      <c r="F372" s="4">
        <v>41</v>
      </c>
      <c r="G372" s="5">
        <v>19.07</v>
      </c>
      <c r="H372" s="4">
        <v>0</v>
      </c>
    </row>
    <row r="373" spans="1:8" x14ac:dyDescent="0.2">
      <c r="A373" s="2" t="s">
        <v>62</v>
      </c>
      <c r="B373" s="4">
        <v>49</v>
      </c>
      <c r="C373" s="5">
        <v>7.46</v>
      </c>
      <c r="D373" s="4">
        <v>23</v>
      </c>
      <c r="E373" s="5">
        <v>5.29</v>
      </c>
      <c r="F373" s="4">
        <v>26</v>
      </c>
      <c r="G373" s="5">
        <v>12.09</v>
      </c>
      <c r="H373" s="4">
        <v>0</v>
      </c>
    </row>
    <row r="374" spans="1:8" x14ac:dyDescent="0.2">
      <c r="A374" s="2" t="s">
        <v>63</v>
      </c>
      <c r="B374" s="4">
        <v>1</v>
      </c>
      <c r="C374" s="5">
        <v>0.15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2">
      <c r="A375" s="2" t="s">
        <v>64</v>
      </c>
      <c r="B375" s="4">
        <v>3</v>
      </c>
      <c r="C375" s="5">
        <v>0.46</v>
      </c>
      <c r="D375" s="4">
        <v>0</v>
      </c>
      <c r="E375" s="5">
        <v>0</v>
      </c>
      <c r="F375" s="4">
        <v>3</v>
      </c>
      <c r="G375" s="5">
        <v>1.4</v>
      </c>
      <c r="H375" s="4">
        <v>0</v>
      </c>
    </row>
    <row r="376" spans="1:8" x14ac:dyDescent="0.2">
      <c r="A376" s="2" t="s">
        <v>65</v>
      </c>
      <c r="B376" s="4">
        <v>6</v>
      </c>
      <c r="C376" s="5">
        <v>0.91</v>
      </c>
      <c r="D376" s="4">
        <v>1</v>
      </c>
      <c r="E376" s="5">
        <v>0.23</v>
      </c>
      <c r="F376" s="4">
        <v>5</v>
      </c>
      <c r="G376" s="5">
        <v>2.33</v>
      </c>
      <c r="H376" s="4">
        <v>0</v>
      </c>
    </row>
    <row r="377" spans="1:8" x14ac:dyDescent="0.2">
      <c r="A377" s="2" t="s">
        <v>66</v>
      </c>
      <c r="B377" s="4">
        <v>175</v>
      </c>
      <c r="C377" s="5">
        <v>26.64</v>
      </c>
      <c r="D377" s="4">
        <v>105</v>
      </c>
      <c r="E377" s="5">
        <v>24.14</v>
      </c>
      <c r="F377" s="4">
        <v>70</v>
      </c>
      <c r="G377" s="5">
        <v>32.56</v>
      </c>
      <c r="H377" s="4">
        <v>0</v>
      </c>
    </row>
    <row r="378" spans="1:8" x14ac:dyDescent="0.2">
      <c r="A378" s="2" t="s">
        <v>67</v>
      </c>
      <c r="B378" s="4">
        <v>2</v>
      </c>
      <c r="C378" s="5">
        <v>0.3</v>
      </c>
      <c r="D378" s="4">
        <v>0</v>
      </c>
      <c r="E378" s="5">
        <v>0</v>
      </c>
      <c r="F378" s="4">
        <v>2</v>
      </c>
      <c r="G378" s="5">
        <v>0.93</v>
      </c>
      <c r="H378" s="4">
        <v>0</v>
      </c>
    </row>
    <row r="379" spans="1:8" x14ac:dyDescent="0.2">
      <c r="A379" s="2" t="s">
        <v>68</v>
      </c>
      <c r="B379" s="4">
        <v>21</v>
      </c>
      <c r="C379" s="5">
        <v>3.2</v>
      </c>
      <c r="D379" s="4">
        <v>15</v>
      </c>
      <c r="E379" s="5">
        <v>3.45</v>
      </c>
      <c r="F379" s="4">
        <v>6</v>
      </c>
      <c r="G379" s="5">
        <v>2.79</v>
      </c>
      <c r="H379" s="4">
        <v>0</v>
      </c>
    </row>
    <row r="380" spans="1:8" x14ac:dyDescent="0.2">
      <c r="A380" s="2" t="s">
        <v>69</v>
      </c>
      <c r="B380" s="4">
        <v>21</v>
      </c>
      <c r="C380" s="5">
        <v>3.2</v>
      </c>
      <c r="D380" s="4">
        <v>12</v>
      </c>
      <c r="E380" s="5">
        <v>2.76</v>
      </c>
      <c r="F380" s="4">
        <v>9</v>
      </c>
      <c r="G380" s="5">
        <v>4.1900000000000004</v>
      </c>
      <c r="H380" s="4">
        <v>0</v>
      </c>
    </row>
    <row r="381" spans="1:8" x14ac:dyDescent="0.2">
      <c r="A381" s="2" t="s">
        <v>70</v>
      </c>
      <c r="B381" s="4">
        <v>138</v>
      </c>
      <c r="C381" s="5">
        <v>21</v>
      </c>
      <c r="D381" s="4">
        <v>127</v>
      </c>
      <c r="E381" s="5">
        <v>29.2</v>
      </c>
      <c r="F381" s="4">
        <v>10</v>
      </c>
      <c r="G381" s="5">
        <v>4.6500000000000004</v>
      </c>
      <c r="H381" s="4">
        <v>1</v>
      </c>
    </row>
    <row r="382" spans="1:8" x14ac:dyDescent="0.2">
      <c r="A382" s="2" t="s">
        <v>71</v>
      </c>
      <c r="B382" s="4">
        <v>91</v>
      </c>
      <c r="C382" s="5">
        <v>13.85</v>
      </c>
      <c r="D382" s="4">
        <v>79</v>
      </c>
      <c r="E382" s="5">
        <v>18.16</v>
      </c>
      <c r="F382" s="4">
        <v>12</v>
      </c>
      <c r="G382" s="5">
        <v>5.58</v>
      </c>
      <c r="H382" s="4">
        <v>0</v>
      </c>
    </row>
    <row r="383" spans="1:8" x14ac:dyDescent="0.2">
      <c r="A383" s="2" t="s">
        <v>72</v>
      </c>
      <c r="B383" s="4">
        <v>10</v>
      </c>
      <c r="C383" s="5">
        <v>1.52</v>
      </c>
      <c r="D383" s="4">
        <v>7</v>
      </c>
      <c r="E383" s="5">
        <v>1.61</v>
      </c>
      <c r="F383" s="4">
        <v>2</v>
      </c>
      <c r="G383" s="5">
        <v>0.93</v>
      </c>
      <c r="H383" s="4">
        <v>0</v>
      </c>
    </row>
    <row r="384" spans="1:8" x14ac:dyDescent="0.2">
      <c r="A384" s="2" t="s">
        <v>73</v>
      </c>
      <c r="B384" s="4">
        <v>18</v>
      </c>
      <c r="C384" s="5">
        <v>2.74</v>
      </c>
      <c r="D384" s="4">
        <v>7</v>
      </c>
      <c r="E384" s="5">
        <v>1.61</v>
      </c>
      <c r="F384" s="4">
        <v>9</v>
      </c>
      <c r="G384" s="5">
        <v>4.1900000000000004</v>
      </c>
      <c r="H384" s="4">
        <v>0</v>
      </c>
    </row>
    <row r="385" spans="1:8" x14ac:dyDescent="0.2">
      <c r="A385" s="2" t="s">
        <v>74</v>
      </c>
      <c r="B385" s="4">
        <v>27</v>
      </c>
      <c r="C385" s="5">
        <v>4.1100000000000003</v>
      </c>
      <c r="D385" s="4">
        <v>5</v>
      </c>
      <c r="E385" s="5">
        <v>1.1499999999999999</v>
      </c>
      <c r="F385" s="4">
        <v>20</v>
      </c>
      <c r="G385" s="5">
        <v>9.3000000000000007</v>
      </c>
      <c r="H385" s="4">
        <v>1</v>
      </c>
    </row>
    <row r="386" spans="1:8" x14ac:dyDescent="0.2">
      <c r="A386" s="1" t="s">
        <v>24</v>
      </c>
      <c r="B386" s="4">
        <v>179</v>
      </c>
      <c r="C386" s="5">
        <v>100.00000000000003</v>
      </c>
      <c r="D386" s="4">
        <v>117</v>
      </c>
      <c r="E386" s="5">
        <v>99.97999999999999</v>
      </c>
      <c r="F386" s="4">
        <v>56</v>
      </c>
      <c r="G386" s="5">
        <v>100.02</v>
      </c>
      <c r="H386" s="4">
        <v>3</v>
      </c>
    </row>
    <row r="387" spans="1:8" x14ac:dyDescent="0.2">
      <c r="A387" s="2" t="s">
        <v>60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61</v>
      </c>
      <c r="B388" s="4">
        <v>14</v>
      </c>
      <c r="C388" s="5">
        <v>7.82</v>
      </c>
      <c r="D388" s="4">
        <v>7</v>
      </c>
      <c r="E388" s="5">
        <v>5.98</v>
      </c>
      <c r="F388" s="4">
        <v>7</v>
      </c>
      <c r="G388" s="5">
        <v>12.5</v>
      </c>
      <c r="H388" s="4">
        <v>0</v>
      </c>
    </row>
    <row r="389" spans="1:8" x14ac:dyDescent="0.2">
      <c r="A389" s="2" t="s">
        <v>62</v>
      </c>
      <c r="B389" s="4">
        <v>6</v>
      </c>
      <c r="C389" s="5">
        <v>3.35</v>
      </c>
      <c r="D389" s="4">
        <v>3</v>
      </c>
      <c r="E389" s="5">
        <v>2.56</v>
      </c>
      <c r="F389" s="4">
        <v>3</v>
      </c>
      <c r="G389" s="5">
        <v>5.36</v>
      </c>
      <c r="H389" s="4">
        <v>0</v>
      </c>
    </row>
    <row r="390" spans="1:8" x14ac:dyDescent="0.2">
      <c r="A390" s="2" t="s">
        <v>63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64</v>
      </c>
      <c r="B391" s="4">
        <v>1</v>
      </c>
      <c r="C391" s="5">
        <v>0.56000000000000005</v>
      </c>
      <c r="D391" s="4">
        <v>0</v>
      </c>
      <c r="E391" s="5">
        <v>0</v>
      </c>
      <c r="F391" s="4">
        <v>1</v>
      </c>
      <c r="G391" s="5">
        <v>1.79</v>
      </c>
      <c r="H391" s="4">
        <v>0</v>
      </c>
    </row>
    <row r="392" spans="1:8" x14ac:dyDescent="0.2">
      <c r="A392" s="2" t="s">
        <v>65</v>
      </c>
      <c r="B392" s="4">
        <v>2</v>
      </c>
      <c r="C392" s="5">
        <v>1.1200000000000001</v>
      </c>
      <c r="D392" s="4">
        <v>0</v>
      </c>
      <c r="E392" s="5">
        <v>0</v>
      </c>
      <c r="F392" s="4">
        <v>1</v>
      </c>
      <c r="G392" s="5">
        <v>1.79</v>
      </c>
      <c r="H392" s="4">
        <v>1</v>
      </c>
    </row>
    <row r="393" spans="1:8" x14ac:dyDescent="0.2">
      <c r="A393" s="2" t="s">
        <v>66</v>
      </c>
      <c r="B393" s="4">
        <v>21</v>
      </c>
      <c r="C393" s="5">
        <v>11.73</v>
      </c>
      <c r="D393" s="4">
        <v>9</v>
      </c>
      <c r="E393" s="5">
        <v>7.69</v>
      </c>
      <c r="F393" s="4">
        <v>12</v>
      </c>
      <c r="G393" s="5">
        <v>21.43</v>
      </c>
      <c r="H393" s="4">
        <v>0</v>
      </c>
    </row>
    <row r="394" spans="1:8" x14ac:dyDescent="0.2">
      <c r="A394" s="2" t="s">
        <v>67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68</v>
      </c>
      <c r="B395" s="4">
        <v>4</v>
      </c>
      <c r="C395" s="5">
        <v>2.23</v>
      </c>
      <c r="D395" s="4">
        <v>3</v>
      </c>
      <c r="E395" s="5">
        <v>2.56</v>
      </c>
      <c r="F395" s="4">
        <v>1</v>
      </c>
      <c r="G395" s="5">
        <v>1.79</v>
      </c>
      <c r="H395" s="4">
        <v>0</v>
      </c>
    </row>
    <row r="396" spans="1:8" x14ac:dyDescent="0.2">
      <c r="A396" s="2" t="s">
        <v>69</v>
      </c>
      <c r="B396" s="4">
        <v>3</v>
      </c>
      <c r="C396" s="5">
        <v>1.68</v>
      </c>
      <c r="D396" s="4">
        <v>2</v>
      </c>
      <c r="E396" s="5">
        <v>1.71</v>
      </c>
      <c r="F396" s="4">
        <v>1</v>
      </c>
      <c r="G396" s="5">
        <v>1.79</v>
      </c>
      <c r="H396" s="4">
        <v>0</v>
      </c>
    </row>
    <row r="397" spans="1:8" x14ac:dyDescent="0.2">
      <c r="A397" s="2" t="s">
        <v>70</v>
      </c>
      <c r="B397" s="4">
        <v>106</v>
      </c>
      <c r="C397" s="5">
        <v>59.22</v>
      </c>
      <c r="D397" s="4">
        <v>83</v>
      </c>
      <c r="E397" s="5">
        <v>70.94</v>
      </c>
      <c r="F397" s="4">
        <v>20</v>
      </c>
      <c r="G397" s="5">
        <v>35.71</v>
      </c>
      <c r="H397" s="4">
        <v>1</v>
      </c>
    </row>
    <row r="398" spans="1:8" x14ac:dyDescent="0.2">
      <c r="A398" s="2" t="s">
        <v>71</v>
      </c>
      <c r="B398" s="4">
        <v>13</v>
      </c>
      <c r="C398" s="5">
        <v>7.26</v>
      </c>
      <c r="D398" s="4">
        <v>9</v>
      </c>
      <c r="E398" s="5">
        <v>7.69</v>
      </c>
      <c r="F398" s="4">
        <v>4</v>
      </c>
      <c r="G398" s="5">
        <v>7.14</v>
      </c>
      <c r="H398" s="4">
        <v>0</v>
      </c>
    </row>
    <row r="399" spans="1:8" x14ac:dyDescent="0.2">
      <c r="A399" s="2" t="s">
        <v>72</v>
      </c>
      <c r="B399" s="4">
        <v>2</v>
      </c>
      <c r="C399" s="5">
        <v>1.1200000000000001</v>
      </c>
      <c r="D399" s="4">
        <v>0</v>
      </c>
      <c r="E399" s="5">
        <v>0</v>
      </c>
      <c r="F399" s="4">
        <v>2</v>
      </c>
      <c r="G399" s="5">
        <v>3.57</v>
      </c>
      <c r="H399" s="4">
        <v>0</v>
      </c>
    </row>
    <row r="400" spans="1:8" x14ac:dyDescent="0.2">
      <c r="A400" s="2" t="s">
        <v>73</v>
      </c>
      <c r="B400" s="4">
        <v>2</v>
      </c>
      <c r="C400" s="5">
        <v>1.1200000000000001</v>
      </c>
      <c r="D400" s="4">
        <v>1</v>
      </c>
      <c r="E400" s="5">
        <v>0.85</v>
      </c>
      <c r="F400" s="4">
        <v>1</v>
      </c>
      <c r="G400" s="5">
        <v>1.79</v>
      </c>
      <c r="H400" s="4">
        <v>0</v>
      </c>
    </row>
    <row r="401" spans="1:8" x14ac:dyDescent="0.2">
      <c r="A401" s="2" t="s">
        <v>74</v>
      </c>
      <c r="B401" s="4">
        <v>5</v>
      </c>
      <c r="C401" s="5">
        <v>2.79</v>
      </c>
      <c r="D401" s="4">
        <v>0</v>
      </c>
      <c r="E401" s="5">
        <v>0</v>
      </c>
      <c r="F401" s="4">
        <v>3</v>
      </c>
      <c r="G401" s="5">
        <v>5.36</v>
      </c>
      <c r="H401" s="4">
        <v>1</v>
      </c>
    </row>
    <row r="402" spans="1:8" x14ac:dyDescent="0.2">
      <c r="A402" s="1" t="s">
        <v>25</v>
      </c>
      <c r="B402" s="4">
        <v>207</v>
      </c>
      <c r="C402" s="5">
        <v>99.990000000000009</v>
      </c>
      <c r="D402" s="4">
        <v>139</v>
      </c>
      <c r="E402" s="5">
        <v>100.00999999999998</v>
      </c>
      <c r="F402" s="4">
        <v>62</v>
      </c>
      <c r="G402" s="5">
        <v>100.00000000000001</v>
      </c>
      <c r="H402" s="4">
        <v>1</v>
      </c>
    </row>
    <row r="403" spans="1:8" x14ac:dyDescent="0.2">
      <c r="A403" s="2" t="s">
        <v>60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61</v>
      </c>
      <c r="B404" s="4">
        <v>49</v>
      </c>
      <c r="C404" s="5">
        <v>23.67</v>
      </c>
      <c r="D404" s="4">
        <v>28</v>
      </c>
      <c r="E404" s="5">
        <v>20.14</v>
      </c>
      <c r="F404" s="4">
        <v>21</v>
      </c>
      <c r="G404" s="5">
        <v>33.869999999999997</v>
      </c>
      <c r="H404" s="4">
        <v>0</v>
      </c>
    </row>
    <row r="405" spans="1:8" x14ac:dyDescent="0.2">
      <c r="A405" s="2" t="s">
        <v>62</v>
      </c>
      <c r="B405" s="4">
        <v>19</v>
      </c>
      <c r="C405" s="5">
        <v>9.18</v>
      </c>
      <c r="D405" s="4">
        <v>9</v>
      </c>
      <c r="E405" s="5">
        <v>6.47</v>
      </c>
      <c r="F405" s="4">
        <v>10</v>
      </c>
      <c r="G405" s="5">
        <v>16.13</v>
      </c>
      <c r="H405" s="4">
        <v>0</v>
      </c>
    </row>
    <row r="406" spans="1:8" x14ac:dyDescent="0.2">
      <c r="A406" s="2" t="s">
        <v>63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64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65</v>
      </c>
      <c r="B408" s="4">
        <v>1</v>
      </c>
      <c r="C408" s="5">
        <v>0.48</v>
      </c>
      <c r="D408" s="4">
        <v>0</v>
      </c>
      <c r="E408" s="5">
        <v>0</v>
      </c>
      <c r="F408" s="4">
        <v>0</v>
      </c>
      <c r="G408" s="5">
        <v>0</v>
      </c>
      <c r="H408" s="4">
        <v>1</v>
      </c>
    </row>
    <row r="409" spans="1:8" x14ac:dyDescent="0.2">
      <c r="A409" s="2" t="s">
        <v>66</v>
      </c>
      <c r="B409" s="4">
        <v>56</v>
      </c>
      <c r="C409" s="5">
        <v>27.05</v>
      </c>
      <c r="D409" s="4">
        <v>40</v>
      </c>
      <c r="E409" s="5">
        <v>28.78</v>
      </c>
      <c r="F409" s="4">
        <v>16</v>
      </c>
      <c r="G409" s="5">
        <v>25.81</v>
      </c>
      <c r="H409" s="4">
        <v>0</v>
      </c>
    </row>
    <row r="410" spans="1:8" x14ac:dyDescent="0.2">
      <c r="A410" s="2" t="s">
        <v>67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68</v>
      </c>
      <c r="B411" s="4">
        <v>1</v>
      </c>
      <c r="C411" s="5">
        <v>0.48</v>
      </c>
      <c r="D411" s="4">
        <v>0</v>
      </c>
      <c r="E411" s="5">
        <v>0</v>
      </c>
      <c r="F411" s="4">
        <v>1</v>
      </c>
      <c r="G411" s="5">
        <v>1.61</v>
      </c>
      <c r="H411" s="4">
        <v>0</v>
      </c>
    </row>
    <row r="412" spans="1:8" x14ac:dyDescent="0.2">
      <c r="A412" s="2" t="s">
        <v>69</v>
      </c>
      <c r="B412" s="4">
        <v>5</v>
      </c>
      <c r="C412" s="5">
        <v>2.42</v>
      </c>
      <c r="D412" s="4">
        <v>3</v>
      </c>
      <c r="E412" s="5">
        <v>2.16</v>
      </c>
      <c r="F412" s="4">
        <v>2</v>
      </c>
      <c r="G412" s="5">
        <v>3.23</v>
      </c>
      <c r="H412" s="4">
        <v>0</v>
      </c>
    </row>
    <row r="413" spans="1:8" x14ac:dyDescent="0.2">
      <c r="A413" s="2" t="s">
        <v>70</v>
      </c>
      <c r="B413" s="4">
        <v>32</v>
      </c>
      <c r="C413" s="5">
        <v>15.46</v>
      </c>
      <c r="D413" s="4">
        <v>26</v>
      </c>
      <c r="E413" s="5">
        <v>18.71</v>
      </c>
      <c r="F413" s="4">
        <v>6</v>
      </c>
      <c r="G413" s="5">
        <v>9.68</v>
      </c>
      <c r="H413" s="4">
        <v>0</v>
      </c>
    </row>
    <row r="414" spans="1:8" x14ac:dyDescent="0.2">
      <c r="A414" s="2" t="s">
        <v>71</v>
      </c>
      <c r="B414" s="4">
        <v>24</v>
      </c>
      <c r="C414" s="5">
        <v>11.59</v>
      </c>
      <c r="D414" s="4">
        <v>23</v>
      </c>
      <c r="E414" s="5">
        <v>16.55</v>
      </c>
      <c r="F414" s="4">
        <v>1</v>
      </c>
      <c r="G414" s="5">
        <v>1.61</v>
      </c>
      <c r="H414" s="4">
        <v>0</v>
      </c>
    </row>
    <row r="415" spans="1:8" x14ac:dyDescent="0.2">
      <c r="A415" s="2" t="s">
        <v>72</v>
      </c>
      <c r="B415" s="4">
        <v>6</v>
      </c>
      <c r="C415" s="5">
        <v>2.9</v>
      </c>
      <c r="D415" s="4">
        <v>3</v>
      </c>
      <c r="E415" s="5">
        <v>2.16</v>
      </c>
      <c r="F415" s="4">
        <v>1</v>
      </c>
      <c r="G415" s="5">
        <v>1.61</v>
      </c>
      <c r="H415" s="4">
        <v>0</v>
      </c>
    </row>
    <row r="416" spans="1:8" x14ac:dyDescent="0.2">
      <c r="A416" s="2" t="s">
        <v>73</v>
      </c>
      <c r="B416" s="4">
        <v>10</v>
      </c>
      <c r="C416" s="5">
        <v>4.83</v>
      </c>
      <c r="D416" s="4">
        <v>4</v>
      </c>
      <c r="E416" s="5">
        <v>2.88</v>
      </c>
      <c r="F416" s="4">
        <v>3</v>
      </c>
      <c r="G416" s="5">
        <v>4.84</v>
      </c>
      <c r="H416" s="4">
        <v>0</v>
      </c>
    </row>
    <row r="417" spans="1:8" x14ac:dyDescent="0.2">
      <c r="A417" s="2" t="s">
        <v>74</v>
      </c>
      <c r="B417" s="4">
        <v>4</v>
      </c>
      <c r="C417" s="5">
        <v>1.93</v>
      </c>
      <c r="D417" s="4">
        <v>3</v>
      </c>
      <c r="E417" s="5">
        <v>2.16</v>
      </c>
      <c r="F417" s="4">
        <v>1</v>
      </c>
      <c r="G417" s="5">
        <v>1.61</v>
      </c>
      <c r="H417" s="4">
        <v>0</v>
      </c>
    </row>
    <row r="418" spans="1:8" x14ac:dyDescent="0.2">
      <c r="A418" s="1" t="s">
        <v>26</v>
      </c>
      <c r="B418" s="4">
        <v>69</v>
      </c>
      <c r="C418" s="5">
        <v>99.990000000000009</v>
      </c>
      <c r="D418" s="4">
        <v>37</v>
      </c>
      <c r="E418" s="5">
        <v>99.990000000000009</v>
      </c>
      <c r="F418" s="4">
        <v>30</v>
      </c>
      <c r="G418" s="5">
        <v>99.99</v>
      </c>
      <c r="H418" s="4">
        <v>0</v>
      </c>
    </row>
    <row r="419" spans="1:8" x14ac:dyDescent="0.2">
      <c r="A419" s="2" t="s">
        <v>60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61</v>
      </c>
      <c r="B420" s="4">
        <v>9</v>
      </c>
      <c r="C420" s="5">
        <v>13.04</v>
      </c>
      <c r="D420" s="4">
        <v>6</v>
      </c>
      <c r="E420" s="5">
        <v>16.22</v>
      </c>
      <c r="F420" s="4">
        <v>3</v>
      </c>
      <c r="G420" s="5">
        <v>10</v>
      </c>
      <c r="H420" s="4">
        <v>0</v>
      </c>
    </row>
    <row r="421" spans="1:8" x14ac:dyDescent="0.2">
      <c r="A421" s="2" t="s">
        <v>62</v>
      </c>
      <c r="B421" s="4">
        <v>12</v>
      </c>
      <c r="C421" s="5">
        <v>17.39</v>
      </c>
      <c r="D421" s="4">
        <v>1</v>
      </c>
      <c r="E421" s="5">
        <v>2.7</v>
      </c>
      <c r="F421" s="4">
        <v>11</v>
      </c>
      <c r="G421" s="5">
        <v>36.67</v>
      </c>
      <c r="H421" s="4">
        <v>0</v>
      </c>
    </row>
    <row r="422" spans="1:8" x14ac:dyDescent="0.2">
      <c r="A422" s="2" t="s">
        <v>63</v>
      </c>
      <c r="B422" s="4">
        <v>2</v>
      </c>
      <c r="C422" s="5">
        <v>2.9</v>
      </c>
      <c r="D422" s="4">
        <v>1</v>
      </c>
      <c r="E422" s="5">
        <v>2.7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64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65</v>
      </c>
      <c r="B424" s="4">
        <v>1</v>
      </c>
      <c r="C424" s="5">
        <v>1.45</v>
      </c>
      <c r="D424" s="4">
        <v>0</v>
      </c>
      <c r="E424" s="5">
        <v>0</v>
      </c>
      <c r="F424" s="4">
        <v>1</v>
      </c>
      <c r="G424" s="5">
        <v>3.33</v>
      </c>
      <c r="H424" s="4">
        <v>0</v>
      </c>
    </row>
    <row r="425" spans="1:8" x14ac:dyDescent="0.2">
      <c r="A425" s="2" t="s">
        <v>66</v>
      </c>
      <c r="B425" s="4">
        <v>9</v>
      </c>
      <c r="C425" s="5">
        <v>13.04</v>
      </c>
      <c r="D425" s="4">
        <v>5</v>
      </c>
      <c r="E425" s="5">
        <v>13.51</v>
      </c>
      <c r="F425" s="4">
        <v>4</v>
      </c>
      <c r="G425" s="5">
        <v>13.33</v>
      </c>
      <c r="H425" s="4">
        <v>0</v>
      </c>
    </row>
    <row r="426" spans="1:8" x14ac:dyDescent="0.2">
      <c r="A426" s="2" t="s">
        <v>67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2">
      <c r="A427" s="2" t="s">
        <v>68</v>
      </c>
      <c r="B427" s="4">
        <v>0</v>
      </c>
      <c r="C427" s="5">
        <v>0</v>
      </c>
      <c r="D427" s="4">
        <v>0</v>
      </c>
      <c r="E427" s="5">
        <v>0</v>
      </c>
      <c r="F427" s="4">
        <v>0</v>
      </c>
      <c r="G427" s="5">
        <v>0</v>
      </c>
      <c r="H427" s="4">
        <v>0</v>
      </c>
    </row>
    <row r="428" spans="1:8" x14ac:dyDescent="0.2">
      <c r="A428" s="2" t="s">
        <v>69</v>
      </c>
      <c r="B428" s="4">
        <v>2</v>
      </c>
      <c r="C428" s="5">
        <v>2.9</v>
      </c>
      <c r="D428" s="4">
        <v>1</v>
      </c>
      <c r="E428" s="5">
        <v>2.7</v>
      </c>
      <c r="F428" s="4">
        <v>1</v>
      </c>
      <c r="G428" s="5">
        <v>3.33</v>
      </c>
      <c r="H428" s="4">
        <v>0</v>
      </c>
    </row>
    <row r="429" spans="1:8" x14ac:dyDescent="0.2">
      <c r="A429" s="2" t="s">
        <v>70</v>
      </c>
      <c r="B429" s="4">
        <v>17</v>
      </c>
      <c r="C429" s="5">
        <v>24.64</v>
      </c>
      <c r="D429" s="4">
        <v>13</v>
      </c>
      <c r="E429" s="5">
        <v>35.14</v>
      </c>
      <c r="F429" s="4">
        <v>4</v>
      </c>
      <c r="G429" s="5">
        <v>13.33</v>
      </c>
      <c r="H429" s="4">
        <v>0</v>
      </c>
    </row>
    <row r="430" spans="1:8" x14ac:dyDescent="0.2">
      <c r="A430" s="2" t="s">
        <v>71</v>
      </c>
      <c r="B430" s="4">
        <v>8</v>
      </c>
      <c r="C430" s="5">
        <v>11.59</v>
      </c>
      <c r="D430" s="4">
        <v>7</v>
      </c>
      <c r="E430" s="5">
        <v>18.920000000000002</v>
      </c>
      <c r="F430" s="4">
        <v>1</v>
      </c>
      <c r="G430" s="5">
        <v>3.33</v>
      </c>
      <c r="H430" s="4">
        <v>0</v>
      </c>
    </row>
    <row r="431" spans="1:8" x14ac:dyDescent="0.2">
      <c r="A431" s="2" t="s">
        <v>72</v>
      </c>
      <c r="B431" s="4">
        <v>1</v>
      </c>
      <c r="C431" s="5">
        <v>1.45</v>
      </c>
      <c r="D431" s="4">
        <v>1</v>
      </c>
      <c r="E431" s="5">
        <v>2.7</v>
      </c>
      <c r="F431" s="4">
        <v>0</v>
      </c>
      <c r="G431" s="5">
        <v>0</v>
      </c>
      <c r="H431" s="4">
        <v>0</v>
      </c>
    </row>
    <row r="432" spans="1:8" x14ac:dyDescent="0.2">
      <c r="A432" s="2" t="s">
        <v>73</v>
      </c>
      <c r="B432" s="4">
        <v>1</v>
      </c>
      <c r="C432" s="5">
        <v>1.45</v>
      </c>
      <c r="D432" s="4">
        <v>1</v>
      </c>
      <c r="E432" s="5">
        <v>2.7</v>
      </c>
      <c r="F432" s="4">
        <v>0</v>
      </c>
      <c r="G432" s="5">
        <v>0</v>
      </c>
      <c r="H432" s="4">
        <v>0</v>
      </c>
    </row>
    <row r="433" spans="1:8" x14ac:dyDescent="0.2">
      <c r="A433" s="2" t="s">
        <v>74</v>
      </c>
      <c r="B433" s="4">
        <v>7</v>
      </c>
      <c r="C433" s="5">
        <v>10.14</v>
      </c>
      <c r="D433" s="4">
        <v>1</v>
      </c>
      <c r="E433" s="5">
        <v>2.7</v>
      </c>
      <c r="F433" s="4">
        <v>5</v>
      </c>
      <c r="G433" s="5">
        <v>16.670000000000002</v>
      </c>
      <c r="H433" s="4">
        <v>0</v>
      </c>
    </row>
    <row r="434" spans="1:8" x14ac:dyDescent="0.2">
      <c r="A434" s="1" t="s">
        <v>27</v>
      </c>
      <c r="B434" s="4">
        <v>478</v>
      </c>
      <c r="C434" s="5">
        <v>100.01</v>
      </c>
      <c r="D434" s="4">
        <v>263</v>
      </c>
      <c r="E434" s="5">
        <v>99.990000000000009</v>
      </c>
      <c r="F434" s="4">
        <v>208</v>
      </c>
      <c r="G434" s="5">
        <v>99.97999999999999</v>
      </c>
      <c r="H434" s="4">
        <v>0</v>
      </c>
    </row>
    <row r="435" spans="1:8" x14ac:dyDescent="0.2">
      <c r="A435" s="2" t="s">
        <v>60</v>
      </c>
      <c r="B435" s="4">
        <v>1</v>
      </c>
      <c r="C435" s="5">
        <v>0.21</v>
      </c>
      <c r="D435" s="4">
        <v>0</v>
      </c>
      <c r="E435" s="5">
        <v>0</v>
      </c>
      <c r="F435" s="4">
        <v>1</v>
      </c>
      <c r="G435" s="5">
        <v>0.48</v>
      </c>
      <c r="H435" s="4">
        <v>0</v>
      </c>
    </row>
    <row r="436" spans="1:8" x14ac:dyDescent="0.2">
      <c r="A436" s="2" t="s">
        <v>61</v>
      </c>
      <c r="B436" s="4">
        <v>75</v>
      </c>
      <c r="C436" s="5">
        <v>15.69</v>
      </c>
      <c r="D436" s="4">
        <v>35</v>
      </c>
      <c r="E436" s="5">
        <v>13.31</v>
      </c>
      <c r="F436" s="4">
        <v>40</v>
      </c>
      <c r="G436" s="5">
        <v>19.23</v>
      </c>
      <c r="H436" s="4">
        <v>0</v>
      </c>
    </row>
    <row r="437" spans="1:8" x14ac:dyDescent="0.2">
      <c r="A437" s="2" t="s">
        <v>62</v>
      </c>
      <c r="B437" s="4">
        <v>38</v>
      </c>
      <c r="C437" s="5">
        <v>7.95</v>
      </c>
      <c r="D437" s="4">
        <v>10</v>
      </c>
      <c r="E437" s="5">
        <v>3.8</v>
      </c>
      <c r="F437" s="4">
        <v>27</v>
      </c>
      <c r="G437" s="5">
        <v>12.98</v>
      </c>
      <c r="H437" s="4">
        <v>0</v>
      </c>
    </row>
    <row r="438" spans="1:8" x14ac:dyDescent="0.2">
      <c r="A438" s="2" t="s">
        <v>63</v>
      </c>
      <c r="B438" s="4">
        <v>1</v>
      </c>
      <c r="C438" s="5">
        <v>0.21</v>
      </c>
      <c r="D438" s="4">
        <v>0</v>
      </c>
      <c r="E438" s="5">
        <v>0</v>
      </c>
      <c r="F438" s="4">
        <v>1</v>
      </c>
      <c r="G438" s="5">
        <v>0.48</v>
      </c>
      <c r="H438" s="4">
        <v>0</v>
      </c>
    </row>
    <row r="439" spans="1:8" x14ac:dyDescent="0.2">
      <c r="A439" s="2" t="s">
        <v>64</v>
      </c>
      <c r="B439" s="4">
        <v>4</v>
      </c>
      <c r="C439" s="5">
        <v>0.84</v>
      </c>
      <c r="D439" s="4">
        <v>0</v>
      </c>
      <c r="E439" s="5">
        <v>0</v>
      </c>
      <c r="F439" s="4">
        <v>4</v>
      </c>
      <c r="G439" s="5">
        <v>1.92</v>
      </c>
      <c r="H439" s="4">
        <v>0</v>
      </c>
    </row>
    <row r="440" spans="1:8" x14ac:dyDescent="0.2">
      <c r="A440" s="2" t="s">
        <v>65</v>
      </c>
      <c r="B440" s="4">
        <v>3</v>
      </c>
      <c r="C440" s="5">
        <v>0.63</v>
      </c>
      <c r="D440" s="4">
        <v>2</v>
      </c>
      <c r="E440" s="5">
        <v>0.76</v>
      </c>
      <c r="F440" s="4">
        <v>1</v>
      </c>
      <c r="G440" s="5">
        <v>0.48</v>
      </c>
      <c r="H440" s="4">
        <v>0</v>
      </c>
    </row>
    <row r="441" spans="1:8" x14ac:dyDescent="0.2">
      <c r="A441" s="2" t="s">
        <v>66</v>
      </c>
      <c r="B441" s="4">
        <v>92</v>
      </c>
      <c r="C441" s="5">
        <v>19.25</v>
      </c>
      <c r="D441" s="4">
        <v>47</v>
      </c>
      <c r="E441" s="5">
        <v>17.87</v>
      </c>
      <c r="F441" s="4">
        <v>45</v>
      </c>
      <c r="G441" s="5">
        <v>21.63</v>
      </c>
      <c r="H441" s="4">
        <v>0</v>
      </c>
    </row>
    <row r="442" spans="1:8" x14ac:dyDescent="0.2">
      <c r="A442" s="2" t="s">
        <v>67</v>
      </c>
      <c r="B442" s="4">
        <v>1</v>
      </c>
      <c r="C442" s="5">
        <v>0.21</v>
      </c>
      <c r="D442" s="4">
        <v>0</v>
      </c>
      <c r="E442" s="5">
        <v>0</v>
      </c>
      <c r="F442" s="4">
        <v>1</v>
      </c>
      <c r="G442" s="5">
        <v>0.48</v>
      </c>
      <c r="H442" s="4">
        <v>0</v>
      </c>
    </row>
    <row r="443" spans="1:8" x14ac:dyDescent="0.2">
      <c r="A443" s="2" t="s">
        <v>68</v>
      </c>
      <c r="B443" s="4">
        <v>24</v>
      </c>
      <c r="C443" s="5">
        <v>5.0199999999999996</v>
      </c>
      <c r="D443" s="4">
        <v>7</v>
      </c>
      <c r="E443" s="5">
        <v>2.66</v>
      </c>
      <c r="F443" s="4">
        <v>17</v>
      </c>
      <c r="G443" s="5">
        <v>8.17</v>
      </c>
      <c r="H443" s="4">
        <v>0</v>
      </c>
    </row>
    <row r="444" spans="1:8" x14ac:dyDescent="0.2">
      <c r="A444" s="2" t="s">
        <v>69</v>
      </c>
      <c r="B444" s="4">
        <v>10</v>
      </c>
      <c r="C444" s="5">
        <v>2.09</v>
      </c>
      <c r="D444" s="4">
        <v>6</v>
      </c>
      <c r="E444" s="5">
        <v>2.2799999999999998</v>
      </c>
      <c r="F444" s="4">
        <v>4</v>
      </c>
      <c r="G444" s="5">
        <v>1.92</v>
      </c>
      <c r="H444" s="4">
        <v>0</v>
      </c>
    </row>
    <row r="445" spans="1:8" x14ac:dyDescent="0.2">
      <c r="A445" s="2" t="s">
        <v>70</v>
      </c>
      <c r="B445" s="4">
        <v>106</v>
      </c>
      <c r="C445" s="5">
        <v>22.18</v>
      </c>
      <c r="D445" s="4">
        <v>75</v>
      </c>
      <c r="E445" s="5">
        <v>28.52</v>
      </c>
      <c r="F445" s="4">
        <v>31</v>
      </c>
      <c r="G445" s="5">
        <v>14.9</v>
      </c>
      <c r="H445" s="4">
        <v>0</v>
      </c>
    </row>
    <row r="446" spans="1:8" x14ac:dyDescent="0.2">
      <c r="A446" s="2" t="s">
        <v>71</v>
      </c>
      <c r="B446" s="4">
        <v>61</v>
      </c>
      <c r="C446" s="5">
        <v>12.76</v>
      </c>
      <c r="D446" s="4">
        <v>47</v>
      </c>
      <c r="E446" s="5">
        <v>17.87</v>
      </c>
      <c r="F446" s="4">
        <v>13</v>
      </c>
      <c r="G446" s="5">
        <v>6.25</v>
      </c>
      <c r="H446" s="4">
        <v>0</v>
      </c>
    </row>
    <row r="447" spans="1:8" x14ac:dyDescent="0.2">
      <c r="A447" s="2" t="s">
        <v>72</v>
      </c>
      <c r="B447" s="4">
        <v>23</v>
      </c>
      <c r="C447" s="5">
        <v>4.8099999999999996</v>
      </c>
      <c r="D447" s="4">
        <v>15</v>
      </c>
      <c r="E447" s="5">
        <v>5.7</v>
      </c>
      <c r="F447" s="4">
        <v>8</v>
      </c>
      <c r="G447" s="5">
        <v>3.85</v>
      </c>
      <c r="H447" s="4">
        <v>0</v>
      </c>
    </row>
    <row r="448" spans="1:8" x14ac:dyDescent="0.2">
      <c r="A448" s="2" t="s">
        <v>73</v>
      </c>
      <c r="B448" s="4">
        <v>23</v>
      </c>
      <c r="C448" s="5">
        <v>4.8099999999999996</v>
      </c>
      <c r="D448" s="4">
        <v>13</v>
      </c>
      <c r="E448" s="5">
        <v>4.9400000000000004</v>
      </c>
      <c r="F448" s="4">
        <v>5</v>
      </c>
      <c r="G448" s="5">
        <v>2.4</v>
      </c>
      <c r="H448" s="4">
        <v>0</v>
      </c>
    </row>
    <row r="449" spans="1:8" x14ac:dyDescent="0.2">
      <c r="A449" s="2" t="s">
        <v>74</v>
      </c>
      <c r="B449" s="4">
        <v>16</v>
      </c>
      <c r="C449" s="5">
        <v>3.35</v>
      </c>
      <c r="D449" s="4">
        <v>6</v>
      </c>
      <c r="E449" s="5">
        <v>2.2799999999999998</v>
      </c>
      <c r="F449" s="4">
        <v>10</v>
      </c>
      <c r="G449" s="5">
        <v>4.8099999999999996</v>
      </c>
      <c r="H449" s="4">
        <v>0</v>
      </c>
    </row>
    <row r="450" spans="1:8" x14ac:dyDescent="0.2">
      <c r="A450" s="1" t="s">
        <v>28</v>
      </c>
      <c r="B450" s="4">
        <v>505</v>
      </c>
      <c r="C450" s="5">
        <v>99.990000000000009</v>
      </c>
      <c r="D450" s="4">
        <v>330</v>
      </c>
      <c r="E450" s="5">
        <v>100</v>
      </c>
      <c r="F450" s="4">
        <v>166</v>
      </c>
      <c r="G450" s="5">
        <v>99.99</v>
      </c>
      <c r="H450" s="4">
        <v>0</v>
      </c>
    </row>
    <row r="451" spans="1:8" x14ac:dyDescent="0.2">
      <c r="A451" s="2" t="s">
        <v>60</v>
      </c>
      <c r="B451" s="4">
        <v>1</v>
      </c>
      <c r="C451" s="5">
        <v>0.2</v>
      </c>
      <c r="D451" s="4">
        <v>0</v>
      </c>
      <c r="E451" s="5">
        <v>0</v>
      </c>
      <c r="F451" s="4">
        <v>1</v>
      </c>
      <c r="G451" s="5">
        <v>0.6</v>
      </c>
      <c r="H451" s="4">
        <v>0</v>
      </c>
    </row>
    <row r="452" spans="1:8" x14ac:dyDescent="0.2">
      <c r="A452" s="2" t="s">
        <v>61</v>
      </c>
      <c r="B452" s="4">
        <v>80</v>
      </c>
      <c r="C452" s="5">
        <v>15.84</v>
      </c>
      <c r="D452" s="4">
        <v>44</v>
      </c>
      <c r="E452" s="5">
        <v>13.33</v>
      </c>
      <c r="F452" s="4">
        <v>36</v>
      </c>
      <c r="G452" s="5">
        <v>21.69</v>
      </c>
      <c r="H452" s="4">
        <v>0</v>
      </c>
    </row>
    <row r="453" spans="1:8" x14ac:dyDescent="0.2">
      <c r="A453" s="2" t="s">
        <v>62</v>
      </c>
      <c r="B453" s="4">
        <v>34</v>
      </c>
      <c r="C453" s="5">
        <v>6.73</v>
      </c>
      <c r="D453" s="4">
        <v>12</v>
      </c>
      <c r="E453" s="5">
        <v>3.64</v>
      </c>
      <c r="F453" s="4">
        <v>22</v>
      </c>
      <c r="G453" s="5">
        <v>13.25</v>
      </c>
      <c r="H453" s="4">
        <v>0</v>
      </c>
    </row>
    <row r="454" spans="1:8" x14ac:dyDescent="0.2">
      <c r="A454" s="2" t="s">
        <v>63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64</v>
      </c>
      <c r="B455" s="4">
        <v>4</v>
      </c>
      <c r="C455" s="5">
        <v>0.79</v>
      </c>
      <c r="D455" s="4">
        <v>1</v>
      </c>
      <c r="E455" s="5">
        <v>0.3</v>
      </c>
      <c r="F455" s="4">
        <v>3</v>
      </c>
      <c r="G455" s="5">
        <v>1.81</v>
      </c>
      <c r="H455" s="4">
        <v>0</v>
      </c>
    </row>
    <row r="456" spans="1:8" x14ac:dyDescent="0.2">
      <c r="A456" s="2" t="s">
        <v>65</v>
      </c>
      <c r="B456" s="4">
        <v>5</v>
      </c>
      <c r="C456" s="5">
        <v>0.99</v>
      </c>
      <c r="D456" s="4">
        <v>5</v>
      </c>
      <c r="E456" s="5">
        <v>1.52</v>
      </c>
      <c r="F456" s="4">
        <v>0</v>
      </c>
      <c r="G456" s="5">
        <v>0</v>
      </c>
      <c r="H456" s="4">
        <v>0</v>
      </c>
    </row>
    <row r="457" spans="1:8" x14ac:dyDescent="0.2">
      <c r="A457" s="2" t="s">
        <v>66</v>
      </c>
      <c r="B457" s="4">
        <v>143</v>
      </c>
      <c r="C457" s="5">
        <v>28.32</v>
      </c>
      <c r="D457" s="4">
        <v>94</v>
      </c>
      <c r="E457" s="5">
        <v>28.48</v>
      </c>
      <c r="F457" s="4">
        <v>49</v>
      </c>
      <c r="G457" s="5">
        <v>29.52</v>
      </c>
      <c r="H457" s="4">
        <v>0</v>
      </c>
    </row>
    <row r="458" spans="1:8" x14ac:dyDescent="0.2">
      <c r="A458" s="2" t="s">
        <v>67</v>
      </c>
      <c r="B458" s="4">
        <v>3</v>
      </c>
      <c r="C458" s="5">
        <v>0.59</v>
      </c>
      <c r="D458" s="4">
        <v>1</v>
      </c>
      <c r="E458" s="5">
        <v>0.3</v>
      </c>
      <c r="F458" s="4">
        <v>2</v>
      </c>
      <c r="G458" s="5">
        <v>1.2</v>
      </c>
      <c r="H458" s="4">
        <v>0</v>
      </c>
    </row>
    <row r="459" spans="1:8" x14ac:dyDescent="0.2">
      <c r="A459" s="2" t="s">
        <v>68</v>
      </c>
      <c r="B459" s="4">
        <v>38</v>
      </c>
      <c r="C459" s="5">
        <v>7.52</v>
      </c>
      <c r="D459" s="4">
        <v>25</v>
      </c>
      <c r="E459" s="5">
        <v>7.58</v>
      </c>
      <c r="F459" s="4">
        <v>13</v>
      </c>
      <c r="G459" s="5">
        <v>7.83</v>
      </c>
      <c r="H459" s="4">
        <v>0</v>
      </c>
    </row>
    <row r="460" spans="1:8" x14ac:dyDescent="0.2">
      <c r="A460" s="2" t="s">
        <v>69</v>
      </c>
      <c r="B460" s="4">
        <v>18</v>
      </c>
      <c r="C460" s="5">
        <v>3.56</v>
      </c>
      <c r="D460" s="4">
        <v>9</v>
      </c>
      <c r="E460" s="5">
        <v>2.73</v>
      </c>
      <c r="F460" s="4">
        <v>8</v>
      </c>
      <c r="G460" s="5">
        <v>4.82</v>
      </c>
      <c r="H460" s="4">
        <v>0</v>
      </c>
    </row>
    <row r="461" spans="1:8" x14ac:dyDescent="0.2">
      <c r="A461" s="2" t="s">
        <v>70</v>
      </c>
      <c r="B461" s="4">
        <v>71</v>
      </c>
      <c r="C461" s="5">
        <v>14.06</v>
      </c>
      <c r="D461" s="4">
        <v>63</v>
      </c>
      <c r="E461" s="5">
        <v>19.09</v>
      </c>
      <c r="F461" s="4">
        <v>7</v>
      </c>
      <c r="G461" s="5">
        <v>4.22</v>
      </c>
      <c r="H461" s="4">
        <v>0</v>
      </c>
    </row>
    <row r="462" spans="1:8" x14ac:dyDescent="0.2">
      <c r="A462" s="2" t="s">
        <v>71</v>
      </c>
      <c r="B462" s="4">
        <v>63</v>
      </c>
      <c r="C462" s="5">
        <v>12.48</v>
      </c>
      <c r="D462" s="4">
        <v>53</v>
      </c>
      <c r="E462" s="5">
        <v>16.059999999999999</v>
      </c>
      <c r="F462" s="4">
        <v>10</v>
      </c>
      <c r="G462" s="5">
        <v>6.02</v>
      </c>
      <c r="H462" s="4">
        <v>0</v>
      </c>
    </row>
    <row r="463" spans="1:8" x14ac:dyDescent="0.2">
      <c r="A463" s="2" t="s">
        <v>72</v>
      </c>
      <c r="B463" s="4">
        <v>12</v>
      </c>
      <c r="C463" s="5">
        <v>2.38</v>
      </c>
      <c r="D463" s="4">
        <v>7</v>
      </c>
      <c r="E463" s="5">
        <v>2.12</v>
      </c>
      <c r="F463" s="4">
        <v>5</v>
      </c>
      <c r="G463" s="5">
        <v>3.01</v>
      </c>
      <c r="H463" s="4">
        <v>0</v>
      </c>
    </row>
    <row r="464" spans="1:8" x14ac:dyDescent="0.2">
      <c r="A464" s="2" t="s">
        <v>73</v>
      </c>
      <c r="B464" s="4">
        <v>15</v>
      </c>
      <c r="C464" s="5">
        <v>2.97</v>
      </c>
      <c r="D464" s="4">
        <v>9</v>
      </c>
      <c r="E464" s="5">
        <v>2.73</v>
      </c>
      <c r="F464" s="4">
        <v>6</v>
      </c>
      <c r="G464" s="5">
        <v>3.61</v>
      </c>
      <c r="H464" s="4">
        <v>0</v>
      </c>
    </row>
    <row r="465" spans="1:8" x14ac:dyDescent="0.2">
      <c r="A465" s="2" t="s">
        <v>74</v>
      </c>
      <c r="B465" s="4">
        <v>18</v>
      </c>
      <c r="C465" s="5">
        <v>3.56</v>
      </c>
      <c r="D465" s="4">
        <v>7</v>
      </c>
      <c r="E465" s="5">
        <v>2.12</v>
      </c>
      <c r="F465" s="4">
        <v>4</v>
      </c>
      <c r="G465" s="5">
        <v>2.41</v>
      </c>
      <c r="H465" s="4">
        <v>0</v>
      </c>
    </row>
    <row r="466" spans="1:8" x14ac:dyDescent="0.2">
      <c r="A466" s="1" t="s">
        <v>29</v>
      </c>
      <c r="B466" s="4">
        <v>58</v>
      </c>
      <c r="C466" s="5">
        <v>99.980000000000018</v>
      </c>
      <c r="D466" s="4">
        <v>27</v>
      </c>
      <c r="E466" s="5">
        <v>100</v>
      </c>
      <c r="F466" s="4">
        <v>29</v>
      </c>
      <c r="G466" s="5">
        <v>100.00000000000001</v>
      </c>
      <c r="H466" s="4">
        <v>1</v>
      </c>
    </row>
    <row r="467" spans="1:8" x14ac:dyDescent="0.2">
      <c r="A467" s="2" t="s">
        <v>60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61</v>
      </c>
      <c r="B468" s="4">
        <v>13</v>
      </c>
      <c r="C468" s="5">
        <v>22.41</v>
      </c>
      <c r="D468" s="4">
        <v>3</v>
      </c>
      <c r="E468" s="5">
        <v>11.11</v>
      </c>
      <c r="F468" s="4">
        <v>10</v>
      </c>
      <c r="G468" s="5">
        <v>34.479999999999997</v>
      </c>
      <c r="H468" s="4">
        <v>0</v>
      </c>
    </row>
    <row r="469" spans="1:8" x14ac:dyDescent="0.2">
      <c r="A469" s="2" t="s">
        <v>62</v>
      </c>
      <c r="B469" s="4">
        <v>6</v>
      </c>
      <c r="C469" s="5">
        <v>10.34</v>
      </c>
      <c r="D469" s="4">
        <v>2</v>
      </c>
      <c r="E469" s="5">
        <v>7.41</v>
      </c>
      <c r="F469" s="4">
        <v>4</v>
      </c>
      <c r="G469" s="5">
        <v>13.79</v>
      </c>
      <c r="H469" s="4">
        <v>0</v>
      </c>
    </row>
    <row r="470" spans="1:8" x14ac:dyDescent="0.2">
      <c r="A470" s="2" t="s">
        <v>63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2">
      <c r="A471" s="2" t="s">
        <v>64</v>
      </c>
      <c r="B471" s="4">
        <v>1</v>
      </c>
      <c r="C471" s="5">
        <v>1.72</v>
      </c>
      <c r="D471" s="4">
        <v>0</v>
      </c>
      <c r="E471" s="5">
        <v>0</v>
      </c>
      <c r="F471" s="4">
        <v>1</v>
      </c>
      <c r="G471" s="5">
        <v>3.45</v>
      </c>
      <c r="H471" s="4">
        <v>0</v>
      </c>
    </row>
    <row r="472" spans="1:8" x14ac:dyDescent="0.2">
      <c r="A472" s="2" t="s">
        <v>65</v>
      </c>
      <c r="B472" s="4">
        <v>0</v>
      </c>
      <c r="C472" s="5">
        <v>0</v>
      </c>
      <c r="D472" s="4">
        <v>0</v>
      </c>
      <c r="E472" s="5">
        <v>0</v>
      </c>
      <c r="F472" s="4">
        <v>0</v>
      </c>
      <c r="G472" s="5">
        <v>0</v>
      </c>
      <c r="H472" s="4">
        <v>0</v>
      </c>
    </row>
    <row r="473" spans="1:8" x14ac:dyDescent="0.2">
      <c r="A473" s="2" t="s">
        <v>66</v>
      </c>
      <c r="B473" s="4">
        <v>18</v>
      </c>
      <c r="C473" s="5">
        <v>31.03</v>
      </c>
      <c r="D473" s="4">
        <v>8</v>
      </c>
      <c r="E473" s="5">
        <v>29.63</v>
      </c>
      <c r="F473" s="4">
        <v>9</v>
      </c>
      <c r="G473" s="5">
        <v>31.03</v>
      </c>
      <c r="H473" s="4">
        <v>1</v>
      </c>
    </row>
    <row r="474" spans="1:8" x14ac:dyDescent="0.2">
      <c r="A474" s="2" t="s">
        <v>67</v>
      </c>
      <c r="B474" s="4">
        <v>1</v>
      </c>
      <c r="C474" s="5">
        <v>1.72</v>
      </c>
      <c r="D474" s="4">
        <v>0</v>
      </c>
      <c r="E474" s="5">
        <v>0</v>
      </c>
      <c r="F474" s="4">
        <v>1</v>
      </c>
      <c r="G474" s="5">
        <v>3.45</v>
      </c>
      <c r="H474" s="4">
        <v>0</v>
      </c>
    </row>
    <row r="475" spans="1:8" x14ac:dyDescent="0.2">
      <c r="A475" s="2" t="s">
        <v>68</v>
      </c>
      <c r="B475" s="4">
        <v>0</v>
      </c>
      <c r="C475" s="5">
        <v>0</v>
      </c>
      <c r="D475" s="4">
        <v>0</v>
      </c>
      <c r="E475" s="5">
        <v>0</v>
      </c>
      <c r="F475" s="4">
        <v>0</v>
      </c>
      <c r="G475" s="5">
        <v>0</v>
      </c>
      <c r="H475" s="4">
        <v>0</v>
      </c>
    </row>
    <row r="476" spans="1:8" x14ac:dyDescent="0.2">
      <c r="A476" s="2" t="s">
        <v>69</v>
      </c>
      <c r="B476" s="4">
        <v>1</v>
      </c>
      <c r="C476" s="5">
        <v>1.72</v>
      </c>
      <c r="D476" s="4">
        <v>0</v>
      </c>
      <c r="E476" s="5">
        <v>0</v>
      </c>
      <c r="F476" s="4">
        <v>1</v>
      </c>
      <c r="G476" s="5">
        <v>3.45</v>
      </c>
      <c r="H476" s="4">
        <v>0</v>
      </c>
    </row>
    <row r="477" spans="1:8" x14ac:dyDescent="0.2">
      <c r="A477" s="2" t="s">
        <v>70</v>
      </c>
      <c r="B477" s="4">
        <v>4</v>
      </c>
      <c r="C477" s="5">
        <v>6.9</v>
      </c>
      <c r="D477" s="4">
        <v>2</v>
      </c>
      <c r="E477" s="5">
        <v>7.41</v>
      </c>
      <c r="F477" s="4">
        <v>2</v>
      </c>
      <c r="G477" s="5">
        <v>6.9</v>
      </c>
      <c r="H477" s="4">
        <v>0</v>
      </c>
    </row>
    <row r="478" spans="1:8" x14ac:dyDescent="0.2">
      <c r="A478" s="2" t="s">
        <v>71</v>
      </c>
      <c r="B478" s="4">
        <v>5</v>
      </c>
      <c r="C478" s="5">
        <v>8.6199999999999992</v>
      </c>
      <c r="D478" s="4">
        <v>5</v>
      </c>
      <c r="E478" s="5">
        <v>18.52</v>
      </c>
      <c r="F478" s="4">
        <v>0</v>
      </c>
      <c r="G478" s="5">
        <v>0</v>
      </c>
      <c r="H478" s="4">
        <v>0</v>
      </c>
    </row>
    <row r="479" spans="1:8" x14ac:dyDescent="0.2">
      <c r="A479" s="2" t="s">
        <v>72</v>
      </c>
      <c r="B479" s="4">
        <v>3</v>
      </c>
      <c r="C479" s="5">
        <v>5.17</v>
      </c>
      <c r="D479" s="4">
        <v>3</v>
      </c>
      <c r="E479" s="5">
        <v>11.11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73</v>
      </c>
      <c r="B480" s="4">
        <v>2</v>
      </c>
      <c r="C480" s="5">
        <v>3.45</v>
      </c>
      <c r="D480" s="4">
        <v>1</v>
      </c>
      <c r="E480" s="5">
        <v>3.7</v>
      </c>
      <c r="F480" s="4">
        <v>1</v>
      </c>
      <c r="G480" s="5">
        <v>3.45</v>
      </c>
      <c r="H480" s="4">
        <v>0</v>
      </c>
    </row>
    <row r="481" spans="1:8" x14ac:dyDescent="0.2">
      <c r="A481" s="2" t="s">
        <v>74</v>
      </c>
      <c r="B481" s="4">
        <v>4</v>
      </c>
      <c r="C481" s="5">
        <v>6.9</v>
      </c>
      <c r="D481" s="4">
        <v>3</v>
      </c>
      <c r="E481" s="5">
        <v>11.11</v>
      </c>
      <c r="F481" s="4">
        <v>0</v>
      </c>
      <c r="G481" s="5">
        <v>0</v>
      </c>
      <c r="H481" s="4">
        <v>0</v>
      </c>
    </row>
    <row r="482" spans="1:8" x14ac:dyDescent="0.2">
      <c r="A482" s="1" t="s">
        <v>30</v>
      </c>
      <c r="B482" s="4">
        <v>120</v>
      </c>
      <c r="C482" s="5">
        <v>99.99</v>
      </c>
      <c r="D482" s="4">
        <v>81</v>
      </c>
      <c r="E482" s="5">
        <v>99.99</v>
      </c>
      <c r="F482" s="4">
        <v>38</v>
      </c>
      <c r="G482" s="5">
        <v>99.990000000000009</v>
      </c>
      <c r="H482" s="4">
        <v>0</v>
      </c>
    </row>
    <row r="483" spans="1:8" x14ac:dyDescent="0.2">
      <c r="A483" s="2" t="s">
        <v>60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61</v>
      </c>
      <c r="B484" s="4">
        <v>25</v>
      </c>
      <c r="C484" s="5">
        <v>20.83</v>
      </c>
      <c r="D484" s="4">
        <v>17</v>
      </c>
      <c r="E484" s="5">
        <v>20.99</v>
      </c>
      <c r="F484" s="4">
        <v>8</v>
      </c>
      <c r="G484" s="5">
        <v>21.05</v>
      </c>
      <c r="H484" s="4">
        <v>0</v>
      </c>
    </row>
    <row r="485" spans="1:8" x14ac:dyDescent="0.2">
      <c r="A485" s="2" t="s">
        <v>62</v>
      </c>
      <c r="B485" s="4">
        <v>4</v>
      </c>
      <c r="C485" s="5">
        <v>3.33</v>
      </c>
      <c r="D485" s="4">
        <v>2</v>
      </c>
      <c r="E485" s="5">
        <v>2.4700000000000002</v>
      </c>
      <c r="F485" s="4">
        <v>2</v>
      </c>
      <c r="G485" s="5">
        <v>5.26</v>
      </c>
      <c r="H485" s="4">
        <v>0</v>
      </c>
    </row>
    <row r="486" spans="1:8" x14ac:dyDescent="0.2">
      <c r="A486" s="2" t="s">
        <v>63</v>
      </c>
      <c r="B486" s="4">
        <v>1</v>
      </c>
      <c r="C486" s="5">
        <v>0.83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2">
      <c r="A487" s="2" t="s">
        <v>64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2">
      <c r="A488" s="2" t="s">
        <v>65</v>
      </c>
      <c r="B488" s="4">
        <v>1</v>
      </c>
      <c r="C488" s="5">
        <v>0.83</v>
      </c>
      <c r="D488" s="4">
        <v>0</v>
      </c>
      <c r="E488" s="5">
        <v>0</v>
      </c>
      <c r="F488" s="4">
        <v>1</v>
      </c>
      <c r="G488" s="5">
        <v>2.63</v>
      </c>
      <c r="H488" s="4">
        <v>0</v>
      </c>
    </row>
    <row r="489" spans="1:8" x14ac:dyDescent="0.2">
      <c r="A489" s="2" t="s">
        <v>66</v>
      </c>
      <c r="B489" s="4">
        <v>36</v>
      </c>
      <c r="C489" s="5">
        <v>30</v>
      </c>
      <c r="D489" s="4">
        <v>25</v>
      </c>
      <c r="E489" s="5">
        <v>30.86</v>
      </c>
      <c r="F489" s="4">
        <v>11</v>
      </c>
      <c r="G489" s="5">
        <v>28.95</v>
      </c>
      <c r="H489" s="4">
        <v>0</v>
      </c>
    </row>
    <row r="490" spans="1:8" x14ac:dyDescent="0.2">
      <c r="A490" s="2" t="s">
        <v>67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68</v>
      </c>
      <c r="B491" s="4">
        <v>2</v>
      </c>
      <c r="C491" s="5">
        <v>1.67</v>
      </c>
      <c r="D491" s="4">
        <v>1</v>
      </c>
      <c r="E491" s="5">
        <v>1.23</v>
      </c>
      <c r="F491" s="4">
        <v>1</v>
      </c>
      <c r="G491" s="5">
        <v>2.63</v>
      </c>
      <c r="H491" s="4">
        <v>0</v>
      </c>
    </row>
    <row r="492" spans="1:8" x14ac:dyDescent="0.2">
      <c r="A492" s="2" t="s">
        <v>69</v>
      </c>
      <c r="B492" s="4">
        <v>5</v>
      </c>
      <c r="C492" s="5">
        <v>4.17</v>
      </c>
      <c r="D492" s="4">
        <v>5</v>
      </c>
      <c r="E492" s="5">
        <v>6.17</v>
      </c>
      <c r="F492" s="4">
        <v>0</v>
      </c>
      <c r="G492" s="5">
        <v>0</v>
      </c>
      <c r="H492" s="4">
        <v>0</v>
      </c>
    </row>
    <row r="493" spans="1:8" x14ac:dyDescent="0.2">
      <c r="A493" s="2" t="s">
        <v>70</v>
      </c>
      <c r="B493" s="4">
        <v>24</v>
      </c>
      <c r="C493" s="5">
        <v>20</v>
      </c>
      <c r="D493" s="4">
        <v>19</v>
      </c>
      <c r="E493" s="5">
        <v>23.46</v>
      </c>
      <c r="F493" s="4">
        <v>5</v>
      </c>
      <c r="G493" s="5">
        <v>13.16</v>
      </c>
      <c r="H493" s="4">
        <v>0</v>
      </c>
    </row>
    <row r="494" spans="1:8" x14ac:dyDescent="0.2">
      <c r="A494" s="2" t="s">
        <v>71</v>
      </c>
      <c r="B494" s="4">
        <v>16</v>
      </c>
      <c r="C494" s="5">
        <v>13.33</v>
      </c>
      <c r="D494" s="4">
        <v>12</v>
      </c>
      <c r="E494" s="5">
        <v>14.81</v>
      </c>
      <c r="F494" s="4">
        <v>4</v>
      </c>
      <c r="G494" s="5">
        <v>10.53</v>
      </c>
      <c r="H494" s="4">
        <v>0</v>
      </c>
    </row>
    <row r="495" spans="1:8" x14ac:dyDescent="0.2">
      <c r="A495" s="2" t="s">
        <v>72</v>
      </c>
      <c r="B495" s="4">
        <v>0</v>
      </c>
      <c r="C495" s="5">
        <v>0</v>
      </c>
      <c r="D495" s="4">
        <v>0</v>
      </c>
      <c r="E495" s="5">
        <v>0</v>
      </c>
      <c r="F495" s="4">
        <v>0</v>
      </c>
      <c r="G495" s="5">
        <v>0</v>
      </c>
      <c r="H495" s="4">
        <v>0</v>
      </c>
    </row>
    <row r="496" spans="1:8" x14ac:dyDescent="0.2">
      <c r="A496" s="2" t="s">
        <v>73</v>
      </c>
      <c r="B496" s="4">
        <v>3</v>
      </c>
      <c r="C496" s="5">
        <v>2.5</v>
      </c>
      <c r="D496" s="4">
        <v>0</v>
      </c>
      <c r="E496" s="5">
        <v>0</v>
      </c>
      <c r="F496" s="4">
        <v>3</v>
      </c>
      <c r="G496" s="5">
        <v>7.89</v>
      </c>
      <c r="H496" s="4">
        <v>0</v>
      </c>
    </row>
    <row r="497" spans="1:8" x14ac:dyDescent="0.2">
      <c r="A497" s="2" t="s">
        <v>74</v>
      </c>
      <c r="B497" s="4">
        <v>3</v>
      </c>
      <c r="C497" s="5">
        <v>2.5</v>
      </c>
      <c r="D497" s="4">
        <v>0</v>
      </c>
      <c r="E497" s="5">
        <v>0</v>
      </c>
      <c r="F497" s="4">
        <v>3</v>
      </c>
      <c r="G497" s="5">
        <v>7.89</v>
      </c>
      <c r="H497" s="4">
        <v>0</v>
      </c>
    </row>
    <row r="498" spans="1:8" x14ac:dyDescent="0.2">
      <c r="A498" s="1" t="s">
        <v>31</v>
      </c>
      <c r="B498" s="4">
        <v>52</v>
      </c>
      <c r="C498" s="5">
        <v>100</v>
      </c>
      <c r="D498" s="4">
        <v>28</v>
      </c>
      <c r="E498" s="5">
        <v>99.999999999999986</v>
      </c>
      <c r="F498" s="4">
        <v>23</v>
      </c>
      <c r="G498" s="5">
        <v>100.00999999999999</v>
      </c>
      <c r="H498" s="4">
        <v>1</v>
      </c>
    </row>
    <row r="499" spans="1:8" x14ac:dyDescent="0.2">
      <c r="A499" s="2" t="s">
        <v>60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61</v>
      </c>
      <c r="B500" s="4">
        <v>7</v>
      </c>
      <c r="C500" s="5">
        <v>13.46</v>
      </c>
      <c r="D500" s="4">
        <v>4</v>
      </c>
      <c r="E500" s="5">
        <v>14.29</v>
      </c>
      <c r="F500" s="4">
        <v>3</v>
      </c>
      <c r="G500" s="5">
        <v>13.04</v>
      </c>
      <c r="H500" s="4">
        <v>0</v>
      </c>
    </row>
    <row r="501" spans="1:8" x14ac:dyDescent="0.2">
      <c r="A501" s="2" t="s">
        <v>62</v>
      </c>
      <c r="B501" s="4">
        <v>5</v>
      </c>
      <c r="C501" s="5">
        <v>9.6199999999999992</v>
      </c>
      <c r="D501" s="4">
        <v>1</v>
      </c>
      <c r="E501" s="5">
        <v>3.57</v>
      </c>
      <c r="F501" s="4">
        <v>4</v>
      </c>
      <c r="G501" s="5">
        <v>17.39</v>
      </c>
      <c r="H501" s="4">
        <v>0</v>
      </c>
    </row>
    <row r="502" spans="1:8" x14ac:dyDescent="0.2">
      <c r="A502" s="2" t="s">
        <v>63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64</v>
      </c>
      <c r="B503" s="4">
        <v>1</v>
      </c>
      <c r="C503" s="5">
        <v>1.92</v>
      </c>
      <c r="D503" s="4">
        <v>0</v>
      </c>
      <c r="E503" s="5">
        <v>0</v>
      </c>
      <c r="F503" s="4">
        <v>1</v>
      </c>
      <c r="G503" s="5">
        <v>4.3499999999999996</v>
      </c>
      <c r="H503" s="4">
        <v>0</v>
      </c>
    </row>
    <row r="504" spans="1:8" x14ac:dyDescent="0.2">
      <c r="A504" s="2" t="s">
        <v>65</v>
      </c>
      <c r="B504" s="4">
        <v>0</v>
      </c>
      <c r="C504" s="5">
        <v>0</v>
      </c>
      <c r="D504" s="4">
        <v>0</v>
      </c>
      <c r="E504" s="5">
        <v>0</v>
      </c>
      <c r="F504" s="4">
        <v>0</v>
      </c>
      <c r="G504" s="5">
        <v>0</v>
      </c>
      <c r="H504" s="4">
        <v>0</v>
      </c>
    </row>
    <row r="505" spans="1:8" x14ac:dyDescent="0.2">
      <c r="A505" s="2" t="s">
        <v>66</v>
      </c>
      <c r="B505" s="4">
        <v>11</v>
      </c>
      <c r="C505" s="5">
        <v>21.15</v>
      </c>
      <c r="D505" s="4">
        <v>6</v>
      </c>
      <c r="E505" s="5">
        <v>21.43</v>
      </c>
      <c r="F505" s="4">
        <v>4</v>
      </c>
      <c r="G505" s="5">
        <v>17.39</v>
      </c>
      <c r="H505" s="4">
        <v>1</v>
      </c>
    </row>
    <row r="506" spans="1:8" x14ac:dyDescent="0.2">
      <c r="A506" s="2" t="s">
        <v>67</v>
      </c>
      <c r="B506" s="4">
        <v>1</v>
      </c>
      <c r="C506" s="5">
        <v>1.92</v>
      </c>
      <c r="D506" s="4">
        <v>1</v>
      </c>
      <c r="E506" s="5">
        <v>3.57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68</v>
      </c>
      <c r="B507" s="4">
        <v>2</v>
      </c>
      <c r="C507" s="5">
        <v>3.85</v>
      </c>
      <c r="D507" s="4">
        <v>0</v>
      </c>
      <c r="E507" s="5">
        <v>0</v>
      </c>
      <c r="F507" s="4">
        <v>2</v>
      </c>
      <c r="G507" s="5">
        <v>8.6999999999999993</v>
      </c>
      <c r="H507" s="4">
        <v>0</v>
      </c>
    </row>
    <row r="508" spans="1:8" x14ac:dyDescent="0.2">
      <c r="A508" s="2" t="s">
        <v>69</v>
      </c>
      <c r="B508" s="4">
        <v>1</v>
      </c>
      <c r="C508" s="5">
        <v>1.92</v>
      </c>
      <c r="D508" s="4">
        <v>0</v>
      </c>
      <c r="E508" s="5">
        <v>0</v>
      </c>
      <c r="F508" s="4">
        <v>1</v>
      </c>
      <c r="G508" s="5">
        <v>4.3499999999999996</v>
      </c>
      <c r="H508" s="4">
        <v>0</v>
      </c>
    </row>
    <row r="509" spans="1:8" x14ac:dyDescent="0.2">
      <c r="A509" s="2" t="s">
        <v>70</v>
      </c>
      <c r="B509" s="4">
        <v>11</v>
      </c>
      <c r="C509" s="5">
        <v>21.15</v>
      </c>
      <c r="D509" s="4">
        <v>6</v>
      </c>
      <c r="E509" s="5">
        <v>21.43</v>
      </c>
      <c r="F509" s="4">
        <v>5</v>
      </c>
      <c r="G509" s="5">
        <v>21.74</v>
      </c>
      <c r="H509" s="4">
        <v>0</v>
      </c>
    </row>
    <row r="510" spans="1:8" x14ac:dyDescent="0.2">
      <c r="A510" s="2" t="s">
        <v>71</v>
      </c>
      <c r="B510" s="4">
        <v>9</v>
      </c>
      <c r="C510" s="5">
        <v>17.309999999999999</v>
      </c>
      <c r="D510" s="4">
        <v>9</v>
      </c>
      <c r="E510" s="5">
        <v>32.14</v>
      </c>
      <c r="F510" s="4">
        <v>0</v>
      </c>
      <c r="G510" s="5">
        <v>0</v>
      </c>
      <c r="H510" s="4">
        <v>0</v>
      </c>
    </row>
    <row r="511" spans="1:8" x14ac:dyDescent="0.2">
      <c r="A511" s="2" t="s">
        <v>72</v>
      </c>
      <c r="B511" s="4">
        <v>0</v>
      </c>
      <c r="C511" s="5">
        <v>0</v>
      </c>
      <c r="D511" s="4">
        <v>0</v>
      </c>
      <c r="E511" s="5">
        <v>0</v>
      </c>
      <c r="F511" s="4">
        <v>0</v>
      </c>
      <c r="G511" s="5">
        <v>0</v>
      </c>
      <c r="H511" s="4">
        <v>0</v>
      </c>
    </row>
    <row r="512" spans="1:8" x14ac:dyDescent="0.2">
      <c r="A512" s="2" t="s">
        <v>73</v>
      </c>
      <c r="B512" s="4">
        <v>2</v>
      </c>
      <c r="C512" s="5">
        <v>3.85</v>
      </c>
      <c r="D512" s="4">
        <v>0</v>
      </c>
      <c r="E512" s="5">
        <v>0</v>
      </c>
      <c r="F512" s="4">
        <v>2</v>
      </c>
      <c r="G512" s="5">
        <v>8.6999999999999993</v>
      </c>
      <c r="H512" s="4">
        <v>0</v>
      </c>
    </row>
    <row r="513" spans="1:8" x14ac:dyDescent="0.2">
      <c r="A513" s="2" t="s">
        <v>74</v>
      </c>
      <c r="B513" s="4">
        <v>2</v>
      </c>
      <c r="C513" s="5">
        <v>3.85</v>
      </c>
      <c r="D513" s="4">
        <v>1</v>
      </c>
      <c r="E513" s="5">
        <v>3.57</v>
      </c>
      <c r="F513" s="4">
        <v>1</v>
      </c>
      <c r="G513" s="5">
        <v>4.3499999999999996</v>
      </c>
      <c r="H513" s="4">
        <v>0</v>
      </c>
    </row>
    <row r="514" spans="1:8" x14ac:dyDescent="0.2">
      <c r="A514" s="1" t="s">
        <v>32</v>
      </c>
      <c r="B514" s="4">
        <v>117</v>
      </c>
      <c r="C514" s="5">
        <v>100</v>
      </c>
      <c r="D514" s="4">
        <v>81</v>
      </c>
      <c r="E514" s="5">
        <v>99.990000000000009</v>
      </c>
      <c r="F514" s="4">
        <v>34</v>
      </c>
      <c r="G514" s="5">
        <v>99.97999999999999</v>
      </c>
      <c r="H514" s="4">
        <v>1</v>
      </c>
    </row>
    <row r="515" spans="1:8" x14ac:dyDescent="0.2">
      <c r="A515" s="2" t="s">
        <v>60</v>
      </c>
      <c r="B515" s="4">
        <v>1</v>
      </c>
      <c r="C515" s="5">
        <v>0.85</v>
      </c>
      <c r="D515" s="4">
        <v>1</v>
      </c>
      <c r="E515" s="5">
        <v>1.23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61</v>
      </c>
      <c r="B516" s="4">
        <v>16</v>
      </c>
      <c r="C516" s="5">
        <v>13.68</v>
      </c>
      <c r="D516" s="4">
        <v>13</v>
      </c>
      <c r="E516" s="5">
        <v>16.05</v>
      </c>
      <c r="F516" s="4">
        <v>3</v>
      </c>
      <c r="G516" s="5">
        <v>8.82</v>
      </c>
      <c r="H516" s="4">
        <v>0</v>
      </c>
    </row>
    <row r="517" spans="1:8" x14ac:dyDescent="0.2">
      <c r="A517" s="2" t="s">
        <v>62</v>
      </c>
      <c r="B517" s="4">
        <v>10</v>
      </c>
      <c r="C517" s="5">
        <v>8.5500000000000007</v>
      </c>
      <c r="D517" s="4">
        <v>6</v>
      </c>
      <c r="E517" s="5">
        <v>7.41</v>
      </c>
      <c r="F517" s="4">
        <v>4</v>
      </c>
      <c r="G517" s="5">
        <v>11.76</v>
      </c>
      <c r="H517" s="4">
        <v>0</v>
      </c>
    </row>
    <row r="518" spans="1:8" x14ac:dyDescent="0.2">
      <c r="A518" s="2" t="s">
        <v>63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64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65</v>
      </c>
      <c r="B520" s="4">
        <v>4</v>
      </c>
      <c r="C520" s="5">
        <v>3.42</v>
      </c>
      <c r="D520" s="4">
        <v>0</v>
      </c>
      <c r="E520" s="5">
        <v>0</v>
      </c>
      <c r="F520" s="4">
        <v>4</v>
      </c>
      <c r="G520" s="5">
        <v>11.76</v>
      </c>
      <c r="H520" s="4">
        <v>0</v>
      </c>
    </row>
    <row r="521" spans="1:8" x14ac:dyDescent="0.2">
      <c r="A521" s="2" t="s">
        <v>66</v>
      </c>
      <c r="B521" s="4">
        <v>39</v>
      </c>
      <c r="C521" s="5">
        <v>33.33</v>
      </c>
      <c r="D521" s="4">
        <v>28</v>
      </c>
      <c r="E521" s="5">
        <v>34.57</v>
      </c>
      <c r="F521" s="4">
        <v>10</v>
      </c>
      <c r="G521" s="5">
        <v>29.41</v>
      </c>
      <c r="H521" s="4">
        <v>1</v>
      </c>
    </row>
    <row r="522" spans="1:8" x14ac:dyDescent="0.2">
      <c r="A522" s="2" t="s">
        <v>67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68</v>
      </c>
      <c r="B523" s="4">
        <v>2</v>
      </c>
      <c r="C523" s="5">
        <v>1.71</v>
      </c>
      <c r="D523" s="4">
        <v>0</v>
      </c>
      <c r="E523" s="5">
        <v>0</v>
      </c>
      <c r="F523" s="4">
        <v>2</v>
      </c>
      <c r="G523" s="5">
        <v>5.88</v>
      </c>
      <c r="H523" s="4">
        <v>0</v>
      </c>
    </row>
    <row r="524" spans="1:8" x14ac:dyDescent="0.2">
      <c r="A524" s="2" t="s">
        <v>69</v>
      </c>
      <c r="B524" s="4">
        <v>1</v>
      </c>
      <c r="C524" s="5">
        <v>0.85</v>
      </c>
      <c r="D524" s="4">
        <v>0</v>
      </c>
      <c r="E524" s="5">
        <v>0</v>
      </c>
      <c r="F524" s="4">
        <v>1</v>
      </c>
      <c r="G524" s="5">
        <v>2.94</v>
      </c>
      <c r="H524" s="4">
        <v>0</v>
      </c>
    </row>
    <row r="525" spans="1:8" x14ac:dyDescent="0.2">
      <c r="A525" s="2" t="s">
        <v>70</v>
      </c>
      <c r="B525" s="4">
        <v>20</v>
      </c>
      <c r="C525" s="5">
        <v>17.09</v>
      </c>
      <c r="D525" s="4">
        <v>15</v>
      </c>
      <c r="E525" s="5">
        <v>18.52</v>
      </c>
      <c r="F525" s="4">
        <v>5</v>
      </c>
      <c r="G525" s="5">
        <v>14.71</v>
      </c>
      <c r="H525" s="4">
        <v>0</v>
      </c>
    </row>
    <row r="526" spans="1:8" x14ac:dyDescent="0.2">
      <c r="A526" s="2" t="s">
        <v>71</v>
      </c>
      <c r="B526" s="4">
        <v>16</v>
      </c>
      <c r="C526" s="5">
        <v>13.68</v>
      </c>
      <c r="D526" s="4">
        <v>14</v>
      </c>
      <c r="E526" s="5">
        <v>17.28</v>
      </c>
      <c r="F526" s="4">
        <v>2</v>
      </c>
      <c r="G526" s="5">
        <v>5.88</v>
      </c>
      <c r="H526" s="4">
        <v>0</v>
      </c>
    </row>
    <row r="527" spans="1:8" x14ac:dyDescent="0.2">
      <c r="A527" s="2" t="s">
        <v>72</v>
      </c>
      <c r="B527" s="4">
        <v>0</v>
      </c>
      <c r="C527" s="5">
        <v>0</v>
      </c>
      <c r="D527" s="4">
        <v>0</v>
      </c>
      <c r="E527" s="5">
        <v>0</v>
      </c>
      <c r="F527" s="4">
        <v>0</v>
      </c>
      <c r="G527" s="5">
        <v>0</v>
      </c>
      <c r="H527" s="4">
        <v>0</v>
      </c>
    </row>
    <row r="528" spans="1:8" x14ac:dyDescent="0.2">
      <c r="A528" s="2" t="s">
        <v>73</v>
      </c>
      <c r="B528" s="4">
        <v>4</v>
      </c>
      <c r="C528" s="5">
        <v>3.42</v>
      </c>
      <c r="D528" s="4">
        <v>1</v>
      </c>
      <c r="E528" s="5">
        <v>1.23</v>
      </c>
      <c r="F528" s="4">
        <v>3</v>
      </c>
      <c r="G528" s="5">
        <v>8.82</v>
      </c>
      <c r="H528" s="4">
        <v>0</v>
      </c>
    </row>
    <row r="529" spans="1:8" x14ac:dyDescent="0.2">
      <c r="A529" s="2" t="s">
        <v>74</v>
      </c>
      <c r="B529" s="4">
        <v>4</v>
      </c>
      <c r="C529" s="5">
        <v>3.42</v>
      </c>
      <c r="D529" s="4">
        <v>3</v>
      </c>
      <c r="E529" s="5">
        <v>3.7</v>
      </c>
      <c r="F529" s="4">
        <v>0</v>
      </c>
      <c r="G529" s="5">
        <v>0</v>
      </c>
      <c r="H529" s="4">
        <v>0</v>
      </c>
    </row>
    <row r="530" spans="1:8" x14ac:dyDescent="0.2">
      <c r="A530" s="1" t="s">
        <v>33</v>
      </c>
      <c r="B530" s="4">
        <v>54</v>
      </c>
      <c r="C530" s="5">
        <v>100</v>
      </c>
      <c r="D530" s="4">
        <v>36</v>
      </c>
      <c r="E530" s="5">
        <v>100</v>
      </c>
      <c r="F530" s="4">
        <v>16</v>
      </c>
      <c r="G530" s="5">
        <v>100</v>
      </c>
      <c r="H530" s="4">
        <v>1</v>
      </c>
    </row>
    <row r="531" spans="1:8" x14ac:dyDescent="0.2">
      <c r="A531" s="2" t="s">
        <v>60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61</v>
      </c>
      <c r="B532" s="4">
        <v>7</v>
      </c>
      <c r="C532" s="5">
        <v>12.96</v>
      </c>
      <c r="D532" s="4">
        <v>5</v>
      </c>
      <c r="E532" s="5">
        <v>13.89</v>
      </c>
      <c r="F532" s="4">
        <v>2</v>
      </c>
      <c r="G532" s="5">
        <v>12.5</v>
      </c>
      <c r="H532" s="4">
        <v>0</v>
      </c>
    </row>
    <row r="533" spans="1:8" x14ac:dyDescent="0.2">
      <c r="A533" s="2" t="s">
        <v>62</v>
      </c>
      <c r="B533" s="4">
        <v>8</v>
      </c>
      <c r="C533" s="5">
        <v>14.81</v>
      </c>
      <c r="D533" s="4">
        <v>6</v>
      </c>
      <c r="E533" s="5">
        <v>16.670000000000002</v>
      </c>
      <c r="F533" s="4">
        <v>2</v>
      </c>
      <c r="G533" s="5">
        <v>12.5</v>
      </c>
      <c r="H533" s="4">
        <v>0</v>
      </c>
    </row>
    <row r="534" spans="1:8" x14ac:dyDescent="0.2">
      <c r="A534" s="2" t="s">
        <v>63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64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65</v>
      </c>
      <c r="B536" s="4">
        <v>1</v>
      </c>
      <c r="C536" s="5">
        <v>1.85</v>
      </c>
      <c r="D536" s="4">
        <v>0</v>
      </c>
      <c r="E536" s="5">
        <v>0</v>
      </c>
      <c r="F536" s="4">
        <v>1</v>
      </c>
      <c r="G536" s="5">
        <v>6.25</v>
      </c>
      <c r="H536" s="4">
        <v>0</v>
      </c>
    </row>
    <row r="537" spans="1:8" x14ac:dyDescent="0.2">
      <c r="A537" s="2" t="s">
        <v>66</v>
      </c>
      <c r="B537" s="4">
        <v>14</v>
      </c>
      <c r="C537" s="5">
        <v>25.93</v>
      </c>
      <c r="D537" s="4">
        <v>7</v>
      </c>
      <c r="E537" s="5">
        <v>19.440000000000001</v>
      </c>
      <c r="F537" s="4">
        <v>7</v>
      </c>
      <c r="G537" s="5">
        <v>43.75</v>
      </c>
      <c r="H537" s="4">
        <v>0</v>
      </c>
    </row>
    <row r="538" spans="1:8" x14ac:dyDescent="0.2">
      <c r="A538" s="2" t="s">
        <v>67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68</v>
      </c>
      <c r="B539" s="4">
        <v>0</v>
      </c>
      <c r="C539" s="5">
        <v>0</v>
      </c>
      <c r="D539" s="4">
        <v>0</v>
      </c>
      <c r="E539" s="5">
        <v>0</v>
      </c>
      <c r="F539" s="4">
        <v>0</v>
      </c>
      <c r="G539" s="5">
        <v>0</v>
      </c>
      <c r="H539" s="4">
        <v>0</v>
      </c>
    </row>
    <row r="540" spans="1:8" x14ac:dyDescent="0.2">
      <c r="A540" s="2" t="s">
        <v>69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2">
      <c r="A541" s="2" t="s">
        <v>70</v>
      </c>
      <c r="B541" s="4">
        <v>9</v>
      </c>
      <c r="C541" s="5">
        <v>16.670000000000002</v>
      </c>
      <c r="D541" s="4">
        <v>7</v>
      </c>
      <c r="E541" s="5">
        <v>19.440000000000001</v>
      </c>
      <c r="F541" s="4">
        <v>2</v>
      </c>
      <c r="G541" s="5">
        <v>12.5</v>
      </c>
      <c r="H541" s="4">
        <v>0</v>
      </c>
    </row>
    <row r="542" spans="1:8" x14ac:dyDescent="0.2">
      <c r="A542" s="2" t="s">
        <v>71</v>
      </c>
      <c r="B542" s="4">
        <v>9</v>
      </c>
      <c r="C542" s="5">
        <v>16.670000000000002</v>
      </c>
      <c r="D542" s="4">
        <v>9</v>
      </c>
      <c r="E542" s="5">
        <v>25</v>
      </c>
      <c r="F542" s="4">
        <v>0</v>
      </c>
      <c r="G542" s="5">
        <v>0</v>
      </c>
      <c r="H542" s="4">
        <v>0</v>
      </c>
    </row>
    <row r="543" spans="1:8" x14ac:dyDescent="0.2">
      <c r="A543" s="2" t="s">
        <v>72</v>
      </c>
      <c r="B543" s="4">
        <v>2</v>
      </c>
      <c r="C543" s="5">
        <v>3.7</v>
      </c>
      <c r="D543" s="4">
        <v>0</v>
      </c>
      <c r="E543" s="5">
        <v>0</v>
      </c>
      <c r="F543" s="4">
        <v>1</v>
      </c>
      <c r="G543" s="5">
        <v>6.25</v>
      </c>
      <c r="H543" s="4">
        <v>0</v>
      </c>
    </row>
    <row r="544" spans="1:8" x14ac:dyDescent="0.2">
      <c r="A544" s="2" t="s">
        <v>73</v>
      </c>
      <c r="B544" s="4">
        <v>0</v>
      </c>
      <c r="C544" s="5">
        <v>0</v>
      </c>
      <c r="D544" s="4">
        <v>0</v>
      </c>
      <c r="E544" s="5">
        <v>0</v>
      </c>
      <c r="F544" s="4">
        <v>0</v>
      </c>
      <c r="G544" s="5">
        <v>0</v>
      </c>
      <c r="H544" s="4">
        <v>0</v>
      </c>
    </row>
    <row r="545" spans="1:8" x14ac:dyDescent="0.2">
      <c r="A545" s="2" t="s">
        <v>74</v>
      </c>
      <c r="B545" s="4">
        <v>4</v>
      </c>
      <c r="C545" s="5">
        <v>7.41</v>
      </c>
      <c r="D545" s="4">
        <v>2</v>
      </c>
      <c r="E545" s="5">
        <v>5.56</v>
      </c>
      <c r="F545" s="4">
        <v>1</v>
      </c>
      <c r="G545" s="5">
        <v>6.25</v>
      </c>
      <c r="H545" s="4">
        <v>1</v>
      </c>
    </row>
    <row r="546" spans="1:8" x14ac:dyDescent="0.2">
      <c r="A546" s="1" t="s">
        <v>34</v>
      </c>
      <c r="B546" s="4">
        <v>448</v>
      </c>
      <c r="C546" s="5">
        <v>100</v>
      </c>
      <c r="D546" s="4">
        <v>299</v>
      </c>
      <c r="E546" s="5">
        <v>100.01</v>
      </c>
      <c r="F546" s="4">
        <v>143</v>
      </c>
      <c r="G546" s="5">
        <v>100.02000000000002</v>
      </c>
      <c r="H546" s="4">
        <v>1</v>
      </c>
    </row>
    <row r="547" spans="1:8" x14ac:dyDescent="0.2">
      <c r="A547" s="2" t="s">
        <v>60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61</v>
      </c>
      <c r="B548" s="4">
        <v>90</v>
      </c>
      <c r="C548" s="5">
        <v>20.09</v>
      </c>
      <c r="D548" s="4">
        <v>52</v>
      </c>
      <c r="E548" s="5">
        <v>17.39</v>
      </c>
      <c r="F548" s="4">
        <v>38</v>
      </c>
      <c r="G548" s="5">
        <v>26.57</v>
      </c>
      <c r="H548" s="4">
        <v>0</v>
      </c>
    </row>
    <row r="549" spans="1:8" x14ac:dyDescent="0.2">
      <c r="A549" s="2" t="s">
        <v>62</v>
      </c>
      <c r="B549" s="4">
        <v>45</v>
      </c>
      <c r="C549" s="5">
        <v>10.039999999999999</v>
      </c>
      <c r="D549" s="4">
        <v>23</v>
      </c>
      <c r="E549" s="5">
        <v>7.69</v>
      </c>
      <c r="F549" s="4">
        <v>22</v>
      </c>
      <c r="G549" s="5">
        <v>15.38</v>
      </c>
      <c r="H549" s="4">
        <v>0</v>
      </c>
    </row>
    <row r="550" spans="1:8" x14ac:dyDescent="0.2">
      <c r="A550" s="2" t="s">
        <v>63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64</v>
      </c>
      <c r="B551" s="4">
        <v>2</v>
      </c>
      <c r="C551" s="5">
        <v>0.45</v>
      </c>
      <c r="D551" s="4">
        <v>0</v>
      </c>
      <c r="E551" s="5">
        <v>0</v>
      </c>
      <c r="F551" s="4">
        <v>2</v>
      </c>
      <c r="G551" s="5">
        <v>1.4</v>
      </c>
      <c r="H551" s="4">
        <v>0</v>
      </c>
    </row>
    <row r="552" spans="1:8" x14ac:dyDescent="0.2">
      <c r="A552" s="2" t="s">
        <v>65</v>
      </c>
      <c r="B552" s="4">
        <v>6</v>
      </c>
      <c r="C552" s="5">
        <v>1.34</v>
      </c>
      <c r="D552" s="4">
        <v>4</v>
      </c>
      <c r="E552" s="5">
        <v>1.34</v>
      </c>
      <c r="F552" s="4">
        <v>2</v>
      </c>
      <c r="G552" s="5">
        <v>1.4</v>
      </c>
      <c r="H552" s="4">
        <v>0</v>
      </c>
    </row>
    <row r="553" spans="1:8" x14ac:dyDescent="0.2">
      <c r="A553" s="2" t="s">
        <v>66</v>
      </c>
      <c r="B553" s="4">
        <v>130</v>
      </c>
      <c r="C553" s="5">
        <v>29.02</v>
      </c>
      <c r="D553" s="4">
        <v>89</v>
      </c>
      <c r="E553" s="5">
        <v>29.77</v>
      </c>
      <c r="F553" s="4">
        <v>41</v>
      </c>
      <c r="G553" s="5">
        <v>28.67</v>
      </c>
      <c r="H553" s="4">
        <v>0</v>
      </c>
    </row>
    <row r="554" spans="1:8" x14ac:dyDescent="0.2">
      <c r="A554" s="2" t="s">
        <v>67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68</v>
      </c>
      <c r="B555" s="4">
        <v>10</v>
      </c>
      <c r="C555" s="5">
        <v>2.23</v>
      </c>
      <c r="D555" s="4">
        <v>5</v>
      </c>
      <c r="E555" s="5">
        <v>1.67</v>
      </c>
      <c r="F555" s="4">
        <v>5</v>
      </c>
      <c r="G555" s="5">
        <v>3.5</v>
      </c>
      <c r="H555" s="4">
        <v>0</v>
      </c>
    </row>
    <row r="556" spans="1:8" x14ac:dyDescent="0.2">
      <c r="A556" s="2" t="s">
        <v>69</v>
      </c>
      <c r="B556" s="4">
        <v>16</v>
      </c>
      <c r="C556" s="5">
        <v>3.57</v>
      </c>
      <c r="D556" s="4">
        <v>9</v>
      </c>
      <c r="E556" s="5">
        <v>3.01</v>
      </c>
      <c r="F556" s="4">
        <v>7</v>
      </c>
      <c r="G556" s="5">
        <v>4.9000000000000004</v>
      </c>
      <c r="H556" s="4">
        <v>0</v>
      </c>
    </row>
    <row r="557" spans="1:8" x14ac:dyDescent="0.2">
      <c r="A557" s="2" t="s">
        <v>70</v>
      </c>
      <c r="B557" s="4">
        <v>43</v>
      </c>
      <c r="C557" s="5">
        <v>9.6</v>
      </c>
      <c r="D557" s="4">
        <v>36</v>
      </c>
      <c r="E557" s="5">
        <v>12.04</v>
      </c>
      <c r="F557" s="4">
        <v>6</v>
      </c>
      <c r="G557" s="5">
        <v>4.2</v>
      </c>
      <c r="H557" s="4">
        <v>0</v>
      </c>
    </row>
    <row r="558" spans="1:8" x14ac:dyDescent="0.2">
      <c r="A558" s="2" t="s">
        <v>71</v>
      </c>
      <c r="B558" s="4">
        <v>66</v>
      </c>
      <c r="C558" s="5">
        <v>14.73</v>
      </c>
      <c r="D558" s="4">
        <v>60</v>
      </c>
      <c r="E558" s="5">
        <v>20.07</v>
      </c>
      <c r="F558" s="4">
        <v>6</v>
      </c>
      <c r="G558" s="5">
        <v>4.2</v>
      </c>
      <c r="H558" s="4">
        <v>0</v>
      </c>
    </row>
    <row r="559" spans="1:8" x14ac:dyDescent="0.2">
      <c r="A559" s="2" t="s">
        <v>72</v>
      </c>
      <c r="B559" s="4">
        <v>14</v>
      </c>
      <c r="C559" s="5">
        <v>3.13</v>
      </c>
      <c r="D559" s="4">
        <v>8</v>
      </c>
      <c r="E559" s="5">
        <v>2.68</v>
      </c>
      <c r="F559" s="4">
        <v>2</v>
      </c>
      <c r="G559" s="5">
        <v>1.4</v>
      </c>
      <c r="H559" s="4">
        <v>0</v>
      </c>
    </row>
    <row r="560" spans="1:8" x14ac:dyDescent="0.2">
      <c r="A560" s="2" t="s">
        <v>73</v>
      </c>
      <c r="B560" s="4">
        <v>13</v>
      </c>
      <c r="C560" s="5">
        <v>2.9</v>
      </c>
      <c r="D560" s="4">
        <v>7</v>
      </c>
      <c r="E560" s="5">
        <v>2.34</v>
      </c>
      <c r="F560" s="4">
        <v>6</v>
      </c>
      <c r="G560" s="5">
        <v>4.2</v>
      </c>
      <c r="H560" s="4">
        <v>0</v>
      </c>
    </row>
    <row r="561" spans="1:8" x14ac:dyDescent="0.2">
      <c r="A561" s="2" t="s">
        <v>74</v>
      </c>
      <c r="B561" s="4">
        <v>13</v>
      </c>
      <c r="C561" s="5">
        <v>2.9</v>
      </c>
      <c r="D561" s="4">
        <v>6</v>
      </c>
      <c r="E561" s="5">
        <v>2.0099999999999998</v>
      </c>
      <c r="F561" s="4">
        <v>6</v>
      </c>
      <c r="G561" s="5">
        <v>4.2</v>
      </c>
      <c r="H561" s="4">
        <v>1</v>
      </c>
    </row>
    <row r="562" spans="1:8" x14ac:dyDescent="0.2">
      <c r="A562" s="1" t="s">
        <v>35</v>
      </c>
      <c r="B562" s="4">
        <v>401</v>
      </c>
      <c r="C562" s="5">
        <v>100.01</v>
      </c>
      <c r="D562" s="4">
        <v>196</v>
      </c>
      <c r="E562" s="5">
        <v>99.989999999999981</v>
      </c>
      <c r="F562" s="4">
        <v>199</v>
      </c>
      <c r="G562" s="5">
        <v>100.01</v>
      </c>
      <c r="H562" s="4">
        <v>2</v>
      </c>
    </row>
    <row r="563" spans="1:8" x14ac:dyDescent="0.2">
      <c r="A563" s="2" t="s">
        <v>60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61</v>
      </c>
      <c r="B564" s="4">
        <v>79</v>
      </c>
      <c r="C564" s="5">
        <v>19.7</v>
      </c>
      <c r="D564" s="4">
        <v>28</v>
      </c>
      <c r="E564" s="5">
        <v>14.29</v>
      </c>
      <c r="F564" s="4">
        <v>51</v>
      </c>
      <c r="G564" s="5">
        <v>25.63</v>
      </c>
      <c r="H564" s="4">
        <v>0</v>
      </c>
    </row>
    <row r="565" spans="1:8" x14ac:dyDescent="0.2">
      <c r="A565" s="2" t="s">
        <v>62</v>
      </c>
      <c r="B565" s="4">
        <v>39</v>
      </c>
      <c r="C565" s="5">
        <v>9.73</v>
      </c>
      <c r="D565" s="4">
        <v>13</v>
      </c>
      <c r="E565" s="5">
        <v>6.63</v>
      </c>
      <c r="F565" s="4">
        <v>26</v>
      </c>
      <c r="G565" s="5">
        <v>13.07</v>
      </c>
      <c r="H565" s="4">
        <v>0</v>
      </c>
    </row>
    <row r="566" spans="1:8" x14ac:dyDescent="0.2">
      <c r="A566" s="2" t="s">
        <v>63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64</v>
      </c>
      <c r="B567" s="4">
        <v>1</v>
      </c>
      <c r="C567" s="5">
        <v>0.25</v>
      </c>
      <c r="D567" s="4">
        <v>0</v>
      </c>
      <c r="E567" s="5">
        <v>0</v>
      </c>
      <c r="F567" s="4">
        <v>1</v>
      </c>
      <c r="G567" s="5">
        <v>0.5</v>
      </c>
      <c r="H567" s="4">
        <v>0</v>
      </c>
    </row>
    <row r="568" spans="1:8" x14ac:dyDescent="0.2">
      <c r="A568" s="2" t="s">
        <v>65</v>
      </c>
      <c r="B568" s="4">
        <v>3</v>
      </c>
      <c r="C568" s="5">
        <v>0.75</v>
      </c>
      <c r="D568" s="4">
        <v>2</v>
      </c>
      <c r="E568" s="5">
        <v>1.02</v>
      </c>
      <c r="F568" s="4">
        <v>1</v>
      </c>
      <c r="G568" s="5">
        <v>0.5</v>
      </c>
      <c r="H568" s="4">
        <v>0</v>
      </c>
    </row>
    <row r="569" spans="1:8" x14ac:dyDescent="0.2">
      <c r="A569" s="2" t="s">
        <v>66</v>
      </c>
      <c r="B569" s="4">
        <v>62</v>
      </c>
      <c r="C569" s="5">
        <v>15.46</v>
      </c>
      <c r="D569" s="4">
        <v>24</v>
      </c>
      <c r="E569" s="5">
        <v>12.24</v>
      </c>
      <c r="F569" s="4">
        <v>38</v>
      </c>
      <c r="G569" s="5">
        <v>19.100000000000001</v>
      </c>
      <c r="H569" s="4">
        <v>0</v>
      </c>
    </row>
    <row r="570" spans="1:8" x14ac:dyDescent="0.2">
      <c r="A570" s="2" t="s">
        <v>67</v>
      </c>
      <c r="B570" s="4">
        <v>5</v>
      </c>
      <c r="C570" s="5">
        <v>1.25</v>
      </c>
      <c r="D570" s="4">
        <v>0</v>
      </c>
      <c r="E570" s="5">
        <v>0</v>
      </c>
      <c r="F570" s="4">
        <v>5</v>
      </c>
      <c r="G570" s="5">
        <v>2.5099999999999998</v>
      </c>
      <c r="H570" s="4">
        <v>0</v>
      </c>
    </row>
    <row r="571" spans="1:8" x14ac:dyDescent="0.2">
      <c r="A571" s="2" t="s">
        <v>68</v>
      </c>
      <c r="B571" s="4">
        <v>37</v>
      </c>
      <c r="C571" s="5">
        <v>9.23</v>
      </c>
      <c r="D571" s="4">
        <v>18</v>
      </c>
      <c r="E571" s="5">
        <v>9.18</v>
      </c>
      <c r="F571" s="4">
        <v>19</v>
      </c>
      <c r="G571" s="5">
        <v>9.5500000000000007</v>
      </c>
      <c r="H571" s="4">
        <v>0</v>
      </c>
    </row>
    <row r="572" spans="1:8" x14ac:dyDescent="0.2">
      <c r="A572" s="2" t="s">
        <v>69</v>
      </c>
      <c r="B572" s="4">
        <v>19</v>
      </c>
      <c r="C572" s="5">
        <v>4.74</v>
      </c>
      <c r="D572" s="4">
        <v>8</v>
      </c>
      <c r="E572" s="5">
        <v>4.08</v>
      </c>
      <c r="F572" s="4">
        <v>11</v>
      </c>
      <c r="G572" s="5">
        <v>5.53</v>
      </c>
      <c r="H572" s="4">
        <v>0</v>
      </c>
    </row>
    <row r="573" spans="1:8" x14ac:dyDescent="0.2">
      <c r="A573" s="2" t="s">
        <v>70</v>
      </c>
      <c r="B573" s="4">
        <v>48</v>
      </c>
      <c r="C573" s="5">
        <v>11.97</v>
      </c>
      <c r="D573" s="4">
        <v>32</v>
      </c>
      <c r="E573" s="5">
        <v>16.329999999999998</v>
      </c>
      <c r="F573" s="4">
        <v>14</v>
      </c>
      <c r="G573" s="5">
        <v>7.04</v>
      </c>
      <c r="H573" s="4">
        <v>1</v>
      </c>
    </row>
    <row r="574" spans="1:8" x14ac:dyDescent="0.2">
      <c r="A574" s="2" t="s">
        <v>71</v>
      </c>
      <c r="B574" s="4">
        <v>49</v>
      </c>
      <c r="C574" s="5">
        <v>12.22</v>
      </c>
      <c r="D574" s="4">
        <v>40</v>
      </c>
      <c r="E574" s="5">
        <v>20.41</v>
      </c>
      <c r="F574" s="4">
        <v>9</v>
      </c>
      <c r="G574" s="5">
        <v>4.5199999999999996</v>
      </c>
      <c r="H574" s="4">
        <v>0</v>
      </c>
    </row>
    <row r="575" spans="1:8" x14ac:dyDescent="0.2">
      <c r="A575" s="2" t="s">
        <v>72</v>
      </c>
      <c r="B575" s="4">
        <v>16</v>
      </c>
      <c r="C575" s="5">
        <v>3.99</v>
      </c>
      <c r="D575" s="4">
        <v>11</v>
      </c>
      <c r="E575" s="5">
        <v>5.61</v>
      </c>
      <c r="F575" s="4">
        <v>4</v>
      </c>
      <c r="G575" s="5">
        <v>2.0099999999999998</v>
      </c>
      <c r="H575" s="4">
        <v>1</v>
      </c>
    </row>
    <row r="576" spans="1:8" x14ac:dyDescent="0.2">
      <c r="A576" s="2" t="s">
        <v>73</v>
      </c>
      <c r="B576" s="4">
        <v>27</v>
      </c>
      <c r="C576" s="5">
        <v>6.73</v>
      </c>
      <c r="D576" s="4">
        <v>13</v>
      </c>
      <c r="E576" s="5">
        <v>6.63</v>
      </c>
      <c r="F576" s="4">
        <v>12</v>
      </c>
      <c r="G576" s="5">
        <v>6.03</v>
      </c>
      <c r="H576" s="4">
        <v>0</v>
      </c>
    </row>
    <row r="577" spans="1:8" x14ac:dyDescent="0.2">
      <c r="A577" s="2" t="s">
        <v>74</v>
      </c>
      <c r="B577" s="4">
        <v>16</v>
      </c>
      <c r="C577" s="5">
        <v>3.99</v>
      </c>
      <c r="D577" s="4">
        <v>7</v>
      </c>
      <c r="E577" s="5">
        <v>3.57</v>
      </c>
      <c r="F577" s="4">
        <v>8</v>
      </c>
      <c r="G577" s="5">
        <v>4.0199999999999996</v>
      </c>
      <c r="H577" s="4">
        <v>0</v>
      </c>
    </row>
    <row r="578" spans="1:8" x14ac:dyDescent="0.2">
      <c r="A578" s="1" t="s">
        <v>36</v>
      </c>
      <c r="B578" s="4">
        <v>120</v>
      </c>
      <c r="C578" s="5">
        <v>100</v>
      </c>
      <c r="D578" s="4">
        <v>57</v>
      </c>
      <c r="E578" s="5">
        <v>99.999999999999986</v>
      </c>
      <c r="F578" s="4">
        <v>59</v>
      </c>
      <c r="G578" s="5">
        <v>99.97</v>
      </c>
      <c r="H578" s="4">
        <v>1</v>
      </c>
    </row>
    <row r="579" spans="1:8" x14ac:dyDescent="0.2">
      <c r="A579" s="2" t="s">
        <v>60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61</v>
      </c>
      <c r="B580" s="4">
        <v>21</v>
      </c>
      <c r="C580" s="5">
        <v>17.5</v>
      </c>
      <c r="D580" s="4">
        <v>8</v>
      </c>
      <c r="E580" s="5">
        <v>14.04</v>
      </c>
      <c r="F580" s="4">
        <v>13</v>
      </c>
      <c r="G580" s="5">
        <v>22.03</v>
      </c>
      <c r="H580" s="4">
        <v>0</v>
      </c>
    </row>
    <row r="581" spans="1:8" x14ac:dyDescent="0.2">
      <c r="A581" s="2" t="s">
        <v>62</v>
      </c>
      <c r="B581" s="4">
        <v>17</v>
      </c>
      <c r="C581" s="5">
        <v>14.17</v>
      </c>
      <c r="D581" s="4">
        <v>2</v>
      </c>
      <c r="E581" s="5">
        <v>3.51</v>
      </c>
      <c r="F581" s="4">
        <v>14</v>
      </c>
      <c r="G581" s="5">
        <v>23.73</v>
      </c>
      <c r="H581" s="4">
        <v>1</v>
      </c>
    </row>
    <row r="582" spans="1:8" x14ac:dyDescent="0.2">
      <c r="A582" s="2" t="s">
        <v>63</v>
      </c>
      <c r="B582" s="4">
        <v>1</v>
      </c>
      <c r="C582" s="5">
        <v>0.83</v>
      </c>
      <c r="D582" s="4">
        <v>0</v>
      </c>
      <c r="E582" s="5">
        <v>0</v>
      </c>
      <c r="F582" s="4">
        <v>1</v>
      </c>
      <c r="G582" s="5">
        <v>1.69</v>
      </c>
      <c r="H582" s="4">
        <v>0</v>
      </c>
    </row>
    <row r="583" spans="1:8" x14ac:dyDescent="0.2">
      <c r="A583" s="2" t="s">
        <v>64</v>
      </c>
      <c r="B583" s="4">
        <v>1</v>
      </c>
      <c r="C583" s="5">
        <v>0.83</v>
      </c>
      <c r="D583" s="4">
        <v>1</v>
      </c>
      <c r="E583" s="5">
        <v>1.75</v>
      </c>
      <c r="F583" s="4">
        <v>0</v>
      </c>
      <c r="G583" s="5">
        <v>0</v>
      </c>
      <c r="H583" s="4">
        <v>0</v>
      </c>
    </row>
    <row r="584" spans="1:8" x14ac:dyDescent="0.2">
      <c r="A584" s="2" t="s">
        <v>65</v>
      </c>
      <c r="B584" s="4">
        <v>5</v>
      </c>
      <c r="C584" s="5">
        <v>4.17</v>
      </c>
      <c r="D584" s="4">
        <v>0</v>
      </c>
      <c r="E584" s="5">
        <v>0</v>
      </c>
      <c r="F584" s="4">
        <v>5</v>
      </c>
      <c r="G584" s="5">
        <v>8.4700000000000006</v>
      </c>
      <c r="H584" s="4">
        <v>0</v>
      </c>
    </row>
    <row r="585" spans="1:8" x14ac:dyDescent="0.2">
      <c r="A585" s="2" t="s">
        <v>66</v>
      </c>
      <c r="B585" s="4">
        <v>21</v>
      </c>
      <c r="C585" s="5">
        <v>17.5</v>
      </c>
      <c r="D585" s="4">
        <v>12</v>
      </c>
      <c r="E585" s="5">
        <v>21.05</v>
      </c>
      <c r="F585" s="4">
        <v>9</v>
      </c>
      <c r="G585" s="5">
        <v>15.25</v>
      </c>
      <c r="H585" s="4">
        <v>0</v>
      </c>
    </row>
    <row r="586" spans="1:8" x14ac:dyDescent="0.2">
      <c r="A586" s="2" t="s">
        <v>67</v>
      </c>
      <c r="B586" s="4">
        <v>2</v>
      </c>
      <c r="C586" s="5">
        <v>1.67</v>
      </c>
      <c r="D586" s="4">
        <v>0</v>
      </c>
      <c r="E586" s="5">
        <v>0</v>
      </c>
      <c r="F586" s="4">
        <v>2</v>
      </c>
      <c r="G586" s="5">
        <v>3.39</v>
      </c>
      <c r="H586" s="4">
        <v>0</v>
      </c>
    </row>
    <row r="587" spans="1:8" x14ac:dyDescent="0.2">
      <c r="A587" s="2" t="s">
        <v>68</v>
      </c>
      <c r="B587" s="4">
        <v>1</v>
      </c>
      <c r="C587" s="5">
        <v>0.83</v>
      </c>
      <c r="D587" s="4">
        <v>0</v>
      </c>
      <c r="E587" s="5">
        <v>0</v>
      </c>
      <c r="F587" s="4">
        <v>1</v>
      </c>
      <c r="G587" s="5">
        <v>1.69</v>
      </c>
      <c r="H587" s="4">
        <v>0</v>
      </c>
    </row>
    <row r="588" spans="1:8" x14ac:dyDescent="0.2">
      <c r="A588" s="2" t="s">
        <v>69</v>
      </c>
      <c r="B588" s="4">
        <v>1</v>
      </c>
      <c r="C588" s="5">
        <v>0.83</v>
      </c>
      <c r="D588" s="4">
        <v>1</v>
      </c>
      <c r="E588" s="5">
        <v>1.75</v>
      </c>
      <c r="F588" s="4">
        <v>0</v>
      </c>
      <c r="G588" s="5">
        <v>0</v>
      </c>
      <c r="H588" s="4">
        <v>0</v>
      </c>
    </row>
    <row r="589" spans="1:8" x14ac:dyDescent="0.2">
      <c r="A589" s="2" t="s">
        <v>70</v>
      </c>
      <c r="B589" s="4">
        <v>13</v>
      </c>
      <c r="C589" s="5">
        <v>10.83</v>
      </c>
      <c r="D589" s="4">
        <v>9</v>
      </c>
      <c r="E589" s="5">
        <v>15.79</v>
      </c>
      <c r="F589" s="4">
        <v>3</v>
      </c>
      <c r="G589" s="5">
        <v>5.08</v>
      </c>
      <c r="H589" s="4">
        <v>0</v>
      </c>
    </row>
    <row r="590" spans="1:8" x14ac:dyDescent="0.2">
      <c r="A590" s="2" t="s">
        <v>71</v>
      </c>
      <c r="B590" s="4">
        <v>14</v>
      </c>
      <c r="C590" s="5">
        <v>11.67</v>
      </c>
      <c r="D590" s="4">
        <v>13</v>
      </c>
      <c r="E590" s="5">
        <v>22.81</v>
      </c>
      <c r="F590" s="4">
        <v>1</v>
      </c>
      <c r="G590" s="5">
        <v>1.69</v>
      </c>
      <c r="H590" s="4">
        <v>0</v>
      </c>
    </row>
    <row r="591" spans="1:8" x14ac:dyDescent="0.2">
      <c r="A591" s="2" t="s">
        <v>72</v>
      </c>
      <c r="B591" s="4">
        <v>4</v>
      </c>
      <c r="C591" s="5">
        <v>3.33</v>
      </c>
      <c r="D591" s="4">
        <v>2</v>
      </c>
      <c r="E591" s="5">
        <v>3.51</v>
      </c>
      <c r="F591" s="4">
        <v>0</v>
      </c>
      <c r="G591" s="5">
        <v>0</v>
      </c>
      <c r="H591" s="4">
        <v>0</v>
      </c>
    </row>
    <row r="592" spans="1:8" x14ac:dyDescent="0.2">
      <c r="A592" s="2" t="s">
        <v>73</v>
      </c>
      <c r="B592" s="4">
        <v>8</v>
      </c>
      <c r="C592" s="5">
        <v>6.67</v>
      </c>
      <c r="D592" s="4">
        <v>4</v>
      </c>
      <c r="E592" s="5">
        <v>7.02</v>
      </c>
      <c r="F592" s="4">
        <v>4</v>
      </c>
      <c r="G592" s="5">
        <v>6.78</v>
      </c>
      <c r="H592" s="4">
        <v>0</v>
      </c>
    </row>
    <row r="593" spans="1:8" x14ac:dyDescent="0.2">
      <c r="A593" s="2" t="s">
        <v>74</v>
      </c>
      <c r="B593" s="4">
        <v>11</v>
      </c>
      <c r="C593" s="5">
        <v>9.17</v>
      </c>
      <c r="D593" s="4">
        <v>5</v>
      </c>
      <c r="E593" s="5">
        <v>8.77</v>
      </c>
      <c r="F593" s="4">
        <v>6</v>
      </c>
      <c r="G593" s="5">
        <v>10.17</v>
      </c>
      <c r="H593" s="4">
        <v>0</v>
      </c>
    </row>
    <row r="594" spans="1:8" x14ac:dyDescent="0.2">
      <c r="A594" s="1" t="s">
        <v>37</v>
      </c>
      <c r="B594" s="4">
        <v>99</v>
      </c>
      <c r="C594" s="5">
        <v>99.990000000000009</v>
      </c>
      <c r="D594" s="4">
        <v>61</v>
      </c>
      <c r="E594" s="5">
        <v>100</v>
      </c>
      <c r="F594" s="4">
        <v>36</v>
      </c>
      <c r="G594" s="5">
        <v>100.01</v>
      </c>
      <c r="H594" s="4">
        <v>1</v>
      </c>
    </row>
    <row r="595" spans="1:8" x14ac:dyDescent="0.2">
      <c r="A595" s="2" t="s">
        <v>60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61</v>
      </c>
      <c r="B596" s="4">
        <v>32</v>
      </c>
      <c r="C596" s="5">
        <v>32.32</v>
      </c>
      <c r="D596" s="4">
        <v>13</v>
      </c>
      <c r="E596" s="5">
        <v>21.31</v>
      </c>
      <c r="F596" s="4">
        <v>19</v>
      </c>
      <c r="G596" s="5">
        <v>52.78</v>
      </c>
      <c r="H596" s="4">
        <v>0</v>
      </c>
    </row>
    <row r="597" spans="1:8" x14ac:dyDescent="0.2">
      <c r="A597" s="2" t="s">
        <v>62</v>
      </c>
      <c r="B597" s="4">
        <v>15</v>
      </c>
      <c r="C597" s="5">
        <v>15.15</v>
      </c>
      <c r="D597" s="4">
        <v>6</v>
      </c>
      <c r="E597" s="5">
        <v>9.84</v>
      </c>
      <c r="F597" s="4">
        <v>9</v>
      </c>
      <c r="G597" s="5">
        <v>25</v>
      </c>
      <c r="H597" s="4">
        <v>0</v>
      </c>
    </row>
    <row r="598" spans="1:8" x14ac:dyDescent="0.2">
      <c r="A598" s="2" t="s">
        <v>63</v>
      </c>
      <c r="B598" s="4">
        <v>1</v>
      </c>
      <c r="C598" s="5">
        <v>1.01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64</v>
      </c>
      <c r="B599" s="4">
        <v>0</v>
      </c>
      <c r="C599" s="5">
        <v>0</v>
      </c>
      <c r="D599" s="4">
        <v>0</v>
      </c>
      <c r="E599" s="5">
        <v>0</v>
      </c>
      <c r="F599" s="4">
        <v>0</v>
      </c>
      <c r="G599" s="5">
        <v>0</v>
      </c>
      <c r="H599" s="4">
        <v>0</v>
      </c>
    </row>
    <row r="600" spans="1:8" x14ac:dyDescent="0.2">
      <c r="A600" s="2" t="s">
        <v>65</v>
      </c>
      <c r="B600" s="4">
        <v>2</v>
      </c>
      <c r="C600" s="5">
        <v>2.02</v>
      </c>
      <c r="D600" s="4">
        <v>1</v>
      </c>
      <c r="E600" s="5">
        <v>1.64</v>
      </c>
      <c r="F600" s="4">
        <v>1</v>
      </c>
      <c r="G600" s="5">
        <v>2.78</v>
      </c>
      <c r="H600" s="4">
        <v>0</v>
      </c>
    </row>
    <row r="601" spans="1:8" x14ac:dyDescent="0.2">
      <c r="A601" s="2" t="s">
        <v>66</v>
      </c>
      <c r="B601" s="4">
        <v>19</v>
      </c>
      <c r="C601" s="5">
        <v>19.190000000000001</v>
      </c>
      <c r="D601" s="4">
        <v>13</v>
      </c>
      <c r="E601" s="5">
        <v>21.31</v>
      </c>
      <c r="F601" s="4">
        <v>5</v>
      </c>
      <c r="G601" s="5">
        <v>13.89</v>
      </c>
      <c r="H601" s="4">
        <v>1</v>
      </c>
    </row>
    <row r="602" spans="1:8" x14ac:dyDescent="0.2">
      <c r="A602" s="2" t="s">
        <v>67</v>
      </c>
      <c r="B602" s="4">
        <v>0</v>
      </c>
      <c r="C602" s="5">
        <v>0</v>
      </c>
      <c r="D602" s="4">
        <v>0</v>
      </c>
      <c r="E602" s="5">
        <v>0</v>
      </c>
      <c r="F602" s="4">
        <v>0</v>
      </c>
      <c r="G602" s="5">
        <v>0</v>
      </c>
      <c r="H602" s="4">
        <v>0</v>
      </c>
    </row>
    <row r="603" spans="1:8" x14ac:dyDescent="0.2">
      <c r="A603" s="2" t="s">
        <v>68</v>
      </c>
      <c r="B603" s="4">
        <v>1</v>
      </c>
      <c r="C603" s="5">
        <v>1.01</v>
      </c>
      <c r="D603" s="4">
        <v>0</v>
      </c>
      <c r="E603" s="5">
        <v>0</v>
      </c>
      <c r="F603" s="4">
        <v>1</v>
      </c>
      <c r="G603" s="5">
        <v>2.78</v>
      </c>
      <c r="H603" s="4">
        <v>0</v>
      </c>
    </row>
    <row r="604" spans="1:8" x14ac:dyDescent="0.2">
      <c r="A604" s="2" t="s">
        <v>69</v>
      </c>
      <c r="B604" s="4">
        <v>1</v>
      </c>
      <c r="C604" s="5">
        <v>1.01</v>
      </c>
      <c r="D604" s="4">
        <v>1</v>
      </c>
      <c r="E604" s="5">
        <v>1.64</v>
      </c>
      <c r="F604" s="4">
        <v>0</v>
      </c>
      <c r="G604" s="5">
        <v>0</v>
      </c>
      <c r="H604" s="4">
        <v>0</v>
      </c>
    </row>
    <row r="605" spans="1:8" x14ac:dyDescent="0.2">
      <c r="A605" s="2" t="s">
        <v>70</v>
      </c>
      <c r="B605" s="4">
        <v>9</v>
      </c>
      <c r="C605" s="5">
        <v>9.09</v>
      </c>
      <c r="D605" s="4">
        <v>8</v>
      </c>
      <c r="E605" s="5">
        <v>13.11</v>
      </c>
      <c r="F605" s="4">
        <v>1</v>
      </c>
      <c r="G605" s="5">
        <v>2.78</v>
      </c>
      <c r="H605" s="4">
        <v>0</v>
      </c>
    </row>
    <row r="606" spans="1:8" x14ac:dyDescent="0.2">
      <c r="A606" s="2" t="s">
        <v>71</v>
      </c>
      <c r="B606" s="4">
        <v>10</v>
      </c>
      <c r="C606" s="5">
        <v>10.1</v>
      </c>
      <c r="D606" s="4">
        <v>10</v>
      </c>
      <c r="E606" s="5">
        <v>16.39</v>
      </c>
      <c r="F606" s="4">
        <v>0</v>
      </c>
      <c r="G606" s="5">
        <v>0</v>
      </c>
      <c r="H606" s="4">
        <v>0</v>
      </c>
    </row>
    <row r="607" spans="1:8" x14ac:dyDescent="0.2">
      <c r="A607" s="2" t="s">
        <v>72</v>
      </c>
      <c r="B607" s="4">
        <v>2</v>
      </c>
      <c r="C607" s="5">
        <v>2.02</v>
      </c>
      <c r="D607" s="4">
        <v>2</v>
      </c>
      <c r="E607" s="5">
        <v>3.28</v>
      </c>
      <c r="F607" s="4">
        <v>0</v>
      </c>
      <c r="G607" s="5">
        <v>0</v>
      </c>
      <c r="H607" s="4">
        <v>0</v>
      </c>
    </row>
    <row r="608" spans="1:8" x14ac:dyDescent="0.2">
      <c r="A608" s="2" t="s">
        <v>73</v>
      </c>
      <c r="B608" s="4">
        <v>4</v>
      </c>
      <c r="C608" s="5">
        <v>4.04</v>
      </c>
      <c r="D608" s="4">
        <v>4</v>
      </c>
      <c r="E608" s="5">
        <v>6.56</v>
      </c>
      <c r="F608" s="4">
        <v>0</v>
      </c>
      <c r="G608" s="5">
        <v>0</v>
      </c>
      <c r="H608" s="4">
        <v>0</v>
      </c>
    </row>
    <row r="609" spans="1:8" x14ac:dyDescent="0.2">
      <c r="A609" s="2" t="s">
        <v>74</v>
      </c>
      <c r="B609" s="4">
        <v>3</v>
      </c>
      <c r="C609" s="5">
        <v>3.03</v>
      </c>
      <c r="D609" s="4">
        <v>3</v>
      </c>
      <c r="E609" s="5">
        <v>4.92</v>
      </c>
      <c r="F609" s="4">
        <v>0</v>
      </c>
      <c r="G609" s="5">
        <v>0</v>
      </c>
      <c r="H609" s="4">
        <v>0</v>
      </c>
    </row>
    <row r="610" spans="1:8" x14ac:dyDescent="0.2">
      <c r="A610" s="1" t="s">
        <v>38</v>
      </c>
      <c r="B610" s="4">
        <v>409</v>
      </c>
      <c r="C610" s="5">
        <v>100</v>
      </c>
      <c r="D610" s="4">
        <v>241</v>
      </c>
      <c r="E610" s="5">
        <v>99.98</v>
      </c>
      <c r="F610" s="4">
        <v>164</v>
      </c>
      <c r="G610" s="5">
        <v>100.00999999999996</v>
      </c>
      <c r="H610" s="4">
        <v>0</v>
      </c>
    </row>
    <row r="611" spans="1:8" x14ac:dyDescent="0.2">
      <c r="A611" s="2" t="s">
        <v>60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61</v>
      </c>
      <c r="B612" s="4">
        <v>67</v>
      </c>
      <c r="C612" s="5">
        <v>16.38</v>
      </c>
      <c r="D612" s="4">
        <v>28</v>
      </c>
      <c r="E612" s="5">
        <v>11.62</v>
      </c>
      <c r="F612" s="4">
        <v>39</v>
      </c>
      <c r="G612" s="5">
        <v>23.78</v>
      </c>
      <c r="H612" s="4">
        <v>0</v>
      </c>
    </row>
    <row r="613" spans="1:8" x14ac:dyDescent="0.2">
      <c r="A613" s="2" t="s">
        <v>62</v>
      </c>
      <c r="B613" s="4">
        <v>46</v>
      </c>
      <c r="C613" s="5">
        <v>11.25</v>
      </c>
      <c r="D613" s="4">
        <v>20</v>
      </c>
      <c r="E613" s="5">
        <v>8.3000000000000007</v>
      </c>
      <c r="F613" s="4">
        <v>26</v>
      </c>
      <c r="G613" s="5">
        <v>15.85</v>
      </c>
      <c r="H613" s="4">
        <v>0</v>
      </c>
    </row>
    <row r="614" spans="1:8" x14ac:dyDescent="0.2">
      <c r="A614" s="2" t="s">
        <v>63</v>
      </c>
      <c r="B614" s="4">
        <v>1</v>
      </c>
      <c r="C614" s="5">
        <v>0.24</v>
      </c>
      <c r="D614" s="4">
        <v>0</v>
      </c>
      <c r="E614" s="5">
        <v>0</v>
      </c>
      <c r="F614" s="4">
        <v>1</v>
      </c>
      <c r="G614" s="5">
        <v>0.61</v>
      </c>
      <c r="H614" s="4">
        <v>0</v>
      </c>
    </row>
    <row r="615" spans="1:8" x14ac:dyDescent="0.2">
      <c r="A615" s="2" t="s">
        <v>64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2">
      <c r="A616" s="2" t="s">
        <v>65</v>
      </c>
      <c r="B616" s="4">
        <v>4</v>
      </c>
      <c r="C616" s="5">
        <v>0.98</v>
      </c>
      <c r="D616" s="4">
        <v>1</v>
      </c>
      <c r="E616" s="5">
        <v>0.41</v>
      </c>
      <c r="F616" s="4">
        <v>3</v>
      </c>
      <c r="G616" s="5">
        <v>1.83</v>
      </c>
      <c r="H616" s="4">
        <v>0</v>
      </c>
    </row>
    <row r="617" spans="1:8" x14ac:dyDescent="0.2">
      <c r="A617" s="2" t="s">
        <v>66</v>
      </c>
      <c r="B617" s="4">
        <v>93</v>
      </c>
      <c r="C617" s="5">
        <v>22.74</v>
      </c>
      <c r="D617" s="4">
        <v>61</v>
      </c>
      <c r="E617" s="5">
        <v>25.31</v>
      </c>
      <c r="F617" s="4">
        <v>32</v>
      </c>
      <c r="G617" s="5">
        <v>19.510000000000002</v>
      </c>
      <c r="H617" s="4">
        <v>0</v>
      </c>
    </row>
    <row r="618" spans="1:8" x14ac:dyDescent="0.2">
      <c r="A618" s="2" t="s">
        <v>67</v>
      </c>
      <c r="B618" s="4">
        <v>7</v>
      </c>
      <c r="C618" s="5">
        <v>1.71</v>
      </c>
      <c r="D618" s="4">
        <v>1</v>
      </c>
      <c r="E618" s="5">
        <v>0.41</v>
      </c>
      <c r="F618" s="4">
        <v>6</v>
      </c>
      <c r="G618" s="5">
        <v>3.66</v>
      </c>
      <c r="H618" s="4">
        <v>0</v>
      </c>
    </row>
    <row r="619" spans="1:8" x14ac:dyDescent="0.2">
      <c r="A619" s="2" t="s">
        <v>68</v>
      </c>
      <c r="B619" s="4">
        <v>16</v>
      </c>
      <c r="C619" s="5">
        <v>3.91</v>
      </c>
      <c r="D619" s="4">
        <v>6</v>
      </c>
      <c r="E619" s="5">
        <v>2.4900000000000002</v>
      </c>
      <c r="F619" s="4">
        <v>10</v>
      </c>
      <c r="G619" s="5">
        <v>6.1</v>
      </c>
      <c r="H619" s="4">
        <v>0</v>
      </c>
    </row>
    <row r="620" spans="1:8" x14ac:dyDescent="0.2">
      <c r="A620" s="2" t="s">
        <v>69</v>
      </c>
      <c r="B620" s="4">
        <v>21</v>
      </c>
      <c r="C620" s="5">
        <v>5.13</v>
      </c>
      <c r="D620" s="4">
        <v>9</v>
      </c>
      <c r="E620" s="5">
        <v>3.73</v>
      </c>
      <c r="F620" s="4">
        <v>11</v>
      </c>
      <c r="G620" s="5">
        <v>6.71</v>
      </c>
      <c r="H620" s="4">
        <v>0</v>
      </c>
    </row>
    <row r="621" spans="1:8" x14ac:dyDescent="0.2">
      <c r="A621" s="2" t="s">
        <v>70</v>
      </c>
      <c r="B621" s="4">
        <v>46</v>
      </c>
      <c r="C621" s="5">
        <v>11.25</v>
      </c>
      <c r="D621" s="4">
        <v>35</v>
      </c>
      <c r="E621" s="5">
        <v>14.52</v>
      </c>
      <c r="F621" s="4">
        <v>11</v>
      </c>
      <c r="G621" s="5">
        <v>6.71</v>
      </c>
      <c r="H621" s="4">
        <v>0</v>
      </c>
    </row>
    <row r="622" spans="1:8" x14ac:dyDescent="0.2">
      <c r="A622" s="2" t="s">
        <v>71</v>
      </c>
      <c r="B622" s="4">
        <v>61</v>
      </c>
      <c r="C622" s="5">
        <v>14.91</v>
      </c>
      <c r="D622" s="4">
        <v>50</v>
      </c>
      <c r="E622" s="5">
        <v>20.75</v>
      </c>
      <c r="F622" s="4">
        <v>11</v>
      </c>
      <c r="G622" s="5">
        <v>6.71</v>
      </c>
      <c r="H622" s="4">
        <v>0</v>
      </c>
    </row>
    <row r="623" spans="1:8" x14ac:dyDescent="0.2">
      <c r="A623" s="2" t="s">
        <v>72</v>
      </c>
      <c r="B623" s="4">
        <v>15</v>
      </c>
      <c r="C623" s="5">
        <v>3.67</v>
      </c>
      <c r="D623" s="4">
        <v>10</v>
      </c>
      <c r="E623" s="5">
        <v>4.1500000000000004</v>
      </c>
      <c r="F623" s="4">
        <v>3</v>
      </c>
      <c r="G623" s="5">
        <v>1.83</v>
      </c>
      <c r="H623" s="4">
        <v>0</v>
      </c>
    </row>
    <row r="624" spans="1:8" x14ac:dyDescent="0.2">
      <c r="A624" s="2" t="s">
        <v>73</v>
      </c>
      <c r="B624" s="4">
        <v>17</v>
      </c>
      <c r="C624" s="5">
        <v>4.16</v>
      </c>
      <c r="D624" s="4">
        <v>9</v>
      </c>
      <c r="E624" s="5">
        <v>3.73</v>
      </c>
      <c r="F624" s="4">
        <v>8</v>
      </c>
      <c r="G624" s="5">
        <v>4.88</v>
      </c>
      <c r="H624" s="4">
        <v>0</v>
      </c>
    </row>
    <row r="625" spans="1:8" x14ac:dyDescent="0.2">
      <c r="A625" s="2" t="s">
        <v>74</v>
      </c>
      <c r="B625" s="4">
        <v>15</v>
      </c>
      <c r="C625" s="5">
        <v>3.67</v>
      </c>
      <c r="D625" s="4">
        <v>11</v>
      </c>
      <c r="E625" s="5">
        <v>4.5599999999999996</v>
      </c>
      <c r="F625" s="4">
        <v>3</v>
      </c>
      <c r="G625" s="5">
        <v>1.83</v>
      </c>
      <c r="H625" s="4">
        <v>0</v>
      </c>
    </row>
    <row r="626" spans="1:8" x14ac:dyDescent="0.2">
      <c r="A626" s="1" t="s">
        <v>39</v>
      </c>
      <c r="B626" s="4">
        <v>446</v>
      </c>
      <c r="C626" s="5">
        <v>99.999999999999986</v>
      </c>
      <c r="D626" s="4">
        <v>296</v>
      </c>
      <c r="E626" s="5">
        <v>100</v>
      </c>
      <c r="F626" s="4">
        <v>145</v>
      </c>
      <c r="G626" s="5">
        <v>100.01999999999998</v>
      </c>
      <c r="H626" s="4">
        <v>1</v>
      </c>
    </row>
    <row r="627" spans="1:8" x14ac:dyDescent="0.2">
      <c r="A627" s="2" t="s">
        <v>60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61</v>
      </c>
      <c r="B628" s="4">
        <v>73</v>
      </c>
      <c r="C628" s="5">
        <v>16.37</v>
      </c>
      <c r="D628" s="4">
        <v>37</v>
      </c>
      <c r="E628" s="5">
        <v>12.5</v>
      </c>
      <c r="F628" s="4">
        <v>36</v>
      </c>
      <c r="G628" s="5">
        <v>24.83</v>
      </c>
      <c r="H628" s="4">
        <v>0</v>
      </c>
    </row>
    <row r="629" spans="1:8" x14ac:dyDescent="0.2">
      <c r="A629" s="2" t="s">
        <v>62</v>
      </c>
      <c r="B629" s="4">
        <v>46</v>
      </c>
      <c r="C629" s="5">
        <v>10.31</v>
      </c>
      <c r="D629" s="4">
        <v>18</v>
      </c>
      <c r="E629" s="5">
        <v>6.08</v>
      </c>
      <c r="F629" s="4">
        <v>28</v>
      </c>
      <c r="G629" s="5">
        <v>19.309999999999999</v>
      </c>
      <c r="H629" s="4">
        <v>0</v>
      </c>
    </row>
    <row r="630" spans="1:8" x14ac:dyDescent="0.2">
      <c r="A630" s="2" t="s">
        <v>63</v>
      </c>
      <c r="B630" s="4">
        <v>4</v>
      </c>
      <c r="C630" s="5">
        <v>0.9</v>
      </c>
      <c r="D630" s="4">
        <v>1</v>
      </c>
      <c r="E630" s="5">
        <v>0.34</v>
      </c>
      <c r="F630" s="4">
        <v>3</v>
      </c>
      <c r="G630" s="5">
        <v>2.0699999999999998</v>
      </c>
      <c r="H630" s="4">
        <v>0</v>
      </c>
    </row>
    <row r="631" spans="1:8" x14ac:dyDescent="0.2">
      <c r="A631" s="2" t="s">
        <v>64</v>
      </c>
      <c r="B631" s="4">
        <v>4</v>
      </c>
      <c r="C631" s="5">
        <v>0.9</v>
      </c>
      <c r="D631" s="4">
        <v>1</v>
      </c>
      <c r="E631" s="5">
        <v>0.34</v>
      </c>
      <c r="F631" s="4">
        <v>3</v>
      </c>
      <c r="G631" s="5">
        <v>2.0699999999999998</v>
      </c>
      <c r="H631" s="4">
        <v>0</v>
      </c>
    </row>
    <row r="632" spans="1:8" x14ac:dyDescent="0.2">
      <c r="A632" s="2" t="s">
        <v>65</v>
      </c>
      <c r="B632" s="4">
        <v>4</v>
      </c>
      <c r="C632" s="5">
        <v>0.9</v>
      </c>
      <c r="D632" s="4">
        <v>1</v>
      </c>
      <c r="E632" s="5">
        <v>0.34</v>
      </c>
      <c r="F632" s="4">
        <v>3</v>
      </c>
      <c r="G632" s="5">
        <v>2.0699999999999998</v>
      </c>
      <c r="H632" s="4">
        <v>0</v>
      </c>
    </row>
    <row r="633" spans="1:8" x14ac:dyDescent="0.2">
      <c r="A633" s="2" t="s">
        <v>66</v>
      </c>
      <c r="B633" s="4">
        <v>106</v>
      </c>
      <c r="C633" s="5">
        <v>23.77</v>
      </c>
      <c r="D633" s="4">
        <v>69</v>
      </c>
      <c r="E633" s="5">
        <v>23.31</v>
      </c>
      <c r="F633" s="4">
        <v>36</v>
      </c>
      <c r="G633" s="5">
        <v>24.83</v>
      </c>
      <c r="H633" s="4">
        <v>1</v>
      </c>
    </row>
    <row r="634" spans="1:8" x14ac:dyDescent="0.2">
      <c r="A634" s="2" t="s">
        <v>67</v>
      </c>
      <c r="B634" s="4">
        <v>3</v>
      </c>
      <c r="C634" s="5">
        <v>0.67</v>
      </c>
      <c r="D634" s="4">
        <v>0</v>
      </c>
      <c r="E634" s="5">
        <v>0</v>
      </c>
      <c r="F634" s="4">
        <v>3</v>
      </c>
      <c r="G634" s="5">
        <v>2.0699999999999998</v>
      </c>
      <c r="H634" s="4">
        <v>0</v>
      </c>
    </row>
    <row r="635" spans="1:8" x14ac:dyDescent="0.2">
      <c r="A635" s="2" t="s">
        <v>68</v>
      </c>
      <c r="B635" s="4">
        <v>32</v>
      </c>
      <c r="C635" s="5">
        <v>7.17</v>
      </c>
      <c r="D635" s="4">
        <v>24</v>
      </c>
      <c r="E635" s="5">
        <v>8.11</v>
      </c>
      <c r="F635" s="4">
        <v>8</v>
      </c>
      <c r="G635" s="5">
        <v>5.52</v>
      </c>
      <c r="H635" s="4">
        <v>0</v>
      </c>
    </row>
    <row r="636" spans="1:8" x14ac:dyDescent="0.2">
      <c r="A636" s="2" t="s">
        <v>69</v>
      </c>
      <c r="B636" s="4">
        <v>8</v>
      </c>
      <c r="C636" s="5">
        <v>1.79</v>
      </c>
      <c r="D636" s="4">
        <v>6</v>
      </c>
      <c r="E636" s="5">
        <v>2.0299999999999998</v>
      </c>
      <c r="F636" s="4">
        <v>2</v>
      </c>
      <c r="G636" s="5">
        <v>1.38</v>
      </c>
      <c r="H636" s="4">
        <v>0</v>
      </c>
    </row>
    <row r="637" spans="1:8" x14ac:dyDescent="0.2">
      <c r="A637" s="2" t="s">
        <v>70</v>
      </c>
      <c r="B637" s="4">
        <v>67</v>
      </c>
      <c r="C637" s="5">
        <v>15.02</v>
      </c>
      <c r="D637" s="4">
        <v>58</v>
      </c>
      <c r="E637" s="5">
        <v>19.59</v>
      </c>
      <c r="F637" s="4">
        <v>8</v>
      </c>
      <c r="G637" s="5">
        <v>5.52</v>
      </c>
      <c r="H637" s="4">
        <v>0</v>
      </c>
    </row>
    <row r="638" spans="1:8" x14ac:dyDescent="0.2">
      <c r="A638" s="2" t="s">
        <v>71</v>
      </c>
      <c r="B638" s="4">
        <v>64</v>
      </c>
      <c r="C638" s="5">
        <v>14.35</v>
      </c>
      <c r="D638" s="4">
        <v>55</v>
      </c>
      <c r="E638" s="5">
        <v>18.579999999999998</v>
      </c>
      <c r="F638" s="4">
        <v>7</v>
      </c>
      <c r="G638" s="5">
        <v>4.83</v>
      </c>
      <c r="H638" s="4">
        <v>0</v>
      </c>
    </row>
    <row r="639" spans="1:8" x14ac:dyDescent="0.2">
      <c r="A639" s="2" t="s">
        <v>72</v>
      </c>
      <c r="B639" s="4">
        <v>11</v>
      </c>
      <c r="C639" s="5">
        <v>2.4700000000000002</v>
      </c>
      <c r="D639" s="4">
        <v>7</v>
      </c>
      <c r="E639" s="5">
        <v>2.36</v>
      </c>
      <c r="F639" s="4">
        <v>4</v>
      </c>
      <c r="G639" s="5">
        <v>2.76</v>
      </c>
      <c r="H639" s="4">
        <v>0</v>
      </c>
    </row>
    <row r="640" spans="1:8" x14ac:dyDescent="0.2">
      <c r="A640" s="2" t="s">
        <v>73</v>
      </c>
      <c r="B640" s="4">
        <v>14</v>
      </c>
      <c r="C640" s="5">
        <v>3.14</v>
      </c>
      <c r="D640" s="4">
        <v>11</v>
      </c>
      <c r="E640" s="5">
        <v>3.72</v>
      </c>
      <c r="F640" s="4">
        <v>2</v>
      </c>
      <c r="G640" s="5">
        <v>1.38</v>
      </c>
      <c r="H640" s="4">
        <v>0</v>
      </c>
    </row>
    <row r="641" spans="1:8" x14ac:dyDescent="0.2">
      <c r="A641" s="2" t="s">
        <v>74</v>
      </c>
      <c r="B641" s="4">
        <v>10</v>
      </c>
      <c r="C641" s="5">
        <v>2.2400000000000002</v>
      </c>
      <c r="D641" s="4">
        <v>8</v>
      </c>
      <c r="E641" s="5">
        <v>2.7</v>
      </c>
      <c r="F641" s="4">
        <v>2</v>
      </c>
      <c r="G641" s="5">
        <v>1.38</v>
      </c>
      <c r="H641" s="4">
        <v>0</v>
      </c>
    </row>
    <row r="642" spans="1:8" x14ac:dyDescent="0.2">
      <c r="A642" s="1" t="s">
        <v>40</v>
      </c>
      <c r="B642" s="4">
        <v>197</v>
      </c>
      <c r="C642" s="5">
        <v>100.01</v>
      </c>
      <c r="D642" s="4">
        <v>145</v>
      </c>
      <c r="E642" s="5">
        <v>99.999999999999972</v>
      </c>
      <c r="F642" s="4">
        <v>46</v>
      </c>
      <c r="G642" s="5">
        <v>100</v>
      </c>
      <c r="H642" s="4">
        <v>2</v>
      </c>
    </row>
    <row r="643" spans="1:8" x14ac:dyDescent="0.2">
      <c r="A643" s="2" t="s">
        <v>60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61</v>
      </c>
      <c r="B644" s="4">
        <v>57</v>
      </c>
      <c r="C644" s="5">
        <v>28.93</v>
      </c>
      <c r="D644" s="4">
        <v>44</v>
      </c>
      <c r="E644" s="5">
        <v>30.34</v>
      </c>
      <c r="F644" s="4">
        <v>13</v>
      </c>
      <c r="G644" s="5">
        <v>28.26</v>
      </c>
      <c r="H644" s="4">
        <v>0</v>
      </c>
    </row>
    <row r="645" spans="1:8" x14ac:dyDescent="0.2">
      <c r="A645" s="2" t="s">
        <v>62</v>
      </c>
      <c r="B645" s="4">
        <v>23</v>
      </c>
      <c r="C645" s="5">
        <v>11.68</v>
      </c>
      <c r="D645" s="4">
        <v>11</v>
      </c>
      <c r="E645" s="5">
        <v>7.59</v>
      </c>
      <c r="F645" s="4">
        <v>12</v>
      </c>
      <c r="G645" s="5">
        <v>26.09</v>
      </c>
      <c r="H645" s="4">
        <v>0</v>
      </c>
    </row>
    <row r="646" spans="1:8" x14ac:dyDescent="0.2">
      <c r="A646" s="2" t="s">
        <v>63</v>
      </c>
      <c r="B646" s="4">
        <v>1</v>
      </c>
      <c r="C646" s="5">
        <v>0.51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2">
      <c r="A647" s="2" t="s">
        <v>64</v>
      </c>
      <c r="B647" s="4">
        <v>1</v>
      </c>
      <c r="C647" s="5">
        <v>0.51</v>
      </c>
      <c r="D647" s="4">
        <v>1</v>
      </c>
      <c r="E647" s="5">
        <v>0.69</v>
      </c>
      <c r="F647" s="4">
        <v>0</v>
      </c>
      <c r="G647" s="5">
        <v>0</v>
      </c>
      <c r="H647" s="4">
        <v>0</v>
      </c>
    </row>
    <row r="648" spans="1:8" x14ac:dyDescent="0.2">
      <c r="A648" s="2" t="s">
        <v>65</v>
      </c>
      <c r="B648" s="4">
        <v>3</v>
      </c>
      <c r="C648" s="5">
        <v>1.52</v>
      </c>
      <c r="D648" s="4">
        <v>1</v>
      </c>
      <c r="E648" s="5">
        <v>0.69</v>
      </c>
      <c r="F648" s="4">
        <v>1</v>
      </c>
      <c r="G648" s="5">
        <v>2.17</v>
      </c>
      <c r="H648" s="4">
        <v>1</v>
      </c>
    </row>
    <row r="649" spans="1:8" x14ac:dyDescent="0.2">
      <c r="A649" s="2" t="s">
        <v>66</v>
      </c>
      <c r="B649" s="4">
        <v>43</v>
      </c>
      <c r="C649" s="5">
        <v>21.83</v>
      </c>
      <c r="D649" s="4">
        <v>29</v>
      </c>
      <c r="E649" s="5">
        <v>20</v>
      </c>
      <c r="F649" s="4">
        <v>13</v>
      </c>
      <c r="G649" s="5">
        <v>28.26</v>
      </c>
      <c r="H649" s="4">
        <v>1</v>
      </c>
    </row>
    <row r="650" spans="1:8" x14ac:dyDescent="0.2">
      <c r="A650" s="2" t="s">
        <v>67</v>
      </c>
      <c r="B650" s="4">
        <v>0</v>
      </c>
      <c r="C650" s="5">
        <v>0</v>
      </c>
      <c r="D650" s="4">
        <v>0</v>
      </c>
      <c r="E650" s="5">
        <v>0</v>
      </c>
      <c r="F650" s="4">
        <v>0</v>
      </c>
      <c r="G650" s="5">
        <v>0</v>
      </c>
      <c r="H650" s="4">
        <v>0</v>
      </c>
    </row>
    <row r="651" spans="1:8" x14ac:dyDescent="0.2">
      <c r="A651" s="2" t="s">
        <v>68</v>
      </c>
      <c r="B651" s="4">
        <v>4</v>
      </c>
      <c r="C651" s="5">
        <v>2.0299999999999998</v>
      </c>
      <c r="D651" s="4">
        <v>4</v>
      </c>
      <c r="E651" s="5">
        <v>2.76</v>
      </c>
      <c r="F651" s="4">
        <v>0</v>
      </c>
      <c r="G651" s="5">
        <v>0</v>
      </c>
      <c r="H651" s="4">
        <v>0</v>
      </c>
    </row>
    <row r="652" spans="1:8" x14ac:dyDescent="0.2">
      <c r="A652" s="2" t="s">
        <v>69</v>
      </c>
      <c r="B652" s="4">
        <v>3</v>
      </c>
      <c r="C652" s="5">
        <v>1.52</v>
      </c>
      <c r="D652" s="4">
        <v>3</v>
      </c>
      <c r="E652" s="5">
        <v>2.0699999999999998</v>
      </c>
      <c r="F652" s="4">
        <v>0</v>
      </c>
      <c r="G652" s="5">
        <v>0</v>
      </c>
      <c r="H652" s="4">
        <v>0</v>
      </c>
    </row>
    <row r="653" spans="1:8" x14ac:dyDescent="0.2">
      <c r="A653" s="2" t="s">
        <v>70</v>
      </c>
      <c r="B653" s="4">
        <v>22</v>
      </c>
      <c r="C653" s="5">
        <v>11.17</v>
      </c>
      <c r="D653" s="4">
        <v>20</v>
      </c>
      <c r="E653" s="5">
        <v>13.79</v>
      </c>
      <c r="F653" s="4">
        <v>2</v>
      </c>
      <c r="G653" s="5">
        <v>4.3499999999999996</v>
      </c>
      <c r="H653" s="4">
        <v>0</v>
      </c>
    </row>
    <row r="654" spans="1:8" x14ac:dyDescent="0.2">
      <c r="A654" s="2" t="s">
        <v>71</v>
      </c>
      <c r="B654" s="4">
        <v>23</v>
      </c>
      <c r="C654" s="5">
        <v>11.68</v>
      </c>
      <c r="D654" s="4">
        <v>22</v>
      </c>
      <c r="E654" s="5">
        <v>15.17</v>
      </c>
      <c r="F654" s="4">
        <v>0</v>
      </c>
      <c r="G654" s="5">
        <v>0</v>
      </c>
      <c r="H654" s="4">
        <v>0</v>
      </c>
    </row>
    <row r="655" spans="1:8" x14ac:dyDescent="0.2">
      <c r="A655" s="2" t="s">
        <v>72</v>
      </c>
      <c r="B655" s="4">
        <v>3</v>
      </c>
      <c r="C655" s="5">
        <v>1.52</v>
      </c>
      <c r="D655" s="4">
        <v>2</v>
      </c>
      <c r="E655" s="5">
        <v>1.38</v>
      </c>
      <c r="F655" s="4">
        <v>0</v>
      </c>
      <c r="G655" s="5">
        <v>0</v>
      </c>
      <c r="H655" s="4">
        <v>0</v>
      </c>
    </row>
    <row r="656" spans="1:8" x14ac:dyDescent="0.2">
      <c r="A656" s="2" t="s">
        <v>73</v>
      </c>
      <c r="B656" s="4">
        <v>9</v>
      </c>
      <c r="C656" s="5">
        <v>4.57</v>
      </c>
      <c r="D656" s="4">
        <v>5</v>
      </c>
      <c r="E656" s="5">
        <v>3.45</v>
      </c>
      <c r="F656" s="4">
        <v>4</v>
      </c>
      <c r="G656" s="5">
        <v>8.6999999999999993</v>
      </c>
      <c r="H656" s="4">
        <v>0</v>
      </c>
    </row>
    <row r="657" spans="1:8" x14ac:dyDescent="0.2">
      <c r="A657" s="2" t="s">
        <v>74</v>
      </c>
      <c r="B657" s="4">
        <v>5</v>
      </c>
      <c r="C657" s="5">
        <v>2.54</v>
      </c>
      <c r="D657" s="4">
        <v>3</v>
      </c>
      <c r="E657" s="5">
        <v>2.0699999999999998</v>
      </c>
      <c r="F657" s="4">
        <v>1</v>
      </c>
      <c r="G657" s="5">
        <v>2.17</v>
      </c>
      <c r="H657" s="4">
        <v>0</v>
      </c>
    </row>
    <row r="658" spans="1:8" x14ac:dyDescent="0.2">
      <c r="A658" s="1" t="s">
        <v>41</v>
      </c>
      <c r="B658" s="4">
        <v>337</v>
      </c>
      <c r="C658" s="5">
        <v>100.01</v>
      </c>
      <c r="D658" s="4">
        <v>249</v>
      </c>
      <c r="E658" s="5">
        <v>99.97</v>
      </c>
      <c r="F658" s="4">
        <v>82</v>
      </c>
      <c r="G658" s="5">
        <v>100.00999999999998</v>
      </c>
      <c r="H658" s="4">
        <v>2</v>
      </c>
    </row>
    <row r="659" spans="1:8" x14ac:dyDescent="0.2">
      <c r="A659" s="2" t="s">
        <v>60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61</v>
      </c>
      <c r="B660" s="4">
        <v>53</v>
      </c>
      <c r="C660" s="5">
        <v>15.73</v>
      </c>
      <c r="D660" s="4">
        <v>37</v>
      </c>
      <c r="E660" s="5">
        <v>14.86</v>
      </c>
      <c r="F660" s="4">
        <v>16</v>
      </c>
      <c r="G660" s="5">
        <v>19.510000000000002</v>
      </c>
      <c r="H660" s="4">
        <v>0</v>
      </c>
    </row>
    <row r="661" spans="1:8" x14ac:dyDescent="0.2">
      <c r="A661" s="2" t="s">
        <v>62</v>
      </c>
      <c r="B661" s="4">
        <v>27</v>
      </c>
      <c r="C661" s="5">
        <v>8.01</v>
      </c>
      <c r="D661" s="4">
        <v>15</v>
      </c>
      <c r="E661" s="5">
        <v>6.02</v>
      </c>
      <c r="F661" s="4">
        <v>12</v>
      </c>
      <c r="G661" s="5">
        <v>14.63</v>
      </c>
      <c r="H661" s="4">
        <v>0</v>
      </c>
    </row>
    <row r="662" spans="1:8" x14ac:dyDescent="0.2">
      <c r="A662" s="2" t="s">
        <v>63</v>
      </c>
      <c r="B662" s="4">
        <v>1</v>
      </c>
      <c r="C662" s="5">
        <v>0.3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2">
      <c r="A663" s="2" t="s">
        <v>64</v>
      </c>
      <c r="B663" s="4">
        <v>1</v>
      </c>
      <c r="C663" s="5">
        <v>0.3</v>
      </c>
      <c r="D663" s="4">
        <v>1</v>
      </c>
      <c r="E663" s="5">
        <v>0.4</v>
      </c>
      <c r="F663" s="4">
        <v>0</v>
      </c>
      <c r="G663" s="5">
        <v>0</v>
      </c>
      <c r="H663" s="4">
        <v>0</v>
      </c>
    </row>
    <row r="664" spans="1:8" x14ac:dyDescent="0.2">
      <c r="A664" s="2" t="s">
        <v>65</v>
      </c>
      <c r="B664" s="4">
        <v>7</v>
      </c>
      <c r="C664" s="5">
        <v>2.08</v>
      </c>
      <c r="D664" s="4">
        <v>2</v>
      </c>
      <c r="E664" s="5">
        <v>0.8</v>
      </c>
      <c r="F664" s="4">
        <v>5</v>
      </c>
      <c r="G664" s="5">
        <v>6.1</v>
      </c>
      <c r="H664" s="4">
        <v>0</v>
      </c>
    </row>
    <row r="665" spans="1:8" x14ac:dyDescent="0.2">
      <c r="A665" s="2" t="s">
        <v>66</v>
      </c>
      <c r="B665" s="4">
        <v>96</v>
      </c>
      <c r="C665" s="5">
        <v>28.49</v>
      </c>
      <c r="D665" s="4">
        <v>71</v>
      </c>
      <c r="E665" s="5">
        <v>28.51</v>
      </c>
      <c r="F665" s="4">
        <v>24</v>
      </c>
      <c r="G665" s="5">
        <v>29.27</v>
      </c>
      <c r="H665" s="4">
        <v>1</v>
      </c>
    </row>
    <row r="666" spans="1:8" x14ac:dyDescent="0.2">
      <c r="A666" s="2" t="s">
        <v>67</v>
      </c>
      <c r="B666" s="4">
        <v>3</v>
      </c>
      <c r="C666" s="5">
        <v>0.89</v>
      </c>
      <c r="D666" s="4">
        <v>1</v>
      </c>
      <c r="E666" s="5">
        <v>0.4</v>
      </c>
      <c r="F666" s="4">
        <v>2</v>
      </c>
      <c r="G666" s="5">
        <v>2.44</v>
      </c>
      <c r="H666" s="4">
        <v>0</v>
      </c>
    </row>
    <row r="667" spans="1:8" x14ac:dyDescent="0.2">
      <c r="A667" s="2" t="s">
        <v>68</v>
      </c>
      <c r="B667" s="4">
        <v>30</v>
      </c>
      <c r="C667" s="5">
        <v>8.9</v>
      </c>
      <c r="D667" s="4">
        <v>25</v>
      </c>
      <c r="E667" s="5">
        <v>10.039999999999999</v>
      </c>
      <c r="F667" s="4">
        <v>5</v>
      </c>
      <c r="G667" s="5">
        <v>6.1</v>
      </c>
      <c r="H667" s="4">
        <v>0</v>
      </c>
    </row>
    <row r="668" spans="1:8" x14ac:dyDescent="0.2">
      <c r="A668" s="2" t="s">
        <v>69</v>
      </c>
      <c r="B668" s="4">
        <v>9</v>
      </c>
      <c r="C668" s="5">
        <v>2.67</v>
      </c>
      <c r="D668" s="4">
        <v>5</v>
      </c>
      <c r="E668" s="5">
        <v>2.0099999999999998</v>
      </c>
      <c r="F668" s="4">
        <v>4</v>
      </c>
      <c r="G668" s="5">
        <v>4.88</v>
      </c>
      <c r="H668" s="4">
        <v>0</v>
      </c>
    </row>
    <row r="669" spans="1:8" x14ac:dyDescent="0.2">
      <c r="A669" s="2" t="s">
        <v>70</v>
      </c>
      <c r="B669" s="4">
        <v>39</v>
      </c>
      <c r="C669" s="5">
        <v>11.57</v>
      </c>
      <c r="D669" s="4">
        <v>33</v>
      </c>
      <c r="E669" s="5">
        <v>13.25</v>
      </c>
      <c r="F669" s="4">
        <v>5</v>
      </c>
      <c r="G669" s="5">
        <v>6.1</v>
      </c>
      <c r="H669" s="4">
        <v>0</v>
      </c>
    </row>
    <row r="670" spans="1:8" x14ac:dyDescent="0.2">
      <c r="A670" s="2" t="s">
        <v>71</v>
      </c>
      <c r="B670" s="4">
        <v>44</v>
      </c>
      <c r="C670" s="5">
        <v>13.06</v>
      </c>
      <c r="D670" s="4">
        <v>40</v>
      </c>
      <c r="E670" s="5">
        <v>16.059999999999999</v>
      </c>
      <c r="F670" s="4">
        <v>4</v>
      </c>
      <c r="G670" s="5">
        <v>4.88</v>
      </c>
      <c r="H670" s="4">
        <v>0</v>
      </c>
    </row>
    <row r="671" spans="1:8" x14ac:dyDescent="0.2">
      <c r="A671" s="2" t="s">
        <v>72</v>
      </c>
      <c r="B671" s="4">
        <v>12</v>
      </c>
      <c r="C671" s="5">
        <v>3.56</v>
      </c>
      <c r="D671" s="4">
        <v>9</v>
      </c>
      <c r="E671" s="5">
        <v>3.61</v>
      </c>
      <c r="F671" s="4">
        <v>1</v>
      </c>
      <c r="G671" s="5">
        <v>1.22</v>
      </c>
      <c r="H671" s="4">
        <v>0</v>
      </c>
    </row>
    <row r="672" spans="1:8" x14ac:dyDescent="0.2">
      <c r="A672" s="2" t="s">
        <v>73</v>
      </c>
      <c r="B672" s="4">
        <v>9</v>
      </c>
      <c r="C672" s="5">
        <v>2.67</v>
      </c>
      <c r="D672" s="4">
        <v>7</v>
      </c>
      <c r="E672" s="5">
        <v>2.81</v>
      </c>
      <c r="F672" s="4">
        <v>2</v>
      </c>
      <c r="G672" s="5">
        <v>2.44</v>
      </c>
      <c r="H672" s="4">
        <v>0</v>
      </c>
    </row>
    <row r="673" spans="1:8" x14ac:dyDescent="0.2">
      <c r="A673" s="2" t="s">
        <v>74</v>
      </c>
      <c r="B673" s="4">
        <v>6</v>
      </c>
      <c r="C673" s="5">
        <v>1.78</v>
      </c>
      <c r="D673" s="4">
        <v>3</v>
      </c>
      <c r="E673" s="5">
        <v>1.2</v>
      </c>
      <c r="F673" s="4">
        <v>2</v>
      </c>
      <c r="G673" s="5">
        <v>2.44</v>
      </c>
      <c r="H673" s="4">
        <v>1</v>
      </c>
    </row>
    <row r="674" spans="1:8" x14ac:dyDescent="0.2">
      <c r="A674" s="1" t="s">
        <v>42</v>
      </c>
      <c r="B674" s="4">
        <v>92</v>
      </c>
      <c r="C674" s="5">
        <v>100.01</v>
      </c>
      <c r="D674" s="4">
        <v>69</v>
      </c>
      <c r="E674" s="5">
        <v>100.00000000000003</v>
      </c>
      <c r="F674" s="4">
        <v>22</v>
      </c>
      <c r="G674" s="5">
        <v>100.01</v>
      </c>
      <c r="H674" s="4">
        <v>0</v>
      </c>
    </row>
    <row r="675" spans="1:8" x14ac:dyDescent="0.2">
      <c r="A675" s="2" t="s">
        <v>60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61</v>
      </c>
      <c r="B676" s="4">
        <v>33</v>
      </c>
      <c r="C676" s="5">
        <v>35.869999999999997</v>
      </c>
      <c r="D676" s="4">
        <v>26</v>
      </c>
      <c r="E676" s="5">
        <v>37.68</v>
      </c>
      <c r="F676" s="4">
        <v>7</v>
      </c>
      <c r="G676" s="5">
        <v>31.82</v>
      </c>
      <c r="H676" s="4">
        <v>0</v>
      </c>
    </row>
    <row r="677" spans="1:8" x14ac:dyDescent="0.2">
      <c r="A677" s="2" t="s">
        <v>62</v>
      </c>
      <c r="B677" s="4">
        <v>7</v>
      </c>
      <c r="C677" s="5">
        <v>7.61</v>
      </c>
      <c r="D677" s="4">
        <v>3</v>
      </c>
      <c r="E677" s="5">
        <v>4.3499999999999996</v>
      </c>
      <c r="F677" s="4">
        <v>4</v>
      </c>
      <c r="G677" s="5">
        <v>18.18</v>
      </c>
      <c r="H677" s="4">
        <v>0</v>
      </c>
    </row>
    <row r="678" spans="1:8" x14ac:dyDescent="0.2">
      <c r="A678" s="2" t="s">
        <v>63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2">
      <c r="A679" s="2" t="s">
        <v>64</v>
      </c>
      <c r="B679" s="4">
        <v>0</v>
      </c>
      <c r="C679" s="5">
        <v>0</v>
      </c>
      <c r="D679" s="4">
        <v>0</v>
      </c>
      <c r="E679" s="5">
        <v>0</v>
      </c>
      <c r="F679" s="4">
        <v>0</v>
      </c>
      <c r="G679" s="5">
        <v>0</v>
      </c>
      <c r="H679" s="4">
        <v>0</v>
      </c>
    </row>
    <row r="680" spans="1:8" x14ac:dyDescent="0.2">
      <c r="A680" s="2" t="s">
        <v>65</v>
      </c>
      <c r="B680" s="4">
        <v>0</v>
      </c>
      <c r="C680" s="5">
        <v>0</v>
      </c>
      <c r="D680" s="4">
        <v>0</v>
      </c>
      <c r="E680" s="5">
        <v>0</v>
      </c>
      <c r="F680" s="4">
        <v>0</v>
      </c>
      <c r="G680" s="5">
        <v>0</v>
      </c>
      <c r="H680" s="4">
        <v>0</v>
      </c>
    </row>
    <row r="681" spans="1:8" x14ac:dyDescent="0.2">
      <c r="A681" s="2" t="s">
        <v>66</v>
      </c>
      <c r="B681" s="4">
        <v>24</v>
      </c>
      <c r="C681" s="5">
        <v>26.09</v>
      </c>
      <c r="D681" s="4">
        <v>21</v>
      </c>
      <c r="E681" s="5">
        <v>30.43</v>
      </c>
      <c r="F681" s="4">
        <v>3</v>
      </c>
      <c r="G681" s="5">
        <v>13.64</v>
      </c>
      <c r="H681" s="4">
        <v>0</v>
      </c>
    </row>
    <row r="682" spans="1:8" x14ac:dyDescent="0.2">
      <c r="A682" s="2" t="s">
        <v>67</v>
      </c>
      <c r="B682" s="4">
        <v>1</v>
      </c>
      <c r="C682" s="5">
        <v>1.0900000000000001</v>
      </c>
      <c r="D682" s="4">
        <v>0</v>
      </c>
      <c r="E682" s="5">
        <v>0</v>
      </c>
      <c r="F682" s="4">
        <v>1</v>
      </c>
      <c r="G682" s="5">
        <v>4.55</v>
      </c>
      <c r="H682" s="4">
        <v>0</v>
      </c>
    </row>
    <row r="683" spans="1:8" x14ac:dyDescent="0.2">
      <c r="A683" s="2" t="s">
        <v>68</v>
      </c>
      <c r="B683" s="4">
        <v>2</v>
      </c>
      <c r="C683" s="5">
        <v>2.17</v>
      </c>
      <c r="D683" s="4">
        <v>0</v>
      </c>
      <c r="E683" s="5">
        <v>0</v>
      </c>
      <c r="F683" s="4">
        <v>2</v>
      </c>
      <c r="G683" s="5">
        <v>9.09</v>
      </c>
      <c r="H683" s="4">
        <v>0</v>
      </c>
    </row>
    <row r="684" spans="1:8" x14ac:dyDescent="0.2">
      <c r="A684" s="2" t="s">
        <v>69</v>
      </c>
      <c r="B684" s="4">
        <v>4</v>
      </c>
      <c r="C684" s="5">
        <v>4.3499999999999996</v>
      </c>
      <c r="D684" s="4">
        <v>2</v>
      </c>
      <c r="E684" s="5">
        <v>2.9</v>
      </c>
      <c r="F684" s="4">
        <v>2</v>
      </c>
      <c r="G684" s="5">
        <v>9.09</v>
      </c>
      <c r="H684" s="4">
        <v>0</v>
      </c>
    </row>
    <row r="685" spans="1:8" x14ac:dyDescent="0.2">
      <c r="A685" s="2" t="s">
        <v>70</v>
      </c>
      <c r="B685" s="4">
        <v>7</v>
      </c>
      <c r="C685" s="5">
        <v>7.61</v>
      </c>
      <c r="D685" s="4">
        <v>5</v>
      </c>
      <c r="E685" s="5">
        <v>7.25</v>
      </c>
      <c r="F685" s="4">
        <v>2</v>
      </c>
      <c r="G685" s="5">
        <v>9.09</v>
      </c>
      <c r="H685" s="4">
        <v>0</v>
      </c>
    </row>
    <row r="686" spans="1:8" x14ac:dyDescent="0.2">
      <c r="A686" s="2" t="s">
        <v>71</v>
      </c>
      <c r="B686" s="4">
        <v>9</v>
      </c>
      <c r="C686" s="5">
        <v>9.7799999999999994</v>
      </c>
      <c r="D686" s="4">
        <v>8</v>
      </c>
      <c r="E686" s="5">
        <v>11.59</v>
      </c>
      <c r="F686" s="4">
        <v>1</v>
      </c>
      <c r="G686" s="5">
        <v>4.55</v>
      </c>
      <c r="H686" s="4">
        <v>0</v>
      </c>
    </row>
    <row r="687" spans="1:8" x14ac:dyDescent="0.2">
      <c r="A687" s="2" t="s">
        <v>72</v>
      </c>
      <c r="B687" s="4">
        <v>3</v>
      </c>
      <c r="C687" s="5">
        <v>3.26</v>
      </c>
      <c r="D687" s="4">
        <v>2</v>
      </c>
      <c r="E687" s="5">
        <v>2.9</v>
      </c>
      <c r="F687" s="4">
        <v>0</v>
      </c>
      <c r="G687" s="5">
        <v>0</v>
      </c>
      <c r="H687" s="4">
        <v>0</v>
      </c>
    </row>
    <row r="688" spans="1:8" x14ac:dyDescent="0.2">
      <c r="A688" s="2" t="s">
        <v>73</v>
      </c>
      <c r="B688" s="4">
        <v>1</v>
      </c>
      <c r="C688" s="5">
        <v>1.0900000000000001</v>
      </c>
      <c r="D688" s="4">
        <v>1</v>
      </c>
      <c r="E688" s="5">
        <v>1.45</v>
      </c>
      <c r="F688" s="4">
        <v>0</v>
      </c>
      <c r="G688" s="5">
        <v>0</v>
      </c>
      <c r="H688" s="4">
        <v>0</v>
      </c>
    </row>
    <row r="689" spans="1:8" x14ac:dyDescent="0.2">
      <c r="A689" s="2" t="s">
        <v>74</v>
      </c>
      <c r="B689" s="4">
        <v>1</v>
      </c>
      <c r="C689" s="5">
        <v>1.0900000000000001</v>
      </c>
      <c r="D689" s="4">
        <v>1</v>
      </c>
      <c r="E689" s="5">
        <v>1.45</v>
      </c>
      <c r="F689" s="4">
        <v>0</v>
      </c>
      <c r="G689" s="5">
        <v>0</v>
      </c>
      <c r="H689" s="4">
        <v>0</v>
      </c>
    </row>
    <row r="690" spans="1:8" x14ac:dyDescent="0.2">
      <c r="A690" s="1" t="s">
        <v>43</v>
      </c>
      <c r="B690" s="4">
        <v>505</v>
      </c>
      <c r="C690" s="5">
        <v>99.99</v>
      </c>
      <c r="D690" s="4">
        <v>305</v>
      </c>
      <c r="E690" s="5">
        <v>100.00000000000001</v>
      </c>
      <c r="F690" s="4">
        <v>189</v>
      </c>
      <c r="G690" s="5">
        <v>99.990000000000009</v>
      </c>
      <c r="H690" s="4">
        <v>0</v>
      </c>
    </row>
    <row r="691" spans="1:8" x14ac:dyDescent="0.2">
      <c r="A691" s="2" t="s">
        <v>60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61</v>
      </c>
      <c r="B692" s="4">
        <v>88</v>
      </c>
      <c r="C692" s="5">
        <v>17.43</v>
      </c>
      <c r="D692" s="4">
        <v>46</v>
      </c>
      <c r="E692" s="5">
        <v>15.08</v>
      </c>
      <c r="F692" s="4">
        <v>42</v>
      </c>
      <c r="G692" s="5">
        <v>22.22</v>
      </c>
      <c r="H692" s="4">
        <v>0</v>
      </c>
    </row>
    <row r="693" spans="1:8" x14ac:dyDescent="0.2">
      <c r="A693" s="2" t="s">
        <v>62</v>
      </c>
      <c r="B693" s="4">
        <v>60</v>
      </c>
      <c r="C693" s="5">
        <v>11.88</v>
      </c>
      <c r="D693" s="4">
        <v>34</v>
      </c>
      <c r="E693" s="5">
        <v>11.15</v>
      </c>
      <c r="F693" s="4">
        <v>26</v>
      </c>
      <c r="G693" s="5">
        <v>13.76</v>
      </c>
      <c r="H693" s="4">
        <v>0</v>
      </c>
    </row>
    <row r="694" spans="1:8" x14ac:dyDescent="0.2">
      <c r="A694" s="2" t="s">
        <v>63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64</v>
      </c>
      <c r="B695" s="4">
        <v>2</v>
      </c>
      <c r="C695" s="5">
        <v>0.4</v>
      </c>
      <c r="D695" s="4">
        <v>0</v>
      </c>
      <c r="E695" s="5">
        <v>0</v>
      </c>
      <c r="F695" s="4">
        <v>2</v>
      </c>
      <c r="G695" s="5">
        <v>1.06</v>
      </c>
      <c r="H695" s="4">
        <v>0</v>
      </c>
    </row>
    <row r="696" spans="1:8" x14ac:dyDescent="0.2">
      <c r="A696" s="2" t="s">
        <v>65</v>
      </c>
      <c r="B696" s="4">
        <v>3</v>
      </c>
      <c r="C696" s="5">
        <v>0.59</v>
      </c>
      <c r="D696" s="4">
        <v>2</v>
      </c>
      <c r="E696" s="5">
        <v>0.66</v>
      </c>
      <c r="F696" s="4">
        <v>1</v>
      </c>
      <c r="G696" s="5">
        <v>0.53</v>
      </c>
      <c r="H696" s="4">
        <v>0</v>
      </c>
    </row>
    <row r="697" spans="1:8" x14ac:dyDescent="0.2">
      <c r="A697" s="2" t="s">
        <v>66</v>
      </c>
      <c r="B697" s="4">
        <v>126</v>
      </c>
      <c r="C697" s="5">
        <v>24.95</v>
      </c>
      <c r="D697" s="4">
        <v>72</v>
      </c>
      <c r="E697" s="5">
        <v>23.61</v>
      </c>
      <c r="F697" s="4">
        <v>54</v>
      </c>
      <c r="G697" s="5">
        <v>28.57</v>
      </c>
      <c r="H697" s="4">
        <v>0</v>
      </c>
    </row>
    <row r="698" spans="1:8" x14ac:dyDescent="0.2">
      <c r="A698" s="2" t="s">
        <v>67</v>
      </c>
      <c r="B698" s="4">
        <v>0</v>
      </c>
      <c r="C698" s="5">
        <v>0</v>
      </c>
      <c r="D698" s="4">
        <v>0</v>
      </c>
      <c r="E698" s="5">
        <v>0</v>
      </c>
      <c r="F698" s="4">
        <v>0</v>
      </c>
      <c r="G698" s="5">
        <v>0</v>
      </c>
      <c r="H698" s="4">
        <v>0</v>
      </c>
    </row>
    <row r="699" spans="1:8" x14ac:dyDescent="0.2">
      <c r="A699" s="2" t="s">
        <v>68</v>
      </c>
      <c r="B699" s="4">
        <v>28</v>
      </c>
      <c r="C699" s="5">
        <v>5.54</v>
      </c>
      <c r="D699" s="4">
        <v>18</v>
      </c>
      <c r="E699" s="5">
        <v>5.9</v>
      </c>
      <c r="F699" s="4">
        <v>9</v>
      </c>
      <c r="G699" s="5">
        <v>4.76</v>
      </c>
      <c r="H699" s="4">
        <v>0</v>
      </c>
    </row>
    <row r="700" spans="1:8" x14ac:dyDescent="0.2">
      <c r="A700" s="2" t="s">
        <v>69</v>
      </c>
      <c r="B700" s="4">
        <v>18</v>
      </c>
      <c r="C700" s="5">
        <v>3.56</v>
      </c>
      <c r="D700" s="4">
        <v>9</v>
      </c>
      <c r="E700" s="5">
        <v>2.95</v>
      </c>
      <c r="F700" s="4">
        <v>9</v>
      </c>
      <c r="G700" s="5">
        <v>4.76</v>
      </c>
      <c r="H700" s="4">
        <v>0</v>
      </c>
    </row>
    <row r="701" spans="1:8" x14ac:dyDescent="0.2">
      <c r="A701" s="2" t="s">
        <v>70</v>
      </c>
      <c r="B701" s="4">
        <v>56</v>
      </c>
      <c r="C701" s="5">
        <v>11.09</v>
      </c>
      <c r="D701" s="4">
        <v>37</v>
      </c>
      <c r="E701" s="5">
        <v>12.13</v>
      </c>
      <c r="F701" s="4">
        <v>19</v>
      </c>
      <c r="G701" s="5">
        <v>10.050000000000001</v>
      </c>
      <c r="H701" s="4">
        <v>0</v>
      </c>
    </row>
    <row r="702" spans="1:8" x14ac:dyDescent="0.2">
      <c r="A702" s="2" t="s">
        <v>71</v>
      </c>
      <c r="B702" s="4">
        <v>71</v>
      </c>
      <c r="C702" s="5">
        <v>14.06</v>
      </c>
      <c r="D702" s="4">
        <v>60</v>
      </c>
      <c r="E702" s="5">
        <v>19.670000000000002</v>
      </c>
      <c r="F702" s="4">
        <v>11</v>
      </c>
      <c r="G702" s="5">
        <v>5.82</v>
      </c>
      <c r="H702" s="4">
        <v>0</v>
      </c>
    </row>
    <row r="703" spans="1:8" x14ac:dyDescent="0.2">
      <c r="A703" s="2" t="s">
        <v>72</v>
      </c>
      <c r="B703" s="4">
        <v>12</v>
      </c>
      <c r="C703" s="5">
        <v>2.38</v>
      </c>
      <c r="D703" s="4">
        <v>3</v>
      </c>
      <c r="E703" s="5">
        <v>0.98</v>
      </c>
      <c r="F703" s="4">
        <v>2</v>
      </c>
      <c r="G703" s="5">
        <v>1.06</v>
      </c>
      <c r="H703" s="4">
        <v>0</v>
      </c>
    </row>
    <row r="704" spans="1:8" x14ac:dyDescent="0.2">
      <c r="A704" s="2" t="s">
        <v>73</v>
      </c>
      <c r="B704" s="4">
        <v>23</v>
      </c>
      <c r="C704" s="5">
        <v>4.55</v>
      </c>
      <c r="D704" s="4">
        <v>15</v>
      </c>
      <c r="E704" s="5">
        <v>4.92</v>
      </c>
      <c r="F704" s="4">
        <v>6</v>
      </c>
      <c r="G704" s="5">
        <v>3.17</v>
      </c>
      <c r="H704" s="4">
        <v>0</v>
      </c>
    </row>
    <row r="705" spans="1:8" x14ac:dyDescent="0.2">
      <c r="A705" s="2" t="s">
        <v>74</v>
      </c>
      <c r="B705" s="4">
        <v>18</v>
      </c>
      <c r="C705" s="5">
        <v>3.56</v>
      </c>
      <c r="D705" s="4">
        <v>9</v>
      </c>
      <c r="E705" s="5">
        <v>2.95</v>
      </c>
      <c r="F705" s="4">
        <v>8</v>
      </c>
      <c r="G705" s="5">
        <v>4.2300000000000004</v>
      </c>
      <c r="H705" s="4">
        <v>0</v>
      </c>
    </row>
    <row r="706" spans="1:8" x14ac:dyDescent="0.2">
      <c r="A706" s="1" t="s">
        <v>44</v>
      </c>
      <c r="B706" s="4">
        <v>197</v>
      </c>
      <c r="C706" s="5">
        <v>100.01</v>
      </c>
      <c r="D706" s="4">
        <v>124</v>
      </c>
      <c r="E706" s="5">
        <v>100.01</v>
      </c>
      <c r="F706" s="4">
        <v>63</v>
      </c>
      <c r="G706" s="5">
        <v>99.990000000000023</v>
      </c>
      <c r="H706" s="4">
        <v>1</v>
      </c>
    </row>
    <row r="707" spans="1:8" x14ac:dyDescent="0.2">
      <c r="A707" s="2" t="s">
        <v>60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61</v>
      </c>
      <c r="B708" s="4">
        <v>57</v>
      </c>
      <c r="C708" s="5">
        <v>28.93</v>
      </c>
      <c r="D708" s="4">
        <v>35</v>
      </c>
      <c r="E708" s="5">
        <v>28.23</v>
      </c>
      <c r="F708" s="4">
        <v>22</v>
      </c>
      <c r="G708" s="5">
        <v>34.92</v>
      </c>
      <c r="H708" s="4">
        <v>0</v>
      </c>
    </row>
    <row r="709" spans="1:8" x14ac:dyDescent="0.2">
      <c r="A709" s="2" t="s">
        <v>62</v>
      </c>
      <c r="B709" s="4">
        <v>24</v>
      </c>
      <c r="C709" s="5">
        <v>12.18</v>
      </c>
      <c r="D709" s="4">
        <v>11</v>
      </c>
      <c r="E709" s="5">
        <v>8.8699999999999992</v>
      </c>
      <c r="F709" s="4">
        <v>13</v>
      </c>
      <c r="G709" s="5">
        <v>20.63</v>
      </c>
      <c r="H709" s="4">
        <v>0</v>
      </c>
    </row>
    <row r="710" spans="1:8" x14ac:dyDescent="0.2">
      <c r="A710" s="2" t="s">
        <v>63</v>
      </c>
      <c r="B710" s="4">
        <v>2</v>
      </c>
      <c r="C710" s="5">
        <v>1.02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64</v>
      </c>
      <c r="B711" s="4">
        <v>1</v>
      </c>
      <c r="C711" s="5">
        <v>0.51</v>
      </c>
      <c r="D711" s="4">
        <v>0</v>
      </c>
      <c r="E711" s="5">
        <v>0</v>
      </c>
      <c r="F711" s="4">
        <v>1</v>
      </c>
      <c r="G711" s="5">
        <v>1.59</v>
      </c>
      <c r="H711" s="4">
        <v>0</v>
      </c>
    </row>
    <row r="712" spans="1:8" x14ac:dyDescent="0.2">
      <c r="A712" s="2" t="s">
        <v>65</v>
      </c>
      <c r="B712" s="4">
        <v>4</v>
      </c>
      <c r="C712" s="5">
        <v>2.0299999999999998</v>
      </c>
      <c r="D712" s="4">
        <v>0</v>
      </c>
      <c r="E712" s="5">
        <v>0</v>
      </c>
      <c r="F712" s="4">
        <v>3</v>
      </c>
      <c r="G712" s="5">
        <v>4.76</v>
      </c>
      <c r="H712" s="4">
        <v>0</v>
      </c>
    </row>
    <row r="713" spans="1:8" x14ac:dyDescent="0.2">
      <c r="A713" s="2" t="s">
        <v>66</v>
      </c>
      <c r="B713" s="4">
        <v>34</v>
      </c>
      <c r="C713" s="5">
        <v>17.260000000000002</v>
      </c>
      <c r="D713" s="4">
        <v>25</v>
      </c>
      <c r="E713" s="5">
        <v>20.16</v>
      </c>
      <c r="F713" s="4">
        <v>9</v>
      </c>
      <c r="G713" s="5">
        <v>14.29</v>
      </c>
      <c r="H713" s="4">
        <v>0</v>
      </c>
    </row>
    <row r="714" spans="1:8" x14ac:dyDescent="0.2">
      <c r="A714" s="2" t="s">
        <v>67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2">
      <c r="A715" s="2" t="s">
        <v>68</v>
      </c>
      <c r="B715" s="4">
        <v>5</v>
      </c>
      <c r="C715" s="5">
        <v>2.54</v>
      </c>
      <c r="D715" s="4">
        <v>2</v>
      </c>
      <c r="E715" s="5">
        <v>1.61</v>
      </c>
      <c r="F715" s="4">
        <v>3</v>
      </c>
      <c r="G715" s="5">
        <v>4.76</v>
      </c>
      <c r="H715" s="4">
        <v>0</v>
      </c>
    </row>
    <row r="716" spans="1:8" x14ac:dyDescent="0.2">
      <c r="A716" s="2" t="s">
        <v>69</v>
      </c>
      <c r="B716" s="4">
        <v>8</v>
      </c>
      <c r="C716" s="5">
        <v>4.0599999999999996</v>
      </c>
      <c r="D716" s="4">
        <v>4</v>
      </c>
      <c r="E716" s="5">
        <v>3.23</v>
      </c>
      <c r="F716" s="4">
        <v>3</v>
      </c>
      <c r="G716" s="5">
        <v>4.76</v>
      </c>
      <c r="H716" s="4">
        <v>1</v>
      </c>
    </row>
    <row r="717" spans="1:8" x14ac:dyDescent="0.2">
      <c r="A717" s="2" t="s">
        <v>70</v>
      </c>
      <c r="B717" s="4">
        <v>14</v>
      </c>
      <c r="C717" s="5">
        <v>7.11</v>
      </c>
      <c r="D717" s="4">
        <v>10</v>
      </c>
      <c r="E717" s="5">
        <v>8.06</v>
      </c>
      <c r="F717" s="4">
        <v>3</v>
      </c>
      <c r="G717" s="5">
        <v>4.76</v>
      </c>
      <c r="H717" s="4">
        <v>0</v>
      </c>
    </row>
    <row r="718" spans="1:8" x14ac:dyDescent="0.2">
      <c r="A718" s="2" t="s">
        <v>71</v>
      </c>
      <c r="B718" s="4">
        <v>21</v>
      </c>
      <c r="C718" s="5">
        <v>10.66</v>
      </c>
      <c r="D718" s="4">
        <v>18</v>
      </c>
      <c r="E718" s="5">
        <v>14.52</v>
      </c>
      <c r="F718" s="4">
        <v>3</v>
      </c>
      <c r="G718" s="5">
        <v>4.76</v>
      </c>
      <c r="H718" s="4">
        <v>0</v>
      </c>
    </row>
    <row r="719" spans="1:8" x14ac:dyDescent="0.2">
      <c r="A719" s="2" t="s">
        <v>72</v>
      </c>
      <c r="B719" s="4">
        <v>9</v>
      </c>
      <c r="C719" s="5">
        <v>4.57</v>
      </c>
      <c r="D719" s="4">
        <v>7</v>
      </c>
      <c r="E719" s="5">
        <v>5.65</v>
      </c>
      <c r="F719" s="4">
        <v>1</v>
      </c>
      <c r="G719" s="5">
        <v>1.59</v>
      </c>
      <c r="H719" s="4">
        <v>0</v>
      </c>
    </row>
    <row r="720" spans="1:8" x14ac:dyDescent="0.2">
      <c r="A720" s="2" t="s">
        <v>73</v>
      </c>
      <c r="B720" s="4">
        <v>8</v>
      </c>
      <c r="C720" s="5">
        <v>4.0599999999999996</v>
      </c>
      <c r="D720" s="4">
        <v>6</v>
      </c>
      <c r="E720" s="5">
        <v>4.84</v>
      </c>
      <c r="F720" s="4">
        <v>0</v>
      </c>
      <c r="G720" s="5">
        <v>0</v>
      </c>
      <c r="H720" s="4">
        <v>0</v>
      </c>
    </row>
    <row r="721" spans="1:8" x14ac:dyDescent="0.2">
      <c r="A721" s="2" t="s">
        <v>74</v>
      </c>
      <c r="B721" s="4">
        <v>10</v>
      </c>
      <c r="C721" s="5">
        <v>5.08</v>
      </c>
      <c r="D721" s="4">
        <v>6</v>
      </c>
      <c r="E721" s="5">
        <v>4.84</v>
      </c>
      <c r="F721" s="4">
        <v>2</v>
      </c>
      <c r="G721" s="5">
        <v>3.17</v>
      </c>
      <c r="H721" s="4">
        <v>0</v>
      </c>
    </row>
    <row r="722" spans="1:8" x14ac:dyDescent="0.2">
      <c r="A722" s="1" t="s">
        <v>45</v>
      </c>
      <c r="B722" s="4">
        <v>166</v>
      </c>
      <c r="C722" s="5">
        <v>99.980000000000018</v>
      </c>
      <c r="D722" s="4">
        <v>96</v>
      </c>
      <c r="E722" s="5">
        <v>100</v>
      </c>
      <c r="F722" s="4">
        <v>65</v>
      </c>
      <c r="G722" s="5">
        <v>100.01000000000002</v>
      </c>
      <c r="H722" s="4">
        <v>0</v>
      </c>
    </row>
    <row r="723" spans="1:8" x14ac:dyDescent="0.2">
      <c r="A723" s="2" t="s">
        <v>60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61</v>
      </c>
      <c r="B724" s="4">
        <v>41</v>
      </c>
      <c r="C724" s="5">
        <v>24.7</v>
      </c>
      <c r="D724" s="4">
        <v>16</v>
      </c>
      <c r="E724" s="5">
        <v>16.670000000000002</v>
      </c>
      <c r="F724" s="4">
        <v>25</v>
      </c>
      <c r="G724" s="5">
        <v>38.46</v>
      </c>
      <c r="H724" s="4">
        <v>0</v>
      </c>
    </row>
    <row r="725" spans="1:8" x14ac:dyDescent="0.2">
      <c r="A725" s="2" t="s">
        <v>62</v>
      </c>
      <c r="B725" s="4">
        <v>22</v>
      </c>
      <c r="C725" s="5">
        <v>13.25</v>
      </c>
      <c r="D725" s="4">
        <v>8</v>
      </c>
      <c r="E725" s="5">
        <v>8.33</v>
      </c>
      <c r="F725" s="4">
        <v>14</v>
      </c>
      <c r="G725" s="5">
        <v>21.54</v>
      </c>
      <c r="H725" s="4">
        <v>0</v>
      </c>
    </row>
    <row r="726" spans="1:8" x14ac:dyDescent="0.2">
      <c r="A726" s="2" t="s">
        <v>63</v>
      </c>
      <c r="B726" s="4">
        <v>3</v>
      </c>
      <c r="C726" s="5">
        <v>1.81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2">
      <c r="A727" s="2" t="s">
        <v>64</v>
      </c>
      <c r="B727" s="4">
        <v>1</v>
      </c>
      <c r="C727" s="5">
        <v>0.6</v>
      </c>
      <c r="D727" s="4">
        <v>0</v>
      </c>
      <c r="E727" s="5">
        <v>0</v>
      </c>
      <c r="F727" s="4">
        <v>1</v>
      </c>
      <c r="G727" s="5">
        <v>1.54</v>
      </c>
      <c r="H727" s="4">
        <v>0</v>
      </c>
    </row>
    <row r="728" spans="1:8" x14ac:dyDescent="0.2">
      <c r="A728" s="2" t="s">
        <v>65</v>
      </c>
      <c r="B728" s="4">
        <v>1</v>
      </c>
      <c r="C728" s="5">
        <v>0.6</v>
      </c>
      <c r="D728" s="4">
        <v>0</v>
      </c>
      <c r="E728" s="5">
        <v>0</v>
      </c>
      <c r="F728" s="4">
        <v>1</v>
      </c>
      <c r="G728" s="5">
        <v>1.54</v>
      </c>
      <c r="H728" s="4">
        <v>0</v>
      </c>
    </row>
    <row r="729" spans="1:8" x14ac:dyDescent="0.2">
      <c r="A729" s="2" t="s">
        <v>66</v>
      </c>
      <c r="B729" s="4">
        <v>37</v>
      </c>
      <c r="C729" s="5">
        <v>22.29</v>
      </c>
      <c r="D729" s="4">
        <v>30</v>
      </c>
      <c r="E729" s="5">
        <v>31.25</v>
      </c>
      <c r="F729" s="4">
        <v>7</v>
      </c>
      <c r="G729" s="5">
        <v>10.77</v>
      </c>
      <c r="H729" s="4">
        <v>0</v>
      </c>
    </row>
    <row r="730" spans="1:8" x14ac:dyDescent="0.2">
      <c r="A730" s="2" t="s">
        <v>67</v>
      </c>
      <c r="B730" s="4">
        <v>1</v>
      </c>
      <c r="C730" s="5">
        <v>0.6</v>
      </c>
      <c r="D730" s="4">
        <v>0</v>
      </c>
      <c r="E730" s="5">
        <v>0</v>
      </c>
      <c r="F730" s="4">
        <v>1</v>
      </c>
      <c r="G730" s="5">
        <v>1.54</v>
      </c>
      <c r="H730" s="4">
        <v>0</v>
      </c>
    </row>
    <row r="731" spans="1:8" x14ac:dyDescent="0.2">
      <c r="A731" s="2" t="s">
        <v>68</v>
      </c>
      <c r="B731" s="4">
        <v>2</v>
      </c>
      <c r="C731" s="5">
        <v>1.2</v>
      </c>
      <c r="D731" s="4">
        <v>1</v>
      </c>
      <c r="E731" s="5">
        <v>1.04</v>
      </c>
      <c r="F731" s="4">
        <v>1</v>
      </c>
      <c r="G731" s="5">
        <v>1.54</v>
      </c>
      <c r="H731" s="4">
        <v>0</v>
      </c>
    </row>
    <row r="732" spans="1:8" x14ac:dyDescent="0.2">
      <c r="A732" s="2" t="s">
        <v>69</v>
      </c>
      <c r="B732" s="4">
        <v>5</v>
      </c>
      <c r="C732" s="5">
        <v>3.01</v>
      </c>
      <c r="D732" s="4">
        <v>3</v>
      </c>
      <c r="E732" s="5">
        <v>3.13</v>
      </c>
      <c r="F732" s="4">
        <v>1</v>
      </c>
      <c r="G732" s="5">
        <v>1.54</v>
      </c>
      <c r="H732" s="4">
        <v>0</v>
      </c>
    </row>
    <row r="733" spans="1:8" x14ac:dyDescent="0.2">
      <c r="A733" s="2" t="s">
        <v>70</v>
      </c>
      <c r="B733" s="4">
        <v>18</v>
      </c>
      <c r="C733" s="5">
        <v>10.84</v>
      </c>
      <c r="D733" s="4">
        <v>13</v>
      </c>
      <c r="E733" s="5">
        <v>13.54</v>
      </c>
      <c r="F733" s="4">
        <v>4</v>
      </c>
      <c r="G733" s="5">
        <v>6.15</v>
      </c>
      <c r="H733" s="4">
        <v>0</v>
      </c>
    </row>
    <row r="734" spans="1:8" x14ac:dyDescent="0.2">
      <c r="A734" s="2" t="s">
        <v>71</v>
      </c>
      <c r="B734" s="4">
        <v>21</v>
      </c>
      <c r="C734" s="5">
        <v>12.65</v>
      </c>
      <c r="D734" s="4">
        <v>19</v>
      </c>
      <c r="E734" s="5">
        <v>19.79</v>
      </c>
      <c r="F734" s="4">
        <v>2</v>
      </c>
      <c r="G734" s="5">
        <v>3.08</v>
      </c>
      <c r="H734" s="4">
        <v>0</v>
      </c>
    </row>
    <row r="735" spans="1:8" x14ac:dyDescent="0.2">
      <c r="A735" s="2" t="s">
        <v>72</v>
      </c>
      <c r="B735" s="4">
        <v>1</v>
      </c>
      <c r="C735" s="5">
        <v>0.6</v>
      </c>
      <c r="D735" s="4">
        <v>1</v>
      </c>
      <c r="E735" s="5">
        <v>1.04</v>
      </c>
      <c r="F735" s="4">
        <v>0</v>
      </c>
      <c r="G735" s="5">
        <v>0</v>
      </c>
      <c r="H735" s="4">
        <v>0</v>
      </c>
    </row>
    <row r="736" spans="1:8" x14ac:dyDescent="0.2">
      <c r="A736" s="2" t="s">
        <v>73</v>
      </c>
      <c r="B736" s="4">
        <v>3</v>
      </c>
      <c r="C736" s="5">
        <v>1.81</v>
      </c>
      <c r="D736" s="4">
        <v>2</v>
      </c>
      <c r="E736" s="5">
        <v>2.08</v>
      </c>
      <c r="F736" s="4">
        <v>1</v>
      </c>
      <c r="G736" s="5">
        <v>1.54</v>
      </c>
      <c r="H736" s="4">
        <v>0</v>
      </c>
    </row>
    <row r="737" spans="1:8" x14ac:dyDescent="0.2">
      <c r="A737" s="2" t="s">
        <v>74</v>
      </c>
      <c r="B737" s="4">
        <v>10</v>
      </c>
      <c r="C737" s="5">
        <v>6.02</v>
      </c>
      <c r="D737" s="4">
        <v>3</v>
      </c>
      <c r="E737" s="5">
        <v>3.13</v>
      </c>
      <c r="F737" s="4">
        <v>7</v>
      </c>
      <c r="G737" s="5">
        <v>10.77</v>
      </c>
      <c r="H737" s="4">
        <v>0</v>
      </c>
    </row>
    <row r="738" spans="1:8" x14ac:dyDescent="0.2">
      <c r="A738" s="1" t="s">
        <v>46</v>
      </c>
      <c r="B738" s="4">
        <v>192</v>
      </c>
      <c r="C738" s="5">
        <v>99.97999999999999</v>
      </c>
      <c r="D738" s="4">
        <v>140</v>
      </c>
      <c r="E738" s="5">
        <v>99.999999999999986</v>
      </c>
      <c r="F738" s="4">
        <v>49</v>
      </c>
      <c r="G738" s="5">
        <v>99.990000000000038</v>
      </c>
      <c r="H738" s="4">
        <v>0</v>
      </c>
    </row>
    <row r="739" spans="1:8" x14ac:dyDescent="0.2">
      <c r="A739" s="2" t="s">
        <v>60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61</v>
      </c>
      <c r="B740" s="4">
        <v>40</v>
      </c>
      <c r="C740" s="5">
        <v>20.83</v>
      </c>
      <c r="D740" s="4">
        <v>27</v>
      </c>
      <c r="E740" s="5">
        <v>19.29</v>
      </c>
      <c r="F740" s="4">
        <v>13</v>
      </c>
      <c r="G740" s="5">
        <v>26.53</v>
      </c>
      <c r="H740" s="4">
        <v>0</v>
      </c>
    </row>
    <row r="741" spans="1:8" x14ac:dyDescent="0.2">
      <c r="A741" s="2" t="s">
        <v>62</v>
      </c>
      <c r="B741" s="4">
        <v>35</v>
      </c>
      <c r="C741" s="5">
        <v>18.23</v>
      </c>
      <c r="D741" s="4">
        <v>22</v>
      </c>
      <c r="E741" s="5">
        <v>15.71</v>
      </c>
      <c r="F741" s="4">
        <v>13</v>
      </c>
      <c r="G741" s="5">
        <v>26.53</v>
      </c>
      <c r="H741" s="4">
        <v>0</v>
      </c>
    </row>
    <row r="742" spans="1:8" x14ac:dyDescent="0.2">
      <c r="A742" s="2" t="s">
        <v>63</v>
      </c>
      <c r="B742" s="4">
        <v>1</v>
      </c>
      <c r="C742" s="5">
        <v>0.52</v>
      </c>
      <c r="D742" s="4">
        <v>0</v>
      </c>
      <c r="E742" s="5">
        <v>0</v>
      </c>
      <c r="F742" s="4">
        <v>1</v>
      </c>
      <c r="G742" s="5">
        <v>2.04</v>
      </c>
      <c r="H742" s="4">
        <v>0</v>
      </c>
    </row>
    <row r="743" spans="1:8" x14ac:dyDescent="0.2">
      <c r="A743" s="2" t="s">
        <v>64</v>
      </c>
      <c r="B743" s="4">
        <v>0</v>
      </c>
      <c r="C743" s="5">
        <v>0</v>
      </c>
      <c r="D743" s="4">
        <v>0</v>
      </c>
      <c r="E743" s="5">
        <v>0</v>
      </c>
      <c r="F743" s="4">
        <v>0</v>
      </c>
      <c r="G743" s="5">
        <v>0</v>
      </c>
      <c r="H743" s="4">
        <v>0</v>
      </c>
    </row>
    <row r="744" spans="1:8" x14ac:dyDescent="0.2">
      <c r="A744" s="2" t="s">
        <v>65</v>
      </c>
      <c r="B744" s="4">
        <v>4</v>
      </c>
      <c r="C744" s="5">
        <v>2.08</v>
      </c>
      <c r="D744" s="4">
        <v>0</v>
      </c>
      <c r="E744" s="5">
        <v>0</v>
      </c>
      <c r="F744" s="4">
        <v>4</v>
      </c>
      <c r="G744" s="5">
        <v>8.16</v>
      </c>
      <c r="H744" s="4">
        <v>0</v>
      </c>
    </row>
    <row r="745" spans="1:8" x14ac:dyDescent="0.2">
      <c r="A745" s="2" t="s">
        <v>66</v>
      </c>
      <c r="B745" s="4">
        <v>38</v>
      </c>
      <c r="C745" s="5">
        <v>19.79</v>
      </c>
      <c r="D745" s="4">
        <v>29</v>
      </c>
      <c r="E745" s="5">
        <v>20.71</v>
      </c>
      <c r="F745" s="4">
        <v>9</v>
      </c>
      <c r="G745" s="5">
        <v>18.37</v>
      </c>
      <c r="H745" s="4">
        <v>0</v>
      </c>
    </row>
    <row r="746" spans="1:8" x14ac:dyDescent="0.2">
      <c r="A746" s="2" t="s">
        <v>67</v>
      </c>
      <c r="B746" s="4">
        <v>2</v>
      </c>
      <c r="C746" s="5">
        <v>1.04</v>
      </c>
      <c r="D746" s="4">
        <v>1</v>
      </c>
      <c r="E746" s="5">
        <v>0.71</v>
      </c>
      <c r="F746" s="4">
        <v>1</v>
      </c>
      <c r="G746" s="5">
        <v>2.04</v>
      </c>
      <c r="H746" s="4">
        <v>0</v>
      </c>
    </row>
    <row r="747" spans="1:8" x14ac:dyDescent="0.2">
      <c r="A747" s="2" t="s">
        <v>68</v>
      </c>
      <c r="B747" s="4">
        <v>7</v>
      </c>
      <c r="C747" s="5">
        <v>3.65</v>
      </c>
      <c r="D747" s="4">
        <v>6</v>
      </c>
      <c r="E747" s="5">
        <v>4.29</v>
      </c>
      <c r="F747" s="4">
        <v>1</v>
      </c>
      <c r="G747" s="5">
        <v>2.04</v>
      </c>
      <c r="H747" s="4">
        <v>0</v>
      </c>
    </row>
    <row r="748" spans="1:8" x14ac:dyDescent="0.2">
      <c r="A748" s="2" t="s">
        <v>69</v>
      </c>
      <c r="B748" s="4">
        <v>5</v>
      </c>
      <c r="C748" s="5">
        <v>2.6</v>
      </c>
      <c r="D748" s="4">
        <v>4</v>
      </c>
      <c r="E748" s="5">
        <v>2.86</v>
      </c>
      <c r="F748" s="4">
        <v>1</v>
      </c>
      <c r="G748" s="5">
        <v>2.04</v>
      </c>
      <c r="H748" s="4">
        <v>0</v>
      </c>
    </row>
    <row r="749" spans="1:8" x14ac:dyDescent="0.2">
      <c r="A749" s="2" t="s">
        <v>70</v>
      </c>
      <c r="B749" s="4">
        <v>17</v>
      </c>
      <c r="C749" s="5">
        <v>8.85</v>
      </c>
      <c r="D749" s="4">
        <v>14</v>
      </c>
      <c r="E749" s="5">
        <v>10</v>
      </c>
      <c r="F749" s="4">
        <v>3</v>
      </c>
      <c r="G749" s="5">
        <v>6.12</v>
      </c>
      <c r="H749" s="4">
        <v>0</v>
      </c>
    </row>
    <row r="750" spans="1:8" x14ac:dyDescent="0.2">
      <c r="A750" s="2" t="s">
        <v>71</v>
      </c>
      <c r="B750" s="4">
        <v>26</v>
      </c>
      <c r="C750" s="5">
        <v>13.54</v>
      </c>
      <c r="D750" s="4">
        <v>24</v>
      </c>
      <c r="E750" s="5">
        <v>17.14</v>
      </c>
      <c r="F750" s="4">
        <v>1</v>
      </c>
      <c r="G750" s="5">
        <v>2.04</v>
      </c>
      <c r="H750" s="4">
        <v>0</v>
      </c>
    </row>
    <row r="751" spans="1:8" x14ac:dyDescent="0.2">
      <c r="A751" s="2" t="s">
        <v>72</v>
      </c>
      <c r="B751" s="4">
        <v>5</v>
      </c>
      <c r="C751" s="5">
        <v>2.6</v>
      </c>
      <c r="D751" s="4">
        <v>4</v>
      </c>
      <c r="E751" s="5">
        <v>2.86</v>
      </c>
      <c r="F751" s="4">
        <v>0</v>
      </c>
      <c r="G751" s="5">
        <v>0</v>
      </c>
      <c r="H751" s="4">
        <v>0</v>
      </c>
    </row>
    <row r="752" spans="1:8" x14ac:dyDescent="0.2">
      <c r="A752" s="2" t="s">
        <v>73</v>
      </c>
      <c r="B752" s="4">
        <v>8</v>
      </c>
      <c r="C752" s="5">
        <v>4.17</v>
      </c>
      <c r="D752" s="4">
        <v>5</v>
      </c>
      <c r="E752" s="5">
        <v>3.57</v>
      </c>
      <c r="F752" s="4">
        <v>2</v>
      </c>
      <c r="G752" s="5">
        <v>4.08</v>
      </c>
      <c r="H752" s="4">
        <v>0</v>
      </c>
    </row>
    <row r="753" spans="1:8" x14ac:dyDescent="0.2">
      <c r="A753" s="2" t="s">
        <v>74</v>
      </c>
      <c r="B753" s="4">
        <v>4</v>
      </c>
      <c r="C753" s="5">
        <v>2.08</v>
      </c>
      <c r="D753" s="4">
        <v>4</v>
      </c>
      <c r="E753" s="5">
        <v>2.86</v>
      </c>
      <c r="F753" s="4">
        <v>0</v>
      </c>
      <c r="G753" s="5">
        <v>0</v>
      </c>
      <c r="H753" s="4">
        <v>0</v>
      </c>
    </row>
    <row r="754" spans="1:8" x14ac:dyDescent="0.2">
      <c r="A754" s="1" t="s">
        <v>47</v>
      </c>
      <c r="B754" s="4">
        <v>177</v>
      </c>
      <c r="C754" s="5">
        <v>99.97999999999999</v>
      </c>
      <c r="D754" s="4">
        <v>133</v>
      </c>
      <c r="E754" s="5">
        <v>99.990000000000009</v>
      </c>
      <c r="F754" s="4">
        <v>44</v>
      </c>
      <c r="G754" s="5">
        <v>99.999999999999986</v>
      </c>
      <c r="H754" s="4">
        <v>0</v>
      </c>
    </row>
    <row r="755" spans="1:8" x14ac:dyDescent="0.2">
      <c r="A755" s="2" t="s">
        <v>60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61</v>
      </c>
      <c r="B756" s="4">
        <v>51</v>
      </c>
      <c r="C756" s="5">
        <v>28.81</v>
      </c>
      <c r="D756" s="4">
        <v>34</v>
      </c>
      <c r="E756" s="5">
        <v>25.56</v>
      </c>
      <c r="F756" s="4">
        <v>17</v>
      </c>
      <c r="G756" s="5">
        <v>38.64</v>
      </c>
      <c r="H756" s="4">
        <v>0</v>
      </c>
    </row>
    <row r="757" spans="1:8" x14ac:dyDescent="0.2">
      <c r="A757" s="2" t="s">
        <v>62</v>
      </c>
      <c r="B757" s="4">
        <v>26</v>
      </c>
      <c r="C757" s="5">
        <v>14.69</v>
      </c>
      <c r="D757" s="4">
        <v>18</v>
      </c>
      <c r="E757" s="5">
        <v>13.53</v>
      </c>
      <c r="F757" s="4">
        <v>8</v>
      </c>
      <c r="G757" s="5">
        <v>18.18</v>
      </c>
      <c r="H757" s="4">
        <v>0</v>
      </c>
    </row>
    <row r="758" spans="1:8" x14ac:dyDescent="0.2">
      <c r="A758" s="2" t="s">
        <v>63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2">
      <c r="A759" s="2" t="s">
        <v>64</v>
      </c>
      <c r="B759" s="4">
        <v>0</v>
      </c>
      <c r="C759" s="5">
        <v>0</v>
      </c>
      <c r="D759" s="4">
        <v>0</v>
      </c>
      <c r="E759" s="5">
        <v>0</v>
      </c>
      <c r="F759" s="4">
        <v>0</v>
      </c>
      <c r="G759" s="5">
        <v>0</v>
      </c>
      <c r="H759" s="4">
        <v>0</v>
      </c>
    </row>
    <row r="760" spans="1:8" x14ac:dyDescent="0.2">
      <c r="A760" s="2" t="s">
        <v>65</v>
      </c>
      <c r="B760" s="4">
        <v>3</v>
      </c>
      <c r="C760" s="5">
        <v>1.69</v>
      </c>
      <c r="D760" s="4">
        <v>1</v>
      </c>
      <c r="E760" s="5">
        <v>0.75</v>
      </c>
      <c r="F760" s="4">
        <v>2</v>
      </c>
      <c r="G760" s="5">
        <v>4.55</v>
      </c>
      <c r="H760" s="4">
        <v>0</v>
      </c>
    </row>
    <row r="761" spans="1:8" x14ac:dyDescent="0.2">
      <c r="A761" s="2" t="s">
        <v>66</v>
      </c>
      <c r="B761" s="4">
        <v>43</v>
      </c>
      <c r="C761" s="5">
        <v>24.29</v>
      </c>
      <c r="D761" s="4">
        <v>35</v>
      </c>
      <c r="E761" s="5">
        <v>26.32</v>
      </c>
      <c r="F761" s="4">
        <v>8</v>
      </c>
      <c r="G761" s="5">
        <v>18.18</v>
      </c>
      <c r="H761" s="4">
        <v>0</v>
      </c>
    </row>
    <row r="762" spans="1:8" x14ac:dyDescent="0.2">
      <c r="A762" s="2" t="s">
        <v>67</v>
      </c>
      <c r="B762" s="4">
        <v>1</v>
      </c>
      <c r="C762" s="5">
        <v>0.56000000000000005</v>
      </c>
      <c r="D762" s="4">
        <v>0</v>
      </c>
      <c r="E762" s="5">
        <v>0</v>
      </c>
      <c r="F762" s="4">
        <v>1</v>
      </c>
      <c r="G762" s="5">
        <v>2.27</v>
      </c>
      <c r="H762" s="4">
        <v>0</v>
      </c>
    </row>
    <row r="763" spans="1:8" x14ac:dyDescent="0.2">
      <c r="A763" s="2" t="s">
        <v>68</v>
      </c>
      <c r="B763" s="4">
        <v>2</v>
      </c>
      <c r="C763" s="5">
        <v>1.1299999999999999</v>
      </c>
      <c r="D763" s="4">
        <v>0</v>
      </c>
      <c r="E763" s="5">
        <v>0</v>
      </c>
      <c r="F763" s="4">
        <v>2</v>
      </c>
      <c r="G763" s="5">
        <v>4.55</v>
      </c>
      <c r="H763" s="4">
        <v>0</v>
      </c>
    </row>
    <row r="764" spans="1:8" x14ac:dyDescent="0.2">
      <c r="A764" s="2" t="s">
        <v>69</v>
      </c>
      <c r="B764" s="4">
        <v>2</v>
      </c>
      <c r="C764" s="5">
        <v>1.1299999999999999</v>
      </c>
      <c r="D764" s="4">
        <v>2</v>
      </c>
      <c r="E764" s="5">
        <v>1.5</v>
      </c>
      <c r="F764" s="4">
        <v>0</v>
      </c>
      <c r="G764" s="5">
        <v>0</v>
      </c>
      <c r="H764" s="4">
        <v>0</v>
      </c>
    </row>
    <row r="765" spans="1:8" x14ac:dyDescent="0.2">
      <c r="A765" s="2" t="s">
        <v>70</v>
      </c>
      <c r="B765" s="4">
        <v>14</v>
      </c>
      <c r="C765" s="5">
        <v>7.91</v>
      </c>
      <c r="D765" s="4">
        <v>13</v>
      </c>
      <c r="E765" s="5">
        <v>9.77</v>
      </c>
      <c r="F765" s="4">
        <v>1</v>
      </c>
      <c r="G765" s="5">
        <v>2.27</v>
      </c>
      <c r="H765" s="4">
        <v>0</v>
      </c>
    </row>
    <row r="766" spans="1:8" x14ac:dyDescent="0.2">
      <c r="A766" s="2" t="s">
        <v>71</v>
      </c>
      <c r="B766" s="4">
        <v>22</v>
      </c>
      <c r="C766" s="5">
        <v>12.43</v>
      </c>
      <c r="D766" s="4">
        <v>21</v>
      </c>
      <c r="E766" s="5">
        <v>15.79</v>
      </c>
      <c r="F766" s="4">
        <v>1</v>
      </c>
      <c r="G766" s="5">
        <v>2.27</v>
      </c>
      <c r="H766" s="4">
        <v>0</v>
      </c>
    </row>
    <row r="767" spans="1:8" x14ac:dyDescent="0.2">
      <c r="A767" s="2" t="s">
        <v>72</v>
      </c>
      <c r="B767" s="4">
        <v>0</v>
      </c>
      <c r="C767" s="5">
        <v>0</v>
      </c>
      <c r="D767" s="4">
        <v>0</v>
      </c>
      <c r="E767" s="5">
        <v>0</v>
      </c>
      <c r="F767" s="4">
        <v>0</v>
      </c>
      <c r="G767" s="5">
        <v>0</v>
      </c>
      <c r="H767" s="4">
        <v>0</v>
      </c>
    </row>
    <row r="768" spans="1:8" x14ac:dyDescent="0.2">
      <c r="A768" s="2" t="s">
        <v>73</v>
      </c>
      <c r="B768" s="4">
        <v>3</v>
      </c>
      <c r="C768" s="5">
        <v>1.69</v>
      </c>
      <c r="D768" s="4">
        <v>3</v>
      </c>
      <c r="E768" s="5">
        <v>2.2599999999999998</v>
      </c>
      <c r="F768" s="4">
        <v>0</v>
      </c>
      <c r="G768" s="5">
        <v>0</v>
      </c>
      <c r="H768" s="4">
        <v>0</v>
      </c>
    </row>
    <row r="769" spans="1:8" x14ac:dyDescent="0.2">
      <c r="A769" s="2" t="s">
        <v>74</v>
      </c>
      <c r="B769" s="4">
        <v>10</v>
      </c>
      <c r="C769" s="5">
        <v>5.65</v>
      </c>
      <c r="D769" s="4">
        <v>6</v>
      </c>
      <c r="E769" s="5">
        <v>4.51</v>
      </c>
      <c r="F769" s="4">
        <v>4</v>
      </c>
      <c r="G769" s="5">
        <v>9.09</v>
      </c>
      <c r="H769" s="4">
        <v>0</v>
      </c>
    </row>
    <row r="770" spans="1:8" x14ac:dyDescent="0.2">
      <c r="A770" s="1" t="s">
        <v>48</v>
      </c>
      <c r="B770" s="4">
        <v>386</v>
      </c>
      <c r="C770" s="5">
        <v>100.01</v>
      </c>
      <c r="D770" s="4">
        <v>204</v>
      </c>
      <c r="E770" s="5">
        <v>99.989999999999981</v>
      </c>
      <c r="F770" s="4">
        <v>174</v>
      </c>
      <c r="G770" s="5">
        <v>99.96999999999997</v>
      </c>
      <c r="H770" s="4">
        <v>1</v>
      </c>
    </row>
    <row r="771" spans="1:8" x14ac:dyDescent="0.2">
      <c r="A771" s="2" t="s">
        <v>60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61</v>
      </c>
      <c r="B772" s="4">
        <v>82</v>
      </c>
      <c r="C772" s="5">
        <v>21.24</v>
      </c>
      <c r="D772" s="4">
        <v>24</v>
      </c>
      <c r="E772" s="5">
        <v>11.76</v>
      </c>
      <c r="F772" s="4">
        <v>58</v>
      </c>
      <c r="G772" s="5">
        <v>33.33</v>
      </c>
      <c r="H772" s="4">
        <v>0</v>
      </c>
    </row>
    <row r="773" spans="1:8" x14ac:dyDescent="0.2">
      <c r="A773" s="2" t="s">
        <v>62</v>
      </c>
      <c r="B773" s="4">
        <v>27</v>
      </c>
      <c r="C773" s="5">
        <v>6.99</v>
      </c>
      <c r="D773" s="4">
        <v>10</v>
      </c>
      <c r="E773" s="5">
        <v>4.9000000000000004</v>
      </c>
      <c r="F773" s="4">
        <v>17</v>
      </c>
      <c r="G773" s="5">
        <v>9.77</v>
      </c>
      <c r="H773" s="4">
        <v>0</v>
      </c>
    </row>
    <row r="774" spans="1:8" x14ac:dyDescent="0.2">
      <c r="A774" s="2" t="s">
        <v>63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2">
      <c r="A775" s="2" t="s">
        <v>64</v>
      </c>
      <c r="B775" s="4">
        <v>2</v>
      </c>
      <c r="C775" s="5">
        <v>0.52</v>
      </c>
      <c r="D775" s="4">
        <v>0</v>
      </c>
      <c r="E775" s="5">
        <v>0</v>
      </c>
      <c r="F775" s="4">
        <v>2</v>
      </c>
      <c r="G775" s="5">
        <v>1.1499999999999999</v>
      </c>
      <c r="H775" s="4">
        <v>0</v>
      </c>
    </row>
    <row r="776" spans="1:8" x14ac:dyDescent="0.2">
      <c r="A776" s="2" t="s">
        <v>65</v>
      </c>
      <c r="B776" s="4">
        <v>4</v>
      </c>
      <c r="C776" s="5">
        <v>1.04</v>
      </c>
      <c r="D776" s="4">
        <v>1</v>
      </c>
      <c r="E776" s="5">
        <v>0.49</v>
      </c>
      <c r="F776" s="4">
        <v>3</v>
      </c>
      <c r="G776" s="5">
        <v>1.72</v>
      </c>
      <c r="H776" s="4">
        <v>0</v>
      </c>
    </row>
    <row r="777" spans="1:8" x14ac:dyDescent="0.2">
      <c r="A777" s="2" t="s">
        <v>66</v>
      </c>
      <c r="B777" s="4">
        <v>96</v>
      </c>
      <c r="C777" s="5">
        <v>24.87</v>
      </c>
      <c r="D777" s="4">
        <v>50</v>
      </c>
      <c r="E777" s="5">
        <v>24.51</v>
      </c>
      <c r="F777" s="4">
        <v>45</v>
      </c>
      <c r="G777" s="5">
        <v>25.86</v>
      </c>
      <c r="H777" s="4">
        <v>1</v>
      </c>
    </row>
    <row r="778" spans="1:8" x14ac:dyDescent="0.2">
      <c r="A778" s="2" t="s">
        <v>67</v>
      </c>
      <c r="B778" s="4">
        <v>1</v>
      </c>
      <c r="C778" s="5">
        <v>0.26</v>
      </c>
      <c r="D778" s="4">
        <v>0</v>
      </c>
      <c r="E778" s="5">
        <v>0</v>
      </c>
      <c r="F778" s="4">
        <v>1</v>
      </c>
      <c r="G778" s="5">
        <v>0.56999999999999995</v>
      </c>
      <c r="H778" s="4">
        <v>0</v>
      </c>
    </row>
    <row r="779" spans="1:8" x14ac:dyDescent="0.2">
      <c r="A779" s="2" t="s">
        <v>68</v>
      </c>
      <c r="B779" s="4">
        <v>20</v>
      </c>
      <c r="C779" s="5">
        <v>5.18</v>
      </c>
      <c r="D779" s="4">
        <v>11</v>
      </c>
      <c r="E779" s="5">
        <v>5.39</v>
      </c>
      <c r="F779" s="4">
        <v>9</v>
      </c>
      <c r="G779" s="5">
        <v>5.17</v>
      </c>
      <c r="H779" s="4">
        <v>0</v>
      </c>
    </row>
    <row r="780" spans="1:8" x14ac:dyDescent="0.2">
      <c r="A780" s="2" t="s">
        <v>69</v>
      </c>
      <c r="B780" s="4">
        <v>19</v>
      </c>
      <c r="C780" s="5">
        <v>4.92</v>
      </c>
      <c r="D780" s="4">
        <v>9</v>
      </c>
      <c r="E780" s="5">
        <v>4.41</v>
      </c>
      <c r="F780" s="4">
        <v>10</v>
      </c>
      <c r="G780" s="5">
        <v>5.75</v>
      </c>
      <c r="H780" s="4">
        <v>0</v>
      </c>
    </row>
    <row r="781" spans="1:8" x14ac:dyDescent="0.2">
      <c r="A781" s="2" t="s">
        <v>70</v>
      </c>
      <c r="B781" s="4">
        <v>46</v>
      </c>
      <c r="C781" s="5">
        <v>11.92</v>
      </c>
      <c r="D781" s="4">
        <v>33</v>
      </c>
      <c r="E781" s="5">
        <v>16.18</v>
      </c>
      <c r="F781" s="4">
        <v>13</v>
      </c>
      <c r="G781" s="5">
        <v>7.47</v>
      </c>
      <c r="H781" s="4">
        <v>0</v>
      </c>
    </row>
    <row r="782" spans="1:8" x14ac:dyDescent="0.2">
      <c r="A782" s="2" t="s">
        <v>71</v>
      </c>
      <c r="B782" s="4">
        <v>47</v>
      </c>
      <c r="C782" s="5">
        <v>12.18</v>
      </c>
      <c r="D782" s="4">
        <v>41</v>
      </c>
      <c r="E782" s="5">
        <v>20.100000000000001</v>
      </c>
      <c r="F782" s="4">
        <v>5</v>
      </c>
      <c r="G782" s="5">
        <v>2.87</v>
      </c>
      <c r="H782" s="4">
        <v>0</v>
      </c>
    </row>
    <row r="783" spans="1:8" x14ac:dyDescent="0.2">
      <c r="A783" s="2" t="s">
        <v>72</v>
      </c>
      <c r="B783" s="4">
        <v>5</v>
      </c>
      <c r="C783" s="5">
        <v>1.3</v>
      </c>
      <c r="D783" s="4">
        <v>4</v>
      </c>
      <c r="E783" s="5">
        <v>1.96</v>
      </c>
      <c r="F783" s="4">
        <v>1</v>
      </c>
      <c r="G783" s="5">
        <v>0.56999999999999995</v>
      </c>
      <c r="H783" s="4">
        <v>0</v>
      </c>
    </row>
    <row r="784" spans="1:8" x14ac:dyDescent="0.2">
      <c r="A784" s="2" t="s">
        <v>73</v>
      </c>
      <c r="B784" s="4">
        <v>24</v>
      </c>
      <c r="C784" s="5">
        <v>6.22</v>
      </c>
      <c r="D784" s="4">
        <v>16</v>
      </c>
      <c r="E784" s="5">
        <v>7.84</v>
      </c>
      <c r="F784" s="4">
        <v>3</v>
      </c>
      <c r="G784" s="5">
        <v>1.72</v>
      </c>
      <c r="H784" s="4">
        <v>0</v>
      </c>
    </row>
    <row r="785" spans="1:8" x14ac:dyDescent="0.2">
      <c r="A785" s="2" t="s">
        <v>74</v>
      </c>
      <c r="B785" s="4">
        <v>13</v>
      </c>
      <c r="C785" s="5">
        <v>3.37</v>
      </c>
      <c r="D785" s="4">
        <v>5</v>
      </c>
      <c r="E785" s="5">
        <v>2.4500000000000002</v>
      </c>
      <c r="F785" s="4">
        <v>7</v>
      </c>
      <c r="G785" s="5">
        <v>4.0199999999999996</v>
      </c>
      <c r="H785" s="4">
        <v>0</v>
      </c>
    </row>
    <row r="786" spans="1:8" x14ac:dyDescent="0.2">
      <c r="A786" s="1" t="s">
        <v>49</v>
      </c>
      <c r="B786" s="4">
        <v>298</v>
      </c>
      <c r="C786" s="5">
        <v>100.02</v>
      </c>
      <c r="D786" s="4">
        <v>183</v>
      </c>
      <c r="E786" s="5">
        <v>100.00000000000001</v>
      </c>
      <c r="F786" s="4">
        <v>109</v>
      </c>
      <c r="G786" s="5">
        <v>99.990000000000009</v>
      </c>
      <c r="H786" s="4">
        <v>2</v>
      </c>
    </row>
    <row r="787" spans="1:8" x14ac:dyDescent="0.2">
      <c r="A787" s="2" t="s">
        <v>60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61</v>
      </c>
      <c r="B788" s="4">
        <v>53</v>
      </c>
      <c r="C788" s="5">
        <v>17.79</v>
      </c>
      <c r="D788" s="4">
        <v>28</v>
      </c>
      <c r="E788" s="5">
        <v>15.3</v>
      </c>
      <c r="F788" s="4">
        <v>25</v>
      </c>
      <c r="G788" s="5">
        <v>22.94</v>
      </c>
      <c r="H788" s="4">
        <v>0</v>
      </c>
    </row>
    <row r="789" spans="1:8" x14ac:dyDescent="0.2">
      <c r="A789" s="2" t="s">
        <v>62</v>
      </c>
      <c r="B789" s="4">
        <v>32</v>
      </c>
      <c r="C789" s="5">
        <v>10.74</v>
      </c>
      <c r="D789" s="4">
        <v>14</v>
      </c>
      <c r="E789" s="5">
        <v>7.65</v>
      </c>
      <c r="F789" s="4">
        <v>18</v>
      </c>
      <c r="G789" s="5">
        <v>16.510000000000002</v>
      </c>
      <c r="H789" s="4">
        <v>0</v>
      </c>
    </row>
    <row r="790" spans="1:8" x14ac:dyDescent="0.2">
      <c r="A790" s="2" t="s">
        <v>63</v>
      </c>
      <c r="B790" s="4">
        <v>1</v>
      </c>
      <c r="C790" s="5">
        <v>0.34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64</v>
      </c>
      <c r="B791" s="4">
        <v>0</v>
      </c>
      <c r="C791" s="5">
        <v>0</v>
      </c>
      <c r="D791" s="4">
        <v>0</v>
      </c>
      <c r="E791" s="5">
        <v>0</v>
      </c>
      <c r="F791" s="4">
        <v>0</v>
      </c>
      <c r="G791" s="5">
        <v>0</v>
      </c>
      <c r="H791" s="4">
        <v>0</v>
      </c>
    </row>
    <row r="792" spans="1:8" x14ac:dyDescent="0.2">
      <c r="A792" s="2" t="s">
        <v>65</v>
      </c>
      <c r="B792" s="4">
        <v>2</v>
      </c>
      <c r="C792" s="5">
        <v>0.67</v>
      </c>
      <c r="D792" s="4">
        <v>0</v>
      </c>
      <c r="E792" s="5">
        <v>0</v>
      </c>
      <c r="F792" s="4">
        <v>2</v>
      </c>
      <c r="G792" s="5">
        <v>1.83</v>
      </c>
      <c r="H792" s="4">
        <v>0</v>
      </c>
    </row>
    <row r="793" spans="1:8" x14ac:dyDescent="0.2">
      <c r="A793" s="2" t="s">
        <v>66</v>
      </c>
      <c r="B793" s="4">
        <v>84</v>
      </c>
      <c r="C793" s="5">
        <v>28.19</v>
      </c>
      <c r="D793" s="4">
        <v>51</v>
      </c>
      <c r="E793" s="5">
        <v>27.87</v>
      </c>
      <c r="F793" s="4">
        <v>31</v>
      </c>
      <c r="G793" s="5">
        <v>28.44</v>
      </c>
      <c r="H793" s="4">
        <v>2</v>
      </c>
    </row>
    <row r="794" spans="1:8" x14ac:dyDescent="0.2">
      <c r="A794" s="2" t="s">
        <v>67</v>
      </c>
      <c r="B794" s="4">
        <v>1</v>
      </c>
      <c r="C794" s="5">
        <v>0.34</v>
      </c>
      <c r="D794" s="4">
        <v>0</v>
      </c>
      <c r="E794" s="5">
        <v>0</v>
      </c>
      <c r="F794" s="4">
        <v>1</v>
      </c>
      <c r="G794" s="5">
        <v>0.92</v>
      </c>
      <c r="H794" s="4">
        <v>0</v>
      </c>
    </row>
    <row r="795" spans="1:8" x14ac:dyDescent="0.2">
      <c r="A795" s="2" t="s">
        <v>68</v>
      </c>
      <c r="B795" s="4">
        <v>10</v>
      </c>
      <c r="C795" s="5">
        <v>3.36</v>
      </c>
      <c r="D795" s="4">
        <v>4</v>
      </c>
      <c r="E795" s="5">
        <v>2.19</v>
      </c>
      <c r="F795" s="4">
        <v>6</v>
      </c>
      <c r="G795" s="5">
        <v>5.5</v>
      </c>
      <c r="H795" s="4">
        <v>0</v>
      </c>
    </row>
    <row r="796" spans="1:8" x14ac:dyDescent="0.2">
      <c r="A796" s="2" t="s">
        <v>69</v>
      </c>
      <c r="B796" s="4">
        <v>4</v>
      </c>
      <c r="C796" s="5">
        <v>1.34</v>
      </c>
      <c r="D796" s="4">
        <v>2</v>
      </c>
      <c r="E796" s="5">
        <v>1.0900000000000001</v>
      </c>
      <c r="F796" s="4">
        <v>2</v>
      </c>
      <c r="G796" s="5">
        <v>1.83</v>
      </c>
      <c r="H796" s="4">
        <v>0</v>
      </c>
    </row>
    <row r="797" spans="1:8" x14ac:dyDescent="0.2">
      <c r="A797" s="2" t="s">
        <v>70</v>
      </c>
      <c r="B797" s="4">
        <v>35</v>
      </c>
      <c r="C797" s="5">
        <v>11.74</v>
      </c>
      <c r="D797" s="4">
        <v>24</v>
      </c>
      <c r="E797" s="5">
        <v>13.11</v>
      </c>
      <c r="F797" s="4">
        <v>11</v>
      </c>
      <c r="G797" s="5">
        <v>10.09</v>
      </c>
      <c r="H797" s="4">
        <v>0</v>
      </c>
    </row>
    <row r="798" spans="1:8" x14ac:dyDescent="0.2">
      <c r="A798" s="2" t="s">
        <v>71</v>
      </c>
      <c r="B798" s="4">
        <v>46</v>
      </c>
      <c r="C798" s="5">
        <v>15.44</v>
      </c>
      <c r="D798" s="4">
        <v>40</v>
      </c>
      <c r="E798" s="5">
        <v>21.86</v>
      </c>
      <c r="F798" s="4">
        <v>5</v>
      </c>
      <c r="G798" s="5">
        <v>4.59</v>
      </c>
      <c r="H798" s="4">
        <v>0</v>
      </c>
    </row>
    <row r="799" spans="1:8" x14ac:dyDescent="0.2">
      <c r="A799" s="2" t="s">
        <v>72</v>
      </c>
      <c r="B799" s="4">
        <v>9</v>
      </c>
      <c r="C799" s="5">
        <v>3.02</v>
      </c>
      <c r="D799" s="4">
        <v>6</v>
      </c>
      <c r="E799" s="5">
        <v>3.28</v>
      </c>
      <c r="F799" s="4">
        <v>1</v>
      </c>
      <c r="G799" s="5">
        <v>0.92</v>
      </c>
      <c r="H799" s="4">
        <v>0</v>
      </c>
    </row>
    <row r="800" spans="1:8" x14ac:dyDescent="0.2">
      <c r="A800" s="2" t="s">
        <v>73</v>
      </c>
      <c r="B800" s="4">
        <v>10</v>
      </c>
      <c r="C800" s="5">
        <v>3.36</v>
      </c>
      <c r="D800" s="4">
        <v>8</v>
      </c>
      <c r="E800" s="5">
        <v>4.37</v>
      </c>
      <c r="F800" s="4">
        <v>2</v>
      </c>
      <c r="G800" s="5">
        <v>1.83</v>
      </c>
      <c r="H800" s="4">
        <v>0</v>
      </c>
    </row>
    <row r="801" spans="1:8" x14ac:dyDescent="0.2">
      <c r="A801" s="2" t="s">
        <v>74</v>
      </c>
      <c r="B801" s="4">
        <v>11</v>
      </c>
      <c r="C801" s="5">
        <v>3.69</v>
      </c>
      <c r="D801" s="4">
        <v>6</v>
      </c>
      <c r="E801" s="5">
        <v>3.28</v>
      </c>
      <c r="F801" s="4">
        <v>5</v>
      </c>
      <c r="G801" s="5">
        <v>4.59</v>
      </c>
      <c r="H801" s="4">
        <v>0</v>
      </c>
    </row>
    <row r="802" spans="1:8" x14ac:dyDescent="0.2">
      <c r="A802" s="1" t="s">
        <v>50</v>
      </c>
      <c r="B802" s="4">
        <v>121</v>
      </c>
      <c r="C802" s="5">
        <v>99.999999999999986</v>
      </c>
      <c r="D802" s="4">
        <v>44</v>
      </c>
      <c r="E802" s="5">
        <v>99.99</v>
      </c>
      <c r="F802" s="4">
        <v>75</v>
      </c>
      <c r="G802" s="5">
        <v>100</v>
      </c>
      <c r="H802" s="4">
        <v>1</v>
      </c>
    </row>
    <row r="803" spans="1:8" x14ac:dyDescent="0.2">
      <c r="A803" s="2" t="s">
        <v>60</v>
      </c>
      <c r="B803" s="4">
        <v>1</v>
      </c>
      <c r="C803" s="5">
        <v>0.83</v>
      </c>
      <c r="D803" s="4">
        <v>0</v>
      </c>
      <c r="E803" s="5">
        <v>0</v>
      </c>
      <c r="F803" s="4">
        <v>1</v>
      </c>
      <c r="G803" s="5">
        <v>1.33</v>
      </c>
      <c r="H803" s="4">
        <v>0</v>
      </c>
    </row>
    <row r="804" spans="1:8" x14ac:dyDescent="0.2">
      <c r="A804" s="2" t="s">
        <v>61</v>
      </c>
      <c r="B804" s="4">
        <v>35</v>
      </c>
      <c r="C804" s="5">
        <v>28.93</v>
      </c>
      <c r="D804" s="4">
        <v>5</v>
      </c>
      <c r="E804" s="5">
        <v>11.36</v>
      </c>
      <c r="F804" s="4">
        <v>30</v>
      </c>
      <c r="G804" s="5">
        <v>40</v>
      </c>
      <c r="H804" s="4">
        <v>0</v>
      </c>
    </row>
    <row r="805" spans="1:8" x14ac:dyDescent="0.2">
      <c r="A805" s="2" t="s">
        <v>62</v>
      </c>
      <c r="B805" s="4">
        <v>9</v>
      </c>
      <c r="C805" s="5">
        <v>7.44</v>
      </c>
      <c r="D805" s="4">
        <v>4</v>
      </c>
      <c r="E805" s="5">
        <v>9.09</v>
      </c>
      <c r="F805" s="4">
        <v>5</v>
      </c>
      <c r="G805" s="5">
        <v>6.67</v>
      </c>
      <c r="H805" s="4">
        <v>0</v>
      </c>
    </row>
    <row r="806" spans="1:8" x14ac:dyDescent="0.2">
      <c r="A806" s="2" t="s">
        <v>63</v>
      </c>
      <c r="B806" s="4">
        <v>1</v>
      </c>
      <c r="C806" s="5">
        <v>0.83</v>
      </c>
      <c r="D806" s="4">
        <v>0</v>
      </c>
      <c r="E806" s="5">
        <v>0</v>
      </c>
      <c r="F806" s="4">
        <v>1</v>
      </c>
      <c r="G806" s="5">
        <v>1.33</v>
      </c>
      <c r="H806" s="4">
        <v>0</v>
      </c>
    </row>
    <row r="807" spans="1:8" x14ac:dyDescent="0.2">
      <c r="A807" s="2" t="s">
        <v>64</v>
      </c>
      <c r="B807" s="4">
        <v>0</v>
      </c>
      <c r="C807" s="5">
        <v>0</v>
      </c>
      <c r="D807" s="4">
        <v>0</v>
      </c>
      <c r="E807" s="5">
        <v>0</v>
      </c>
      <c r="F807" s="4">
        <v>0</v>
      </c>
      <c r="G807" s="5">
        <v>0</v>
      </c>
      <c r="H807" s="4">
        <v>0</v>
      </c>
    </row>
    <row r="808" spans="1:8" x14ac:dyDescent="0.2">
      <c r="A808" s="2" t="s">
        <v>65</v>
      </c>
      <c r="B808" s="4">
        <v>2</v>
      </c>
      <c r="C808" s="5">
        <v>1.65</v>
      </c>
      <c r="D808" s="4">
        <v>0</v>
      </c>
      <c r="E808" s="5">
        <v>0</v>
      </c>
      <c r="F808" s="4">
        <v>2</v>
      </c>
      <c r="G808" s="5">
        <v>2.67</v>
      </c>
      <c r="H808" s="4">
        <v>0</v>
      </c>
    </row>
    <row r="809" spans="1:8" x14ac:dyDescent="0.2">
      <c r="A809" s="2" t="s">
        <v>66</v>
      </c>
      <c r="B809" s="4">
        <v>24</v>
      </c>
      <c r="C809" s="5">
        <v>19.829999999999998</v>
      </c>
      <c r="D809" s="4">
        <v>14</v>
      </c>
      <c r="E809" s="5">
        <v>31.82</v>
      </c>
      <c r="F809" s="4">
        <v>9</v>
      </c>
      <c r="G809" s="5">
        <v>12</v>
      </c>
      <c r="H809" s="4">
        <v>1</v>
      </c>
    </row>
    <row r="810" spans="1:8" x14ac:dyDescent="0.2">
      <c r="A810" s="2" t="s">
        <v>67</v>
      </c>
      <c r="B810" s="4">
        <v>0</v>
      </c>
      <c r="C810" s="5">
        <v>0</v>
      </c>
      <c r="D810" s="4">
        <v>0</v>
      </c>
      <c r="E810" s="5">
        <v>0</v>
      </c>
      <c r="F810" s="4">
        <v>0</v>
      </c>
      <c r="G810" s="5">
        <v>0</v>
      </c>
      <c r="H810" s="4">
        <v>0</v>
      </c>
    </row>
    <row r="811" spans="1:8" x14ac:dyDescent="0.2">
      <c r="A811" s="2" t="s">
        <v>68</v>
      </c>
      <c r="B811" s="4">
        <v>2</v>
      </c>
      <c r="C811" s="5">
        <v>1.65</v>
      </c>
      <c r="D811" s="4">
        <v>0</v>
      </c>
      <c r="E811" s="5">
        <v>0</v>
      </c>
      <c r="F811" s="4">
        <v>2</v>
      </c>
      <c r="G811" s="5">
        <v>2.67</v>
      </c>
      <c r="H811" s="4">
        <v>0</v>
      </c>
    </row>
    <row r="812" spans="1:8" x14ac:dyDescent="0.2">
      <c r="A812" s="2" t="s">
        <v>69</v>
      </c>
      <c r="B812" s="4">
        <v>2</v>
      </c>
      <c r="C812" s="5">
        <v>1.65</v>
      </c>
      <c r="D812" s="4">
        <v>0</v>
      </c>
      <c r="E812" s="5">
        <v>0</v>
      </c>
      <c r="F812" s="4">
        <v>2</v>
      </c>
      <c r="G812" s="5">
        <v>2.67</v>
      </c>
      <c r="H812" s="4">
        <v>0</v>
      </c>
    </row>
    <row r="813" spans="1:8" x14ac:dyDescent="0.2">
      <c r="A813" s="2" t="s">
        <v>70</v>
      </c>
      <c r="B813" s="4">
        <v>21</v>
      </c>
      <c r="C813" s="5">
        <v>17.36</v>
      </c>
      <c r="D813" s="4">
        <v>9</v>
      </c>
      <c r="E813" s="5">
        <v>20.45</v>
      </c>
      <c r="F813" s="4">
        <v>12</v>
      </c>
      <c r="G813" s="5">
        <v>16</v>
      </c>
      <c r="H813" s="4">
        <v>0</v>
      </c>
    </row>
    <row r="814" spans="1:8" x14ac:dyDescent="0.2">
      <c r="A814" s="2" t="s">
        <v>71</v>
      </c>
      <c r="B814" s="4">
        <v>13</v>
      </c>
      <c r="C814" s="5">
        <v>10.74</v>
      </c>
      <c r="D814" s="4">
        <v>9</v>
      </c>
      <c r="E814" s="5">
        <v>20.45</v>
      </c>
      <c r="F814" s="4">
        <v>4</v>
      </c>
      <c r="G814" s="5">
        <v>5.33</v>
      </c>
      <c r="H814" s="4">
        <v>0</v>
      </c>
    </row>
    <row r="815" spans="1:8" x14ac:dyDescent="0.2">
      <c r="A815" s="2" t="s">
        <v>72</v>
      </c>
      <c r="B815" s="4">
        <v>3</v>
      </c>
      <c r="C815" s="5">
        <v>2.48</v>
      </c>
      <c r="D815" s="4">
        <v>2</v>
      </c>
      <c r="E815" s="5">
        <v>4.55</v>
      </c>
      <c r="F815" s="4">
        <v>0</v>
      </c>
      <c r="G815" s="5">
        <v>0</v>
      </c>
      <c r="H815" s="4">
        <v>0</v>
      </c>
    </row>
    <row r="816" spans="1:8" x14ac:dyDescent="0.2">
      <c r="A816" s="2" t="s">
        <v>73</v>
      </c>
      <c r="B816" s="4">
        <v>0</v>
      </c>
      <c r="C816" s="5">
        <v>0</v>
      </c>
      <c r="D816" s="4">
        <v>0</v>
      </c>
      <c r="E816" s="5">
        <v>0</v>
      </c>
      <c r="F816" s="4">
        <v>0</v>
      </c>
      <c r="G816" s="5">
        <v>0</v>
      </c>
      <c r="H816" s="4">
        <v>0</v>
      </c>
    </row>
    <row r="817" spans="1:8" x14ac:dyDescent="0.2">
      <c r="A817" s="2" t="s">
        <v>74</v>
      </c>
      <c r="B817" s="4">
        <v>8</v>
      </c>
      <c r="C817" s="5">
        <v>6.61</v>
      </c>
      <c r="D817" s="4">
        <v>1</v>
      </c>
      <c r="E817" s="5">
        <v>2.27</v>
      </c>
      <c r="F817" s="4">
        <v>7</v>
      </c>
      <c r="G817" s="5">
        <v>9.33</v>
      </c>
      <c r="H817" s="4">
        <v>0</v>
      </c>
    </row>
    <row r="818" spans="1:8" x14ac:dyDescent="0.2">
      <c r="A818" s="1" t="s">
        <v>51</v>
      </c>
      <c r="B818" s="4">
        <v>104</v>
      </c>
      <c r="C818" s="5">
        <v>99.999999999999986</v>
      </c>
      <c r="D818" s="4">
        <v>44</v>
      </c>
      <c r="E818" s="5">
        <v>99.99</v>
      </c>
      <c r="F818" s="4">
        <v>59</v>
      </c>
      <c r="G818" s="5">
        <v>99.97999999999999</v>
      </c>
      <c r="H818" s="4">
        <v>0</v>
      </c>
    </row>
    <row r="819" spans="1:8" x14ac:dyDescent="0.2">
      <c r="A819" s="2" t="s">
        <v>60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2">
      <c r="A820" s="2" t="s">
        <v>61</v>
      </c>
      <c r="B820" s="4">
        <v>24</v>
      </c>
      <c r="C820" s="5">
        <v>23.08</v>
      </c>
      <c r="D820" s="4">
        <v>6</v>
      </c>
      <c r="E820" s="5">
        <v>13.64</v>
      </c>
      <c r="F820" s="4">
        <v>18</v>
      </c>
      <c r="G820" s="5">
        <v>30.51</v>
      </c>
      <c r="H820" s="4">
        <v>0</v>
      </c>
    </row>
    <row r="821" spans="1:8" x14ac:dyDescent="0.2">
      <c r="A821" s="2" t="s">
        <v>62</v>
      </c>
      <c r="B821" s="4">
        <v>15</v>
      </c>
      <c r="C821" s="5">
        <v>14.42</v>
      </c>
      <c r="D821" s="4">
        <v>5</v>
      </c>
      <c r="E821" s="5">
        <v>11.36</v>
      </c>
      <c r="F821" s="4">
        <v>10</v>
      </c>
      <c r="G821" s="5">
        <v>16.95</v>
      </c>
      <c r="H821" s="4">
        <v>0</v>
      </c>
    </row>
    <row r="822" spans="1:8" x14ac:dyDescent="0.2">
      <c r="A822" s="2" t="s">
        <v>63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2">
      <c r="A823" s="2" t="s">
        <v>64</v>
      </c>
      <c r="B823" s="4">
        <v>1</v>
      </c>
      <c r="C823" s="5">
        <v>0.96</v>
      </c>
      <c r="D823" s="4">
        <v>0</v>
      </c>
      <c r="E823" s="5">
        <v>0</v>
      </c>
      <c r="F823" s="4">
        <v>1</v>
      </c>
      <c r="G823" s="5">
        <v>1.69</v>
      </c>
      <c r="H823" s="4">
        <v>0</v>
      </c>
    </row>
    <row r="824" spans="1:8" x14ac:dyDescent="0.2">
      <c r="A824" s="2" t="s">
        <v>65</v>
      </c>
      <c r="B824" s="4">
        <v>0</v>
      </c>
      <c r="C824" s="5">
        <v>0</v>
      </c>
      <c r="D824" s="4">
        <v>0</v>
      </c>
      <c r="E824" s="5">
        <v>0</v>
      </c>
      <c r="F824" s="4">
        <v>0</v>
      </c>
      <c r="G824" s="5">
        <v>0</v>
      </c>
      <c r="H824" s="4">
        <v>0</v>
      </c>
    </row>
    <row r="825" spans="1:8" x14ac:dyDescent="0.2">
      <c r="A825" s="2" t="s">
        <v>66</v>
      </c>
      <c r="B825" s="4">
        <v>26</v>
      </c>
      <c r="C825" s="5">
        <v>25</v>
      </c>
      <c r="D825" s="4">
        <v>12</v>
      </c>
      <c r="E825" s="5">
        <v>27.27</v>
      </c>
      <c r="F825" s="4">
        <v>14</v>
      </c>
      <c r="G825" s="5">
        <v>23.73</v>
      </c>
      <c r="H825" s="4">
        <v>0</v>
      </c>
    </row>
    <row r="826" spans="1:8" x14ac:dyDescent="0.2">
      <c r="A826" s="2" t="s">
        <v>67</v>
      </c>
      <c r="B826" s="4">
        <v>0</v>
      </c>
      <c r="C826" s="5">
        <v>0</v>
      </c>
      <c r="D826" s="4">
        <v>0</v>
      </c>
      <c r="E826" s="5">
        <v>0</v>
      </c>
      <c r="F826" s="4">
        <v>0</v>
      </c>
      <c r="G826" s="5">
        <v>0</v>
      </c>
      <c r="H826" s="4">
        <v>0</v>
      </c>
    </row>
    <row r="827" spans="1:8" x14ac:dyDescent="0.2">
      <c r="A827" s="2" t="s">
        <v>68</v>
      </c>
      <c r="B827" s="4">
        <v>8</v>
      </c>
      <c r="C827" s="5">
        <v>7.69</v>
      </c>
      <c r="D827" s="4">
        <v>0</v>
      </c>
      <c r="E827" s="5">
        <v>0</v>
      </c>
      <c r="F827" s="4">
        <v>8</v>
      </c>
      <c r="G827" s="5">
        <v>13.56</v>
      </c>
      <c r="H827" s="4">
        <v>0</v>
      </c>
    </row>
    <row r="828" spans="1:8" x14ac:dyDescent="0.2">
      <c r="A828" s="2" t="s">
        <v>69</v>
      </c>
      <c r="B828" s="4">
        <v>4</v>
      </c>
      <c r="C828" s="5">
        <v>3.85</v>
      </c>
      <c r="D828" s="4">
        <v>1</v>
      </c>
      <c r="E828" s="5">
        <v>2.27</v>
      </c>
      <c r="F828" s="4">
        <v>3</v>
      </c>
      <c r="G828" s="5">
        <v>5.08</v>
      </c>
      <c r="H828" s="4">
        <v>0</v>
      </c>
    </row>
    <row r="829" spans="1:8" x14ac:dyDescent="0.2">
      <c r="A829" s="2" t="s">
        <v>70</v>
      </c>
      <c r="B829" s="4">
        <v>8</v>
      </c>
      <c r="C829" s="5">
        <v>7.69</v>
      </c>
      <c r="D829" s="4">
        <v>7</v>
      </c>
      <c r="E829" s="5">
        <v>15.91</v>
      </c>
      <c r="F829" s="4">
        <v>1</v>
      </c>
      <c r="G829" s="5">
        <v>1.69</v>
      </c>
      <c r="H829" s="4">
        <v>0</v>
      </c>
    </row>
    <row r="830" spans="1:8" x14ac:dyDescent="0.2">
      <c r="A830" s="2" t="s">
        <v>71</v>
      </c>
      <c r="B830" s="4">
        <v>13</v>
      </c>
      <c r="C830" s="5">
        <v>12.5</v>
      </c>
      <c r="D830" s="4">
        <v>12</v>
      </c>
      <c r="E830" s="5">
        <v>27.27</v>
      </c>
      <c r="F830" s="4">
        <v>1</v>
      </c>
      <c r="G830" s="5">
        <v>1.69</v>
      </c>
      <c r="H830" s="4">
        <v>0</v>
      </c>
    </row>
    <row r="831" spans="1:8" x14ac:dyDescent="0.2">
      <c r="A831" s="2" t="s">
        <v>72</v>
      </c>
      <c r="B831" s="4">
        <v>0</v>
      </c>
      <c r="C831" s="5">
        <v>0</v>
      </c>
      <c r="D831" s="4">
        <v>0</v>
      </c>
      <c r="E831" s="5">
        <v>0</v>
      </c>
      <c r="F831" s="4">
        <v>0</v>
      </c>
      <c r="G831" s="5">
        <v>0</v>
      </c>
      <c r="H831" s="4">
        <v>0</v>
      </c>
    </row>
    <row r="832" spans="1:8" x14ac:dyDescent="0.2">
      <c r="A832" s="2" t="s">
        <v>73</v>
      </c>
      <c r="B832" s="4">
        <v>1</v>
      </c>
      <c r="C832" s="5">
        <v>0.96</v>
      </c>
      <c r="D832" s="4">
        <v>1</v>
      </c>
      <c r="E832" s="5">
        <v>2.27</v>
      </c>
      <c r="F832" s="4">
        <v>0</v>
      </c>
      <c r="G832" s="5">
        <v>0</v>
      </c>
      <c r="H832" s="4">
        <v>0</v>
      </c>
    </row>
    <row r="833" spans="1:8" x14ac:dyDescent="0.2">
      <c r="A833" s="2" t="s">
        <v>74</v>
      </c>
      <c r="B833" s="4">
        <v>4</v>
      </c>
      <c r="C833" s="5">
        <v>3.85</v>
      </c>
      <c r="D833" s="4">
        <v>0</v>
      </c>
      <c r="E833" s="5">
        <v>0</v>
      </c>
      <c r="F833" s="4">
        <v>3</v>
      </c>
      <c r="G833" s="5">
        <v>5.08</v>
      </c>
      <c r="H833" s="4">
        <v>0</v>
      </c>
    </row>
    <row r="834" spans="1:8" x14ac:dyDescent="0.2">
      <c r="A834" s="1" t="s">
        <v>52</v>
      </c>
      <c r="B834" s="4">
        <v>66</v>
      </c>
      <c r="C834" s="5">
        <v>100.02</v>
      </c>
      <c r="D834" s="4">
        <v>7</v>
      </c>
      <c r="E834" s="5">
        <v>100.00999999999999</v>
      </c>
      <c r="F834" s="4">
        <v>57</v>
      </c>
      <c r="G834" s="5">
        <v>99.99</v>
      </c>
      <c r="H834" s="4">
        <v>1</v>
      </c>
    </row>
    <row r="835" spans="1:8" x14ac:dyDescent="0.2">
      <c r="A835" s="2" t="s">
        <v>60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61</v>
      </c>
      <c r="B836" s="4">
        <v>26</v>
      </c>
      <c r="C836" s="5">
        <v>39.39</v>
      </c>
      <c r="D836" s="4">
        <v>1</v>
      </c>
      <c r="E836" s="5">
        <v>14.29</v>
      </c>
      <c r="F836" s="4">
        <v>24</v>
      </c>
      <c r="G836" s="5">
        <v>42.11</v>
      </c>
      <c r="H836" s="4">
        <v>1</v>
      </c>
    </row>
    <row r="837" spans="1:8" x14ac:dyDescent="0.2">
      <c r="A837" s="2" t="s">
        <v>62</v>
      </c>
      <c r="B837" s="4">
        <v>3</v>
      </c>
      <c r="C837" s="5">
        <v>4.55</v>
      </c>
      <c r="D837" s="4">
        <v>0</v>
      </c>
      <c r="E837" s="5">
        <v>0</v>
      </c>
      <c r="F837" s="4">
        <v>3</v>
      </c>
      <c r="G837" s="5">
        <v>5.26</v>
      </c>
      <c r="H837" s="4">
        <v>0</v>
      </c>
    </row>
    <row r="838" spans="1:8" x14ac:dyDescent="0.2">
      <c r="A838" s="2" t="s">
        <v>63</v>
      </c>
      <c r="B838" s="4">
        <v>1</v>
      </c>
      <c r="C838" s="5">
        <v>1.52</v>
      </c>
      <c r="D838" s="4">
        <v>0</v>
      </c>
      <c r="E838" s="5">
        <v>0</v>
      </c>
      <c r="F838" s="4">
        <v>1</v>
      </c>
      <c r="G838" s="5">
        <v>1.75</v>
      </c>
      <c r="H838" s="4">
        <v>0</v>
      </c>
    </row>
    <row r="839" spans="1:8" x14ac:dyDescent="0.2">
      <c r="A839" s="2" t="s">
        <v>64</v>
      </c>
      <c r="B839" s="4">
        <v>2</v>
      </c>
      <c r="C839" s="5">
        <v>3.03</v>
      </c>
      <c r="D839" s="4">
        <v>0</v>
      </c>
      <c r="E839" s="5">
        <v>0</v>
      </c>
      <c r="F839" s="4">
        <v>2</v>
      </c>
      <c r="G839" s="5">
        <v>3.51</v>
      </c>
      <c r="H839" s="4">
        <v>0</v>
      </c>
    </row>
    <row r="840" spans="1:8" x14ac:dyDescent="0.2">
      <c r="A840" s="2" t="s">
        <v>65</v>
      </c>
      <c r="B840" s="4">
        <v>2</v>
      </c>
      <c r="C840" s="5">
        <v>3.03</v>
      </c>
      <c r="D840" s="4">
        <v>0</v>
      </c>
      <c r="E840" s="5">
        <v>0</v>
      </c>
      <c r="F840" s="4">
        <v>2</v>
      </c>
      <c r="G840" s="5">
        <v>3.51</v>
      </c>
      <c r="H840" s="4">
        <v>0</v>
      </c>
    </row>
    <row r="841" spans="1:8" x14ac:dyDescent="0.2">
      <c r="A841" s="2" t="s">
        <v>66</v>
      </c>
      <c r="B841" s="4">
        <v>8</v>
      </c>
      <c r="C841" s="5">
        <v>12.12</v>
      </c>
      <c r="D841" s="4">
        <v>0</v>
      </c>
      <c r="E841" s="5">
        <v>0</v>
      </c>
      <c r="F841" s="4">
        <v>8</v>
      </c>
      <c r="G841" s="5">
        <v>14.04</v>
      </c>
      <c r="H841" s="4">
        <v>0</v>
      </c>
    </row>
    <row r="842" spans="1:8" x14ac:dyDescent="0.2">
      <c r="A842" s="2" t="s">
        <v>67</v>
      </c>
      <c r="B842" s="4">
        <v>0</v>
      </c>
      <c r="C842" s="5">
        <v>0</v>
      </c>
      <c r="D842" s="4">
        <v>0</v>
      </c>
      <c r="E842" s="5">
        <v>0</v>
      </c>
      <c r="F842" s="4">
        <v>0</v>
      </c>
      <c r="G842" s="5">
        <v>0</v>
      </c>
      <c r="H842" s="4">
        <v>0</v>
      </c>
    </row>
    <row r="843" spans="1:8" x14ac:dyDescent="0.2">
      <c r="A843" s="2" t="s">
        <v>68</v>
      </c>
      <c r="B843" s="4">
        <v>3</v>
      </c>
      <c r="C843" s="5">
        <v>4.55</v>
      </c>
      <c r="D843" s="4">
        <v>0</v>
      </c>
      <c r="E843" s="5">
        <v>0</v>
      </c>
      <c r="F843" s="4">
        <v>3</v>
      </c>
      <c r="G843" s="5">
        <v>5.26</v>
      </c>
      <c r="H843" s="4">
        <v>0</v>
      </c>
    </row>
    <row r="844" spans="1:8" x14ac:dyDescent="0.2">
      <c r="A844" s="2" t="s">
        <v>69</v>
      </c>
      <c r="B844" s="4">
        <v>6</v>
      </c>
      <c r="C844" s="5">
        <v>9.09</v>
      </c>
      <c r="D844" s="4">
        <v>1</v>
      </c>
      <c r="E844" s="5">
        <v>14.29</v>
      </c>
      <c r="F844" s="4">
        <v>5</v>
      </c>
      <c r="G844" s="5">
        <v>8.77</v>
      </c>
      <c r="H844" s="4">
        <v>0</v>
      </c>
    </row>
    <row r="845" spans="1:8" x14ac:dyDescent="0.2">
      <c r="A845" s="2" t="s">
        <v>70</v>
      </c>
      <c r="B845" s="4">
        <v>3</v>
      </c>
      <c r="C845" s="5">
        <v>4.55</v>
      </c>
      <c r="D845" s="4">
        <v>2</v>
      </c>
      <c r="E845" s="5">
        <v>28.57</v>
      </c>
      <c r="F845" s="4">
        <v>1</v>
      </c>
      <c r="G845" s="5">
        <v>1.75</v>
      </c>
      <c r="H845" s="4">
        <v>0</v>
      </c>
    </row>
    <row r="846" spans="1:8" x14ac:dyDescent="0.2">
      <c r="A846" s="2" t="s">
        <v>71</v>
      </c>
      <c r="B846" s="4">
        <v>3</v>
      </c>
      <c r="C846" s="5">
        <v>4.55</v>
      </c>
      <c r="D846" s="4">
        <v>1</v>
      </c>
      <c r="E846" s="5">
        <v>14.29</v>
      </c>
      <c r="F846" s="4">
        <v>2</v>
      </c>
      <c r="G846" s="5">
        <v>3.51</v>
      </c>
      <c r="H846" s="4">
        <v>0</v>
      </c>
    </row>
    <row r="847" spans="1:8" x14ac:dyDescent="0.2">
      <c r="A847" s="2" t="s">
        <v>72</v>
      </c>
      <c r="B847" s="4">
        <v>2</v>
      </c>
      <c r="C847" s="5">
        <v>3.03</v>
      </c>
      <c r="D847" s="4">
        <v>0</v>
      </c>
      <c r="E847" s="5">
        <v>0</v>
      </c>
      <c r="F847" s="4">
        <v>1</v>
      </c>
      <c r="G847" s="5">
        <v>1.75</v>
      </c>
      <c r="H847" s="4">
        <v>0</v>
      </c>
    </row>
    <row r="848" spans="1:8" x14ac:dyDescent="0.2">
      <c r="A848" s="2" t="s">
        <v>73</v>
      </c>
      <c r="B848" s="4">
        <v>2</v>
      </c>
      <c r="C848" s="5">
        <v>3.03</v>
      </c>
      <c r="D848" s="4">
        <v>2</v>
      </c>
      <c r="E848" s="5">
        <v>28.57</v>
      </c>
      <c r="F848" s="4">
        <v>0</v>
      </c>
      <c r="G848" s="5">
        <v>0</v>
      </c>
      <c r="H848" s="4">
        <v>0</v>
      </c>
    </row>
    <row r="849" spans="1:8" x14ac:dyDescent="0.2">
      <c r="A849" s="2" t="s">
        <v>74</v>
      </c>
      <c r="B849" s="4">
        <v>5</v>
      </c>
      <c r="C849" s="5">
        <v>7.58</v>
      </c>
      <c r="D849" s="4">
        <v>0</v>
      </c>
      <c r="E849" s="5">
        <v>0</v>
      </c>
      <c r="F849" s="4">
        <v>5</v>
      </c>
      <c r="G849" s="5">
        <v>8.77</v>
      </c>
      <c r="H849" s="4">
        <v>0</v>
      </c>
    </row>
    <row r="850" spans="1:8" x14ac:dyDescent="0.2">
      <c r="A850" s="1" t="s">
        <v>53</v>
      </c>
      <c r="B850" s="4">
        <v>45</v>
      </c>
      <c r="C850" s="5">
        <v>99.99</v>
      </c>
      <c r="D850" s="4">
        <v>24</v>
      </c>
      <c r="E850" s="5">
        <v>100</v>
      </c>
      <c r="F850" s="4">
        <v>20</v>
      </c>
      <c r="G850" s="5">
        <v>100</v>
      </c>
      <c r="H850" s="4">
        <v>1</v>
      </c>
    </row>
    <row r="851" spans="1:8" x14ac:dyDescent="0.2">
      <c r="A851" s="2" t="s">
        <v>60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61</v>
      </c>
      <c r="B852" s="4">
        <v>12</v>
      </c>
      <c r="C852" s="5">
        <v>26.67</v>
      </c>
      <c r="D852" s="4">
        <v>6</v>
      </c>
      <c r="E852" s="5">
        <v>25</v>
      </c>
      <c r="F852" s="4">
        <v>6</v>
      </c>
      <c r="G852" s="5">
        <v>30</v>
      </c>
      <c r="H852" s="4">
        <v>0</v>
      </c>
    </row>
    <row r="853" spans="1:8" x14ac:dyDescent="0.2">
      <c r="A853" s="2" t="s">
        <v>62</v>
      </c>
      <c r="B853" s="4">
        <v>8</v>
      </c>
      <c r="C853" s="5">
        <v>17.78</v>
      </c>
      <c r="D853" s="4">
        <v>3</v>
      </c>
      <c r="E853" s="5">
        <v>12.5</v>
      </c>
      <c r="F853" s="4">
        <v>5</v>
      </c>
      <c r="G853" s="5">
        <v>25</v>
      </c>
      <c r="H853" s="4">
        <v>0</v>
      </c>
    </row>
    <row r="854" spans="1:8" x14ac:dyDescent="0.2">
      <c r="A854" s="2" t="s">
        <v>63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64</v>
      </c>
      <c r="B855" s="4">
        <v>0</v>
      </c>
      <c r="C855" s="5">
        <v>0</v>
      </c>
      <c r="D855" s="4">
        <v>0</v>
      </c>
      <c r="E855" s="5">
        <v>0</v>
      </c>
      <c r="F855" s="4">
        <v>0</v>
      </c>
      <c r="G855" s="5">
        <v>0</v>
      </c>
      <c r="H855" s="4">
        <v>0</v>
      </c>
    </row>
    <row r="856" spans="1:8" x14ac:dyDescent="0.2">
      <c r="A856" s="2" t="s">
        <v>65</v>
      </c>
      <c r="B856" s="4">
        <v>0</v>
      </c>
      <c r="C856" s="5">
        <v>0</v>
      </c>
      <c r="D856" s="4">
        <v>0</v>
      </c>
      <c r="E856" s="5">
        <v>0</v>
      </c>
      <c r="F856" s="4">
        <v>0</v>
      </c>
      <c r="G856" s="5">
        <v>0</v>
      </c>
      <c r="H856" s="4">
        <v>0</v>
      </c>
    </row>
    <row r="857" spans="1:8" x14ac:dyDescent="0.2">
      <c r="A857" s="2" t="s">
        <v>66</v>
      </c>
      <c r="B857" s="4">
        <v>14</v>
      </c>
      <c r="C857" s="5">
        <v>31.11</v>
      </c>
      <c r="D857" s="4">
        <v>9</v>
      </c>
      <c r="E857" s="5">
        <v>37.5</v>
      </c>
      <c r="F857" s="4">
        <v>5</v>
      </c>
      <c r="G857" s="5">
        <v>25</v>
      </c>
      <c r="H857" s="4">
        <v>0</v>
      </c>
    </row>
    <row r="858" spans="1:8" x14ac:dyDescent="0.2">
      <c r="A858" s="2" t="s">
        <v>67</v>
      </c>
      <c r="B858" s="4">
        <v>0</v>
      </c>
      <c r="C858" s="5">
        <v>0</v>
      </c>
      <c r="D858" s="4">
        <v>0</v>
      </c>
      <c r="E858" s="5">
        <v>0</v>
      </c>
      <c r="F858" s="4">
        <v>0</v>
      </c>
      <c r="G858" s="5">
        <v>0</v>
      </c>
      <c r="H858" s="4">
        <v>0</v>
      </c>
    </row>
    <row r="859" spans="1:8" x14ac:dyDescent="0.2">
      <c r="A859" s="2" t="s">
        <v>68</v>
      </c>
      <c r="B859" s="4">
        <v>0</v>
      </c>
      <c r="C859" s="5">
        <v>0</v>
      </c>
      <c r="D859" s="4">
        <v>0</v>
      </c>
      <c r="E859" s="5">
        <v>0</v>
      </c>
      <c r="F859" s="4">
        <v>0</v>
      </c>
      <c r="G859" s="5">
        <v>0</v>
      </c>
      <c r="H859" s="4">
        <v>0</v>
      </c>
    </row>
    <row r="860" spans="1:8" x14ac:dyDescent="0.2">
      <c r="A860" s="2" t="s">
        <v>69</v>
      </c>
      <c r="B860" s="4">
        <v>0</v>
      </c>
      <c r="C860" s="5">
        <v>0</v>
      </c>
      <c r="D860" s="4">
        <v>0</v>
      </c>
      <c r="E860" s="5">
        <v>0</v>
      </c>
      <c r="F860" s="4">
        <v>0</v>
      </c>
      <c r="G860" s="5">
        <v>0</v>
      </c>
      <c r="H860" s="4">
        <v>0</v>
      </c>
    </row>
    <row r="861" spans="1:8" x14ac:dyDescent="0.2">
      <c r="A861" s="2" t="s">
        <v>70</v>
      </c>
      <c r="B861" s="4">
        <v>6</v>
      </c>
      <c r="C861" s="5">
        <v>13.33</v>
      </c>
      <c r="D861" s="4">
        <v>5</v>
      </c>
      <c r="E861" s="5">
        <v>20.83</v>
      </c>
      <c r="F861" s="4">
        <v>1</v>
      </c>
      <c r="G861" s="5">
        <v>5</v>
      </c>
      <c r="H861" s="4">
        <v>0</v>
      </c>
    </row>
    <row r="862" spans="1:8" x14ac:dyDescent="0.2">
      <c r="A862" s="2" t="s">
        <v>71</v>
      </c>
      <c r="B862" s="4">
        <v>2</v>
      </c>
      <c r="C862" s="5">
        <v>4.4400000000000004</v>
      </c>
      <c r="D862" s="4">
        <v>1</v>
      </c>
      <c r="E862" s="5">
        <v>4.17</v>
      </c>
      <c r="F862" s="4">
        <v>1</v>
      </c>
      <c r="G862" s="5">
        <v>5</v>
      </c>
      <c r="H862" s="4">
        <v>0</v>
      </c>
    </row>
    <row r="863" spans="1:8" x14ac:dyDescent="0.2">
      <c r="A863" s="2" t="s">
        <v>72</v>
      </c>
      <c r="B863" s="4">
        <v>0</v>
      </c>
      <c r="C863" s="5">
        <v>0</v>
      </c>
      <c r="D863" s="4">
        <v>0</v>
      </c>
      <c r="E863" s="5">
        <v>0</v>
      </c>
      <c r="F863" s="4">
        <v>0</v>
      </c>
      <c r="G863" s="5">
        <v>0</v>
      </c>
      <c r="H863" s="4">
        <v>0</v>
      </c>
    </row>
    <row r="864" spans="1:8" x14ac:dyDescent="0.2">
      <c r="A864" s="2" t="s">
        <v>73</v>
      </c>
      <c r="B864" s="4">
        <v>1</v>
      </c>
      <c r="C864" s="5">
        <v>2.2200000000000002</v>
      </c>
      <c r="D864" s="4">
        <v>0</v>
      </c>
      <c r="E864" s="5">
        <v>0</v>
      </c>
      <c r="F864" s="4">
        <v>1</v>
      </c>
      <c r="G864" s="5">
        <v>5</v>
      </c>
      <c r="H864" s="4">
        <v>0</v>
      </c>
    </row>
    <row r="865" spans="1:8" x14ac:dyDescent="0.2">
      <c r="A865" s="2" t="s">
        <v>74</v>
      </c>
      <c r="B865" s="4">
        <v>2</v>
      </c>
      <c r="C865" s="5">
        <v>4.4400000000000004</v>
      </c>
      <c r="D865" s="4">
        <v>0</v>
      </c>
      <c r="E865" s="5">
        <v>0</v>
      </c>
      <c r="F865" s="4">
        <v>1</v>
      </c>
      <c r="G865" s="5">
        <v>5</v>
      </c>
      <c r="H865" s="4">
        <v>1</v>
      </c>
    </row>
    <row r="866" spans="1:8" x14ac:dyDescent="0.2">
      <c r="A866" s="1" t="s">
        <v>54</v>
      </c>
      <c r="B866" s="4">
        <v>9</v>
      </c>
      <c r="C866" s="5">
        <v>99.99</v>
      </c>
      <c r="D866" s="4">
        <v>3</v>
      </c>
      <c r="E866" s="5">
        <v>100</v>
      </c>
      <c r="F866" s="4">
        <v>5</v>
      </c>
      <c r="G866" s="5">
        <v>100</v>
      </c>
      <c r="H866" s="4">
        <v>0</v>
      </c>
    </row>
    <row r="867" spans="1:8" x14ac:dyDescent="0.2">
      <c r="A867" s="2" t="s">
        <v>60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61</v>
      </c>
      <c r="B868" s="4">
        <v>2</v>
      </c>
      <c r="C868" s="5">
        <v>22.22</v>
      </c>
      <c r="D868" s="4">
        <v>0</v>
      </c>
      <c r="E868" s="5">
        <v>0</v>
      </c>
      <c r="F868" s="4">
        <v>2</v>
      </c>
      <c r="G868" s="5">
        <v>40</v>
      </c>
      <c r="H868" s="4">
        <v>0</v>
      </c>
    </row>
    <row r="869" spans="1:8" x14ac:dyDescent="0.2">
      <c r="A869" s="2" t="s">
        <v>62</v>
      </c>
      <c r="B869" s="4">
        <v>1</v>
      </c>
      <c r="C869" s="5">
        <v>11.11</v>
      </c>
      <c r="D869" s="4">
        <v>0</v>
      </c>
      <c r="E869" s="5">
        <v>0</v>
      </c>
      <c r="F869" s="4">
        <v>1</v>
      </c>
      <c r="G869" s="5">
        <v>20</v>
      </c>
      <c r="H869" s="4">
        <v>0</v>
      </c>
    </row>
    <row r="870" spans="1:8" x14ac:dyDescent="0.2">
      <c r="A870" s="2" t="s">
        <v>63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2">
      <c r="A871" s="2" t="s">
        <v>64</v>
      </c>
      <c r="B871" s="4">
        <v>0</v>
      </c>
      <c r="C871" s="5">
        <v>0</v>
      </c>
      <c r="D871" s="4">
        <v>0</v>
      </c>
      <c r="E871" s="5">
        <v>0</v>
      </c>
      <c r="F871" s="4">
        <v>0</v>
      </c>
      <c r="G871" s="5">
        <v>0</v>
      </c>
      <c r="H871" s="4">
        <v>0</v>
      </c>
    </row>
    <row r="872" spans="1:8" x14ac:dyDescent="0.2">
      <c r="A872" s="2" t="s">
        <v>65</v>
      </c>
      <c r="B872" s="4">
        <v>0</v>
      </c>
      <c r="C872" s="5">
        <v>0</v>
      </c>
      <c r="D872" s="4">
        <v>0</v>
      </c>
      <c r="E872" s="5">
        <v>0</v>
      </c>
      <c r="F872" s="4">
        <v>0</v>
      </c>
      <c r="G872" s="5">
        <v>0</v>
      </c>
      <c r="H872" s="4">
        <v>0</v>
      </c>
    </row>
    <row r="873" spans="1:8" x14ac:dyDescent="0.2">
      <c r="A873" s="2" t="s">
        <v>66</v>
      </c>
      <c r="B873" s="4">
        <v>3</v>
      </c>
      <c r="C873" s="5">
        <v>33.33</v>
      </c>
      <c r="D873" s="4">
        <v>1</v>
      </c>
      <c r="E873" s="5">
        <v>33.33</v>
      </c>
      <c r="F873" s="4">
        <v>2</v>
      </c>
      <c r="G873" s="5">
        <v>40</v>
      </c>
      <c r="H873" s="4">
        <v>0</v>
      </c>
    </row>
    <row r="874" spans="1:8" x14ac:dyDescent="0.2">
      <c r="A874" s="2" t="s">
        <v>67</v>
      </c>
      <c r="B874" s="4">
        <v>0</v>
      </c>
      <c r="C874" s="5">
        <v>0</v>
      </c>
      <c r="D874" s="4">
        <v>0</v>
      </c>
      <c r="E874" s="5">
        <v>0</v>
      </c>
      <c r="F874" s="4">
        <v>0</v>
      </c>
      <c r="G874" s="5">
        <v>0</v>
      </c>
      <c r="H874" s="4">
        <v>0</v>
      </c>
    </row>
    <row r="875" spans="1:8" x14ac:dyDescent="0.2">
      <c r="A875" s="2" t="s">
        <v>68</v>
      </c>
      <c r="B875" s="4">
        <v>0</v>
      </c>
      <c r="C875" s="5">
        <v>0</v>
      </c>
      <c r="D875" s="4">
        <v>0</v>
      </c>
      <c r="E875" s="5">
        <v>0</v>
      </c>
      <c r="F875" s="4">
        <v>0</v>
      </c>
      <c r="G875" s="5">
        <v>0</v>
      </c>
      <c r="H875" s="4">
        <v>0</v>
      </c>
    </row>
    <row r="876" spans="1:8" x14ac:dyDescent="0.2">
      <c r="A876" s="2" t="s">
        <v>69</v>
      </c>
      <c r="B876" s="4">
        <v>0</v>
      </c>
      <c r="C876" s="5">
        <v>0</v>
      </c>
      <c r="D876" s="4">
        <v>0</v>
      </c>
      <c r="E876" s="5">
        <v>0</v>
      </c>
      <c r="F876" s="4">
        <v>0</v>
      </c>
      <c r="G876" s="5">
        <v>0</v>
      </c>
      <c r="H876" s="4">
        <v>0</v>
      </c>
    </row>
    <row r="877" spans="1:8" x14ac:dyDescent="0.2">
      <c r="A877" s="2" t="s">
        <v>70</v>
      </c>
      <c r="B877" s="4">
        <v>2</v>
      </c>
      <c r="C877" s="5">
        <v>22.22</v>
      </c>
      <c r="D877" s="4">
        <v>2</v>
      </c>
      <c r="E877" s="5">
        <v>66.67</v>
      </c>
      <c r="F877" s="4">
        <v>0</v>
      </c>
      <c r="G877" s="5">
        <v>0</v>
      </c>
      <c r="H877" s="4">
        <v>0</v>
      </c>
    </row>
    <row r="878" spans="1:8" x14ac:dyDescent="0.2">
      <c r="A878" s="2" t="s">
        <v>71</v>
      </c>
      <c r="B878" s="4">
        <v>0</v>
      </c>
      <c r="C878" s="5">
        <v>0</v>
      </c>
      <c r="D878" s="4">
        <v>0</v>
      </c>
      <c r="E878" s="5">
        <v>0</v>
      </c>
      <c r="F878" s="4">
        <v>0</v>
      </c>
      <c r="G878" s="5">
        <v>0</v>
      </c>
      <c r="H878" s="4">
        <v>0</v>
      </c>
    </row>
    <row r="879" spans="1:8" x14ac:dyDescent="0.2">
      <c r="A879" s="2" t="s">
        <v>72</v>
      </c>
      <c r="B879" s="4">
        <v>0</v>
      </c>
      <c r="C879" s="5">
        <v>0</v>
      </c>
      <c r="D879" s="4">
        <v>0</v>
      </c>
      <c r="E879" s="5">
        <v>0</v>
      </c>
      <c r="F879" s="4">
        <v>0</v>
      </c>
      <c r="G879" s="5">
        <v>0</v>
      </c>
      <c r="H879" s="4">
        <v>0</v>
      </c>
    </row>
    <row r="880" spans="1:8" x14ac:dyDescent="0.2">
      <c r="A880" s="2" t="s">
        <v>73</v>
      </c>
      <c r="B880" s="4">
        <v>1</v>
      </c>
      <c r="C880" s="5">
        <v>11.11</v>
      </c>
      <c r="D880" s="4">
        <v>0</v>
      </c>
      <c r="E880" s="5">
        <v>0</v>
      </c>
      <c r="F880" s="4">
        <v>0</v>
      </c>
      <c r="G880" s="5">
        <v>0</v>
      </c>
      <c r="H880" s="4">
        <v>0</v>
      </c>
    </row>
    <row r="881" spans="1:8" x14ac:dyDescent="0.2">
      <c r="A881" s="2" t="s">
        <v>74</v>
      </c>
      <c r="B881" s="4">
        <v>0</v>
      </c>
      <c r="C881" s="5">
        <v>0</v>
      </c>
      <c r="D881" s="4">
        <v>0</v>
      </c>
      <c r="E881" s="5">
        <v>0</v>
      </c>
      <c r="F881" s="4">
        <v>0</v>
      </c>
      <c r="G881" s="5">
        <v>0</v>
      </c>
      <c r="H881" s="4">
        <v>0</v>
      </c>
    </row>
    <row r="882" spans="1:8" x14ac:dyDescent="0.2">
      <c r="A882" s="1" t="s">
        <v>55</v>
      </c>
      <c r="B882" s="4">
        <v>3</v>
      </c>
      <c r="C882" s="5">
        <v>100</v>
      </c>
      <c r="D882" s="4">
        <v>0</v>
      </c>
      <c r="E882" s="5"/>
      <c r="F882" s="4">
        <v>3</v>
      </c>
      <c r="G882" s="5">
        <v>100</v>
      </c>
      <c r="H882" s="4">
        <v>0</v>
      </c>
    </row>
    <row r="883" spans="1:8" x14ac:dyDescent="0.2">
      <c r="A883" s="2" t="s">
        <v>60</v>
      </c>
      <c r="B883" s="4">
        <v>0</v>
      </c>
      <c r="C883" s="5">
        <v>0</v>
      </c>
      <c r="D883" s="4">
        <v>0</v>
      </c>
      <c r="E883" s="5"/>
      <c r="F883" s="4">
        <v>0</v>
      </c>
      <c r="G883" s="5">
        <v>0</v>
      </c>
      <c r="H883" s="4">
        <v>0</v>
      </c>
    </row>
    <row r="884" spans="1:8" x14ac:dyDescent="0.2">
      <c r="A884" s="2" t="s">
        <v>61</v>
      </c>
      <c r="B884" s="4">
        <v>2</v>
      </c>
      <c r="C884" s="5">
        <v>66.67</v>
      </c>
      <c r="D884" s="4">
        <v>0</v>
      </c>
      <c r="E884" s="5"/>
      <c r="F884" s="4">
        <v>2</v>
      </c>
      <c r="G884" s="5">
        <v>66.67</v>
      </c>
      <c r="H884" s="4">
        <v>0</v>
      </c>
    </row>
    <row r="885" spans="1:8" x14ac:dyDescent="0.2">
      <c r="A885" s="2" t="s">
        <v>62</v>
      </c>
      <c r="B885" s="4">
        <v>1</v>
      </c>
      <c r="C885" s="5">
        <v>33.33</v>
      </c>
      <c r="D885" s="4">
        <v>0</v>
      </c>
      <c r="E885" s="5"/>
      <c r="F885" s="4">
        <v>1</v>
      </c>
      <c r="G885" s="5">
        <v>33.33</v>
      </c>
      <c r="H885" s="4">
        <v>0</v>
      </c>
    </row>
    <row r="886" spans="1:8" x14ac:dyDescent="0.2">
      <c r="A886" s="2" t="s">
        <v>63</v>
      </c>
      <c r="B886" s="4">
        <v>0</v>
      </c>
      <c r="C886" s="5">
        <v>0</v>
      </c>
      <c r="D886" s="4">
        <v>0</v>
      </c>
      <c r="E886" s="5"/>
      <c r="F886" s="4">
        <v>0</v>
      </c>
      <c r="G886" s="5">
        <v>0</v>
      </c>
      <c r="H886" s="4">
        <v>0</v>
      </c>
    </row>
    <row r="887" spans="1:8" x14ac:dyDescent="0.2">
      <c r="A887" s="2" t="s">
        <v>64</v>
      </c>
      <c r="B887" s="4">
        <v>0</v>
      </c>
      <c r="C887" s="5">
        <v>0</v>
      </c>
      <c r="D887" s="4">
        <v>0</v>
      </c>
      <c r="E887" s="5"/>
      <c r="F887" s="4">
        <v>0</v>
      </c>
      <c r="G887" s="5">
        <v>0</v>
      </c>
      <c r="H887" s="4">
        <v>0</v>
      </c>
    </row>
    <row r="888" spans="1:8" x14ac:dyDescent="0.2">
      <c r="A888" s="2" t="s">
        <v>65</v>
      </c>
      <c r="B888" s="4">
        <v>0</v>
      </c>
      <c r="C888" s="5">
        <v>0</v>
      </c>
      <c r="D888" s="4">
        <v>0</v>
      </c>
      <c r="E888" s="5"/>
      <c r="F888" s="4">
        <v>0</v>
      </c>
      <c r="G888" s="5">
        <v>0</v>
      </c>
      <c r="H888" s="4">
        <v>0</v>
      </c>
    </row>
    <row r="889" spans="1:8" x14ac:dyDescent="0.2">
      <c r="A889" s="2" t="s">
        <v>66</v>
      </c>
      <c r="B889" s="4">
        <v>0</v>
      </c>
      <c r="C889" s="5">
        <v>0</v>
      </c>
      <c r="D889" s="4">
        <v>0</v>
      </c>
      <c r="E889" s="5"/>
      <c r="F889" s="4">
        <v>0</v>
      </c>
      <c r="G889" s="5">
        <v>0</v>
      </c>
      <c r="H889" s="4">
        <v>0</v>
      </c>
    </row>
    <row r="890" spans="1:8" x14ac:dyDescent="0.2">
      <c r="A890" s="2" t="s">
        <v>67</v>
      </c>
      <c r="B890" s="4">
        <v>0</v>
      </c>
      <c r="C890" s="5">
        <v>0</v>
      </c>
      <c r="D890" s="4">
        <v>0</v>
      </c>
      <c r="E890" s="5"/>
      <c r="F890" s="4">
        <v>0</v>
      </c>
      <c r="G890" s="5">
        <v>0</v>
      </c>
      <c r="H890" s="4">
        <v>0</v>
      </c>
    </row>
    <row r="891" spans="1:8" x14ac:dyDescent="0.2">
      <c r="A891" s="2" t="s">
        <v>68</v>
      </c>
      <c r="B891" s="4">
        <v>0</v>
      </c>
      <c r="C891" s="5">
        <v>0</v>
      </c>
      <c r="D891" s="4">
        <v>0</v>
      </c>
      <c r="E891" s="5"/>
      <c r="F891" s="4">
        <v>0</v>
      </c>
      <c r="G891" s="5">
        <v>0</v>
      </c>
      <c r="H891" s="4">
        <v>0</v>
      </c>
    </row>
    <row r="892" spans="1:8" x14ac:dyDescent="0.2">
      <c r="A892" s="2" t="s">
        <v>69</v>
      </c>
      <c r="B892" s="4">
        <v>0</v>
      </c>
      <c r="C892" s="5">
        <v>0</v>
      </c>
      <c r="D892" s="4">
        <v>0</v>
      </c>
      <c r="E892" s="5"/>
      <c r="F892" s="4">
        <v>0</v>
      </c>
      <c r="G892" s="5">
        <v>0</v>
      </c>
      <c r="H892" s="4">
        <v>0</v>
      </c>
    </row>
    <row r="893" spans="1:8" x14ac:dyDescent="0.2">
      <c r="A893" s="2" t="s">
        <v>70</v>
      </c>
      <c r="B893" s="4">
        <v>0</v>
      </c>
      <c r="C893" s="5">
        <v>0</v>
      </c>
      <c r="D893" s="4">
        <v>0</v>
      </c>
      <c r="E893" s="5"/>
      <c r="F893" s="4">
        <v>0</v>
      </c>
      <c r="G893" s="5">
        <v>0</v>
      </c>
      <c r="H893" s="4">
        <v>0</v>
      </c>
    </row>
    <row r="894" spans="1:8" x14ac:dyDescent="0.2">
      <c r="A894" s="2" t="s">
        <v>71</v>
      </c>
      <c r="B894" s="4">
        <v>0</v>
      </c>
      <c r="C894" s="5">
        <v>0</v>
      </c>
      <c r="D894" s="4">
        <v>0</v>
      </c>
      <c r="E894" s="5"/>
      <c r="F894" s="4">
        <v>0</v>
      </c>
      <c r="G894" s="5">
        <v>0</v>
      </c>
      <c r="H894" s="4">
        <v>0</v>
      </c>
    </row>
    <row r="895" spans="1:8" x14ac:dyDescent="0.2">
      <c r="A895" s="2" t="s">
        <v>72</v>
      </c>
      <c r="B895" s="4">
        <v>0</v>
      </c>
      <c r="C895" s="5">
        <v>0</v>
      </c>
      <c r="D895" s="4">
        <v>0</v>
      </c>
      <c r="E895" s="5"/>
      <c r="F895" s="4">
        <v>0</v>
      </c>
      <c r="G895" s="5">
        <v>0</v>
      </c>
      <c r="H895" s="4">
        <v>0</v>
      </c>
    </row>
    <row r="896" spans="1:8" x14ac:dyDescent="0.2">
      <c r="A896" s="2" t="s">
        <v>73</v>
      </c>
      <c r="B896" s="4">
        <v>0</v>
      </c>
      <c r="C896" s="5">
        <v>0</v>
      </c>
      <c r="D896" s="4">
        <v>0</v>
      </c>
      <c r="E896" s="5"/>
      <c r="F896" s="4">
        <v>0</v>
      </c>
      <c r="G896" s="5">
        <v>0</v>
      </c>
      <c r="H896" s="4">
        <v>0</v>
      </c>
    </row>
    <row r="897" spans="1:8" x14ac:dyDescent="0.2">
      <c r="A897" s="2" t="s">
        <v>74</v>
      </c>
      <c r="B897" s="4">
        <v>0</v>
      </c>
      <c r="C897" s="5">
        <v>0</v>
      </c>
      <c r="D897" s="4">
        <v>0</v>
      </c>
      <c r="E897" s="5"/>
      <c r="F897" s="4">
        <v>0</v>
      </c>
      <c r="G897" s="5">
        <v>0</v>
      </c>
      <c r="H897" s="4">
        <v>0</v>
      </c>
    </row>
    <row r="898" spans="1:8" x14ac:dyDescent="0.2">
      <c r="A898" s="1" t="s">
        <v>56</v>
      </c>
      <c r="B898" s="4">
        <v>45</v>
      </c>
      <c r="C898" s="5">
        <v>99.99</v>
      </c>
      <c r="D898" s="4">
        <v>14</v>
      </c>
      <c r="E898" s="5">
        <v>100</v>
      </c>
      <c r="F898" s="4">
        <v>31</v>
      </c>
      <c r="G898" s="5">
        <v>100.02000000000001</v>
      </c>
      <c r="H898" s="4">
        <v>0</v>
      </c>
    </row>
    <row r="899" spans="1:8" x14ac:dyDescent="0.2">
      <c r="A899" s="2" t="s">
        <v>60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61</v>
      </c>
      <c r="B900" s="4">
        <v>14</v>
      </c>
      <c r="C900" s="5">
        <v>31.11</v>
      </c>
      <c r="D900" s="4">
        <v>1</v>
      </c>
      <c r="E900" s="5">
        <v>7.14</v>
      </c>
      <c r="F900" s="4">
        <v>13</v>
      </c>
      <c r="G900" s="5">
        <v>41.94</v>
      </c>
      <c r="H900" s="4">
        <v>0</v>
      </c>
    </row>
    <row r="901" spans="1:8" x14ac:dyDescent="0.2">
      <c r="A901" s="2" t="s">
        <v>62</v>
      </c>
      <c r="B901" s="4">
        <v>5</v>
      </c>
      <c r="C901" s="5">
        <v>11.11</v>
      </c>
      <c r="D901" s="4">
        <v>0</v>
      </c>
      <c r="E901" s="5">
        <v>0</v>
      </c>
      <c r="F901" s="4">
        <v>5</v>
      </c>
      <c r="G901" s="5">
        <v>16.13</v>
      </c>
      <c r="H901" s="4">
        <v>0</v>
      </c>
    </row>
    <row r="902" spans="1:8" x14ac:dyDescent="0.2">
      <c r="A902" s="2" t="s">
        <v>63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2">
      <c r="A903" s="2" t="s">
        <v>64</v>
      </c>
      <c r="B903" s="4">
        <v>2</v>
      </c>
      <c r="C903" s="5">
        <v>4.4400000000000004</v>
      </c>
      <c r="D903" s="4">
        <v>0</v>
      </c>
      <c r="E903" s="5">
        <v>0</v>
      </c>
      <c r="F903" s="4">
        <v>2</v>
      </c>
      <c r="G903" s="5">
        <v>6.45</v>
      </c>
      <c r="H903" s="4">
        <v>0</v>
      </c>
    </row>
    <row r="904" spans="1:8" x14ac:dyDescent="0.2">
      <c r="A904" s="2" t="s">
        <v>65</v>
      </c>
      <c r="B904" s="4">
        <v>0</v>
      </c>
      <c r="C904" s="5">
        <v>0</v>
      </c>
      <c r="D904" s="4">
        <v>0</v>
      </c>
      <c r="E904" s="5">
        <v>0</v>
      </c>
      <c r="F904" s="4">
        <v>0</v>
      </c>
      <c r="G904" s="5">
        <v>0</v>
      </c>
      <c r="H904" s="4">
        <v>0</v>
      </c>
    </row>
    <row r="905" spans="1:8" x14ac:dyDescent="0.2">
      <c r="A905" s="2" t="s">
        <v>66</v>
      </c>
      <c r="B905" s="4">
        <v>7</v>
      </c>
      <c r="C905" s="5">
        <v>15.56</v>
      </c>
      <c r="D905" s="4">
        <v>4</v>
      </c>
      <c r="E905" s="5">
        <v>28.57</v>
      </c>
      <c r="F905" s="4">
        <v>3</v>
      </c>
      <c r="G905" s="5">
        <v>9.68</v>
      </c>
      <c r="H905" s="4">
        <v>0</v>
      </c>
    </row>
    <row r="906" spans="1:8" x14ac:dyDescent="0.2">
      <c r="A906" s="2" t="s">
        <v>67</v>
      </c>
      <c r="B906" s="4">
        <v>0</v>
      </c>
      <c r="C906" s="5">
        <v>0</v>
      </c>
      <c r="D906" s="4">
        <v>0</v>
      </c>
      <c r="E906" s="5">
        <v>0</v>
      </c>
      <c r="F906" s="4">
        <v>0</v>
      </c>
      <c r="G906" s="5">
        <v>0</v>
      </c>
      <c r="H906" s="4">
        <v>0</v>
      </c>
    </row>
    <row r="907" spans="1:8" x14ac:dyDescent="0.2">
      <c r="A907" s="2" t="s">
        <v>68</v>
      </c>
      <c r="B907" s="4">
        <v>1</v>
      </c>
      <c r="C907" s="5">
        <v>2.2200000000000002</v>
      </c>
      <c r="D907" s="4">
        <v>0</v>
      </c>
      <c r="E907" s="5">
        <v>0</v>
      </c>
      <c r="F907" s="4">
        <v>1</v>
      </c>
      <c r="G907" s="5">
        <v>3.23</v>
      </c>
      <c r="H907" s="4">
        <v>0</v>
      </c>
    </row>
    <row r="908" spans="1:8" x14ac:dyDescent="0.2">
      <c r="A908" s="2" t="s">
        <v>69</v>
      </c>
      <c r="B908" s="4">
        <v>1</v>
      </c>
      <c r="C908" s="5">
        <v>2.2200000000000002</v>
      </c>
      <c r="D908" s="4">
        <v>0</v>
      </c>
      <c r="E908" s="5">
        <v>0</v>
      </c>
      <c r="F908" s="4">
        <v>1</v>
      </c>
      <c r="G908" s="5">
        <v>3.23</v>
      </c>
      <c r="H908" s="4">
        <v>0</v>
      </c>
    </row>
    <row r="909" spans="1:8" x14ac:dyDescent="0.2">
      <c r="A909" s="2" t="s">
        <v>70</v>
      </c>
      <c r="B909" s="4">
        <v>8</v>
      </c>
      <c r="C909" s="5">
        <v>17.78</v>
      </c>
      <c r="D909" s="4">
        <v>6</v>
      </c>
      <c r="E909" s="5">
        <v>42.86</v>
      </c>
      <c r="F909" s="4">
        <v>2</v>
      </c>
      <c r="G909" s="5">
        <v>6.45</v>
      </c>
      <c r="H909" s="4">
        <v>0</v>
      </c>
    </row>
    <row r="910" spans="1:8" x14ac:dyDescent="0.2">
      <c r="A910" s="2" t="s">
        <v>71</v>
      </c>
      <c r="B910" s="4">
        <v>1</v>
      </c>
      <c r="C910" s="5">
        <v>2.2200000000000002</v>
      </c>
      <c r="D910" s="4">
        <v>0</v>
      </c>
      <c r="E910" s="5">
        <v>0</v>
      </c>
      <c r="F910" s="4">
        <v>1</v>
      </c>
      <c r="G910" s="5">
        <v>3.23</v>
      </c>
      <c r="H910" s="4">
        <v>0</v>
      </c>
    </row>
    <row r="911" spans="1:8" x14ac:dyDescent="0.2">
      <c r="A911" s="2" t="s">
        <v>72</v>
      </c>
      <c r="B911" s="4">
        <v>0</v>
      </c>
      <c r="C911" s="5">
        <v>0</v>
      </c>
      <c r="D911" s="4">
        <v>0</v>
      </c>
      <c r="E911" s="5">
        <v>0</v>
      </c>
      <c r="F911" s="4">
        <v>0</v>
      </c>
      <c r="G911" s="5">
        <v>0</v>
      </c>
      <c r="H911" s="4">
        <v>0</v>
      </c>
    </row>
    <row r="912" spans="1:8" x14ac:dyDescent="0.2">
      <c r="A912" s="2" t="s">
        <v>73</v>
      </c>
      <c r="B912" s="4">
        <v>1</v>
      </c>
      <c r="C912" s="5">
        <v>2.2200000000000002</v>
      </c>
      <c r="D912" s="4">
        <v>1</v>
      </c>
      <c r="E912" s="5">
        <v>7.14</v>
      </c>
      <c r="F912" s="4">
        <v>0</v>
      </c>
      <c r="G912" s="5">
        <v>0</v>
      </c>
      <c r="H912" s="4">
        <v>0</v>
      </c>
    </row>
    <row r="913" spans="1:8" x14ac:dyDescent="0.2">
      <c r="A913" s="2" t="s">
        <v>74</v>
      </c>
      <c r="B913" s="4">
        <v>5</v>
      </c>
      <c r="C913" s="5">
        <v>11.11</v>
      </c>
      <c r="D913" s="4">
        <v>2</v>
      </c>
      <c r="E913" s="5">
        <v>14.29</v>
      </c>
      <c r="F913" s="4">
        <v>3</v>
      </c>
      <c r="G913" s="5">
        <v>9.68</v>
      </c>
      <c r="H913" s="4">
        <v>0</v>
      </c>
    </row>
    <row r="914" spans="1:8" x14ac:dyDescent="0.2">
      <c r="A914" s="1" t="s">
        <v>57</v>
      </c>
      <c r="B914" s="4">
        <v>12</v>
      </c>
      <c r="C914" s="5">
        <v>99.99</v>
      </c>
      <c r="D914" s="4">
        <v>3</v>
      </c>
      <c r="E914" s="5">
        <v>100</v>
      </c>
      <c r="F914" s="4">
        <v>8</v>
      </c>
      <c r="G914" s="5">
        <v>100</v>
      </c>
      <c r="H914" s="4">
        <v>0</v>
      </c>
    </row>
    <row r="915" spans="1:8" x14ac:dyDescent="0.2">
      <c r="A915" s="2" t="s">
        <v>60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61</v>
      </c>
      <c r="B916" s="4">
        <v>4</v>
      </c>
      <c r="C916" s="5">
        <v>33.33</v>
      </c>
      <c r="D916" s="4">
        <v>0</v>
      </c>
      <c r="E916" s="5">
        <v>0</v>
      </c>
      <c r="F916" s="4">
        <v>4</v>
      </c>
      <c r="G916" s="5">
        <v>50</v>
      </c>
      <c r="H916" s="4">
        <v>0</v>
      </c>
    </row>
    <row r="917" spans="1:8" x14ac:dyDescent="0.2">
      <c r="A917" s="2" t="s">
        <v>62</v>
      </c>
      <c r="B917" s="4">
        <v>2</v>
      </c>
      <c r="C917" s="5">
        <v>16.670000000000002</v>
      </c>
      <c r="D917" s="4">
        <v>0</v>
      </c>
      <c r="E917" s="5">
        <v>0</v>
      </c>
      <c r="F917" s="4">
        <v>2</v>
      </c>
      <c r="G917" s="5">
        <v>25</v>
      </c>
      <c r="H917" s="4">
        <v>0</v>
      </c>
    </row>
    <row r="918" spans="1:8" x14ac:dyDescent="0.2">
      <c r="A918" s="2" t="s">
        <v>63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2">
      <c r="A919" s="2" t="s">
        <v>64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2">
      <c r="A920" s="2" t="s">
        <v>65</v>
      </c>
      <c r="B920" s="4">
        <v>0</v>
      </c>
      <c r="C920" s="5">
        <v>0</v>
      </c>
      <c r="D920" s="4">
        <v>0</v>
      </c>
      <c r="E920" s="5">
        <v>0</v>
      </c>
      <c r="F920" s="4">
        <v>0</v>
      </c>
      <c r="G920" s="5">
        <v>0</v>
      </c>
      <c r="H920" s="4">
        <v>0</v>
      </c>
    </row>
    <row r="921" spans="1:8" x14ac:dyDescent="0.2">
      <c r="A921" s="2" t="s">
        <v>66</v>
      </c>
      <c r="B921" s="4">
        <v>3</v>
      </c>
      <c r="C921" s="5">
        <v>25</v>
      </c>
      <c r="D921" s="4">
        <v>2</v>
      </c>
      <c r="E921" s="5">
        <v>66.67</v>
      </c>
      <c r="F921" s="4">
        <v>1</v>
      </c>
      <c r="G921" s="5">
        <v>12.5</v>
      </c>
      <c r="H921" s="4">
        <v>0</v>
      </c>
    </row>
    <row r="922" spans="1:8" x14ac:dyDescent="0.2">
      <c r="A922" s="2" t="s">
        <v>67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2">
      <c r="A923" s="2" t="s">
        <v>68</v>
      </c>
      <c r="B923" s="4">
        <v>0</v>
      </c>
      <c r="C923" s="5">
        <v>0</v>
      </c>
      <c r="D923" s="4">
        <v>0</v>
      </c>
      <c r="E923" s="5">
        <v>0</v>
      </c>
      <c r="F923" s="4">
        <v>0</v>
      </c>
      <c r="G923" s="5">
        <v>0</v>
      </c>
      <c r="H923" s="4">
        <v>0</v>
      </c>
    </row>
    <row r="924" spans="1:8" x14ac:dyDescent="0.2">
      <c r="A924" s="2" t="s">
        <v>69</v>
      </c>
      <c r="B924" s="4">
        <v>1</v>
      </c>
      <c r="C924" s="5">
        <v>8.33</v>
      </c>
      <c r="D924" s="4">
        <v>0</v>
      </c>
      <c r="E924" s="5">
        <v>0</v>
      </c>
      <c r="F924" s="4">
        <v>1</v>
      </c>
      <c r="G924" s="5">
        <v>12.5</v>
      </c>
      <c r="H924" s="4">
        <v>0</v>
      </c>
    </row>
    <row r="925" spans="1:8" x14ac:dyDescent="0.2">
      <c r="A925" s="2" t="s">
        <v>70</v>
      </c>
      <c r="B925" s="4">
        <v>0</v>
      </c>
      <c r="C925" s="5">
        <v>0</v>
      </c>
      <c r="D925" s="4">
        <v>0</v>
      </c>
      <c r="E925" s="5">
        <v>0</v>
      </c>
      <c r="F925" s="4">
        <v>0</v>
      </c>
      <c r="G925" s="5">
        <v>0</v>
      </c>
      <c r="H925" s="4">
        <v>0</v>
      </c>
    </row>
    <row r="926" spans="1:8" x14ac:dyDescent="0.2">
      <c r="A926" s="2" t="s">
        <v>71</v>
      </c>
      <c r="B926" s="4">
        <v>0</v>
      </c>
      <c r="C926" s="5">
        <v>0</v>
      </c>
      <c r="D926" s="4">
        <v>0</v>
      </c>
      <c r="E926" s="5">
        <v>0</v>
      </c>
      <c r="F926" s="4">
        <v>0</v>
      </c>
      <c r="G926" s="5">
        <v>0</v>
      </c>
      <c r="H926" s="4">
        <v>0</v>
      </c>
    </row>
    <row r="927" spans="1:8" x14ac:dyDescent="0.2">
      <c r="A927" s="2" t="s">
        <v>72</v>
      </c>
      <c r="B927" s="4">
        <v>1</v>
      </c>
      <c r="C927" s="5">
        <v>8.33</v>
      </c>
      <c r="D927" s="4">
        <v>0</v>
      </c>
      <c r="E927" s="5">
        <v>0</v>
      </c>
      <c r="F927" s="4">
        <v>0</v>
      </c>
      <c r="G927" s="5">
        <v>0</v>
      </c>
      <c r="H927" s="4">
        <v>0</v>
      </c>
    </row>
    <row r="928" spans="1:8" x14ac:dyDescent="0.2">
      <c r="A928" s="2" t="s">
        <v>73</v>
      </c>
      <c r="B928" s="4">
        <v>1</v>
      </c>
      <c r="C928" s="5">
        <v>8.33</v>
      </c>
      <c r="D928" s="4">
        <v>1</v>
      </c>
      <c r="E928" s="5">
        <v>33.33</v>
      </c>
      <c r="F928" s="4">
        <v>0</v>
      </c>
      <c r="G928" s="5">
        <v>0</v>
      </c>
      <c r="H928" s="4">
        <v>0</v>
      </c>
    </row>
    <row r="929" spans="1:8" x14ac:dyDescent="0.2">
      <c r="A929" s="2" t="s">
        <v>74</v>
      </c>
      <c r="B929" s="4">
        <v>0</v>
      </c>
      <c r="C929" s="5">
        <v>0</v>
      </c>
      <c r="D929" s="4">
        <v>0</v>
      </c>
      <c r="E929" s="5">
        <v>0</v>
      </c>
      <c r="F929" s="4">
        <v>0</v>
      </c>
      <c r="G929" s="5">
        <v>0</v>
      </c>
      <c r="H929" s="4">
        <v>0</v>
      </c>
    </row>
    <row r="930" spans="1:8" x14ac:dyDescent="0.2">
      <c r="A930" s="1" t="s">
        <v>58</v>
      </c>
      <c r="B930" s="4">
        <v>186</v>
      </c>
      <c r="C930" s="5">
        <v>100.01999999999998</v>
      </c>
      <c r="D930" s="4">
        <v>94</v>
      </c>
      <c r="E930" s="5">
        <v>99.989999999999981</v>
      </c>
      <c r="F930" s="4">
        <v>85</v>
      </c>
      <c r="G930" s="5">
        <v>100</v>
      </c>
      <c r="H930" s="4">
        <v>1</v>
      </c>
    </row>
    <row r="931" spans="1:8" x14ac:dyDescent="0.2">
      <c r="A931" s="2" t="s">
        <v>60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61</v>
      </c>
      <c r="B932" s="4">
        <v>43</v>
      </c>
      <c r="C932" s="5">
        <v>23.12</v>
      </c>
      <c r="D932" s="4">
        <v>10</v>
      </c>
      <c r="E932" s="5">
        <v>10.64</v>
      </c>
      <c r="F932" s="4">
        <v>33</v>
      </c>
      <c r="G932" s="5">
        <v>38.82</v>
      </c>
      <c r="H932" s="4">
        <v>0</v>
      </c>
    </row>
    <row r="933" spans="1:8" x14ac:dyDescent="0.2">
      <c r="A933" s="2" t="s">
        <v>62</v>
      </c>
      <c r="B933" s="4">
        <v>26</v>
      </c>
      <c r="C933" s="5">
        <v>13.98</v>
      </c>
      <c r="D933" s="4">
        <v>9</v>
      </c>
      <c r="E933" s="5">
        <v>9.57</v>
      </c>
      <c r="F933" s="4">
        <v>17</v>
      </c>
      <c r="G933" s="5">
        <v>20</v>
      </c>
      <c r="H933" s="4">
        <v>0</v>
      </c>
    </row>
    <row r="934" spans="1:8" x14ac:dyDescent="0.2">
      <c r="A934" s="2" t="s">
        <v>63</v>
      </c>
      <c r="B934" s="4">
        <v>3</v>
      </c>
      <c r="C934" s="5">
        <v>1.61</v>
      </c>
      <c r="D934" s="4">
        <v>0</v>
      </c>
      <c r="E934" s="5">
        <v>0</v>
      </c>
      <c r="F934" s="4">
        <v>2</v>
      </c>
      <c r="G934" s="5">
        <v>2.35</v>
      </c>
      <c r="H934" s="4">
        <v>0</v>
      </c>
    </row>
    <row r="935" spans="1:8" x14ac:dyDescent="0.2">
      <c r="A935" s="2" t="s">
        <v>64</v>
      </c>
      <c r="B935" s="4">
        <v>1</v>
      </c>
      <c r="C935" s="5">
        <v>0.54</v>
      </c>
      <c r="D935" s="4">
        <v>1</v>
      </c>
      <c r="E935" s="5">
        <v>1.06</v>
      </c>
      <c r="F935" s="4">
        <v>0</v>
      </c>
      <c r="G935" s="5">
        <v>0</v>
      </c>
      <c r="H935" s="4">
        <v>0</v>
      </c>
    </row>
    <row r="936" spans="1:8" x14ac:dyDescent="0.2">
      <c r="A936" s="2" t="s">
        <v>65</v>
      </c>
      <c r="B936" s="4">
        <v>4</v>
      </c>
      <c r="C936" s="5">
        <v>2.15</v>
      </c>
      <c r="D936" s="4">
        <v>0</v>
      </c>
      <c r="E936" s="5">
        <v>0</v>
      </c>
      <c r="F936" s="4">
        <v>3</v>
      </c>
      <c r="G936" s="5">
        <v>3.53</v>
      </c>
      <c r="H936" s="4">
        <v>1</v>
      </c>
    </row>
    <row r="937" spans="1:8" x14ac:dyDescent="0.2">
      <c r="A937" s="2" t="s">
        <v>66</v>
      </c>
      <c r="B937" s="4">
        <v>35</v>
      </c>
      <c r="C937" s="5">
        <v>18.82</v>
      </c>
      <c r="D937" s="4">
        <v>21</v>
      </c>
      <c r="E937" s="5">
        <v>22.34</v>
      </c>
      <c r="F937" s="4">
        <v>14</v>
      </c>
      <c r="G937" s="5">
        <v>16.47</v>
      </c>
      <c r="H937" s="4">
        <v>0</v>
      </c>
    </row>
    <row r="938" spans="1:8" x14ac:dyDescent="0.2">
      <c r="A938" s="2" t="s">
        <v>67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2">
      <c r="A939" s="2" t="s">
        <v>68</v>
      </c>
      <c r="B939" s="4">
        <v>1</v>
      </c>
      <c r="C939" s="5">
        <v>0.54</v>
      </c>
      <c r="D939" s="4">
        <v>0</v>
      </c>
      <c r="E939" s="5">
        <v>0</v>
      </c>
      <c r="F939" s="4">
        <v>1</v>
      </c>
      <c r="G939" s="5">
        <v>1.18</v>
      </c>
      <c r="H939" s="4">
        <v>0</v>
      </c>
    </row>
    <row r="940" spans="1:8" x14ac:dyDescent="0.2">
      <c r="A940" s="2" t="s">
        <v>69</v>
      </c>
      <c r="B940" s="4">
        <v>6</v>
      </c>
      <c r="C940" s="5">
        <v>3.23</v>
      </c>
      <c r="D940" s="4">
        <v>3</v>
      </c>
      <c r="E940" s="5">
        <v>3.19</v>
      </c>
      <c r="F940" s="4">
        <v>3</v>
      </c>
      <c r="G940" s="5">
        <v>3.53</v>
      </c>
      <c r="H940" s="4">
        <v>0</v>
      </c>
    </row>
    <row r="941" spans="1:8" x14ac:dyDescent="0.2">
      <c r="A941" s="2" t="s">
        <v>70</v>
      </c>
      <c r="B941" s="4">
        <v>16</v>
      </c>
      <c r="C941" s="5">
        <v>8.6</v>
      </c>
      <c r="D941" s="4">
        <v>13</v>
      </c>
      <c r="E941" s="5">
        <v>13.83</v>
      </c>
      <c r="F941" s="4">
        <v>3</v>
      </c>
      <c r="G941" s="5">
        <v>3.53</v>
      </c>
      <c r="H941" s="4">
        <v>0</v>
      </c>
    </row>
    <row r="942" spans="1:8" x14ac:dyDescent="0.2">
      <c r="A942" s="2" t="s">
        <v>71</v>
      </c>
      <c r="B942" s="4">
        <v>27</v>
      </c>
      <c r="C942" s="5">
        <v>14.52</v>
      </c>
      <c r="D942" s="4">
        <v>24</v>
      </c>
      <c r="E942" s="5">
        <v>25.53</v>
      </c>
      <c r="F942" s="4">
        <v>2</v>
      </c>
      <c r="G942" s="5">
        <v>2.35</v>
      </c>
      <c r="H942" s="4">
        <v>0</v>
      </c>
    </row>
    <row r="943" spans="1:8" x14ac:dyDescent="0.2">
      <c r="A943" s="2" t="s">
        <v>72</v>
      </c>
      <c r="B943" s="4">
        <v>5</v>
      </c>
      <c r="C943" s="5">
        <v>2.69</v>
      </c>
      <c r="D943" s="4">
        <v>3</v>
      </c>
      <c r="E943" s="5">
        <v>3.19</v>
      </c>
      <c r="F943" s="4">
        <v>0</v>
      </c>
      <c r="G943" s="5">
        <v>0</v>
      </c>
      <c r="H943" s="4">
        <v>0</v>
      </c>
    </row>
    <row r="944" spans="1:8" x14ac:dyDescent="0.2">
      <c r="A944" s="2" t="s">
        <v>73</v>
      </c>
      <c r="B944" s="4">
        <v>9</v>
      </c>
      <c r="C944" s="5">
        <v>4.84</v>
      </c>
      <c r="D944" s="4">
        <v>5</v>
      </c>
      <c r="E944" s="5">
        <v>5.32</v>
      </c>
      <c r="F944" s="4">
        <v>3</v>
      </c>
      <c r="G944" s="5">
        <v>3.53</v>
      </c>
      <c r="H944" s="4">
        <v>0</v>
      </c>
    </row>
    <row r="945" spans="1:8" x14ac:dyDescent="0.2">
      <c r="A945" s="2" t="s">
        <v>74</v>
      </c>
      <c r="B945" s="4">
        <v>10</v>
      </c>
      <c r="C945" s="5">
        <v>5.38</v>
      </c>
      <c r="D945" s="4">
        <v>5</v>
      </c>
      <c r="E945" s="5">
        <v>5.32</v>
      </c>
      <c r="F945" s="4">
        <v>4</v>
      </c>
      <c r="G945" s="5">
        <v>4.71</v>
      </c>
      <c r="H945" s="4">
        <v>0</v>
      </c>
    </row>
    <row r="946" spans="1:8" x14ac:dyDescent="0.2">
      <c r="A946" s="1" t="s">
        <v>59</v>
      </c>
      <c r="B946" s="4">
        <v>30</v>
      </c>
      <c r="C946" s="5">
        <v>100</v>
      </c>
      <c r="D946" s="4">
        <v>13</v>
      </c>
      <c r="E946" s="5">
        <v>99.99</v>
      </c>
      <c r="F946" s="4">
        <v>16</v>
      </c>
      <c r="G946" s="5">
        <v>100</v>
      </c>
      <c r="H946" s="4">
        <v>0</v>
      </c>
    </row>
    <row r="947" spans="1:8" x14ac:dyDescent="0.2">
      <c r="A947" s="2" t="s">
        <v>60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61</v>
      </c>
      <c r="B948" s="4">
        <v>13</v>
      </c>
      <c r="C948" s="5">
        <v>43.33</v>
      </c>
      <c r="D948" s="4">
        <v>7</v>
      </c>
      <c r="E948" s="5">
        <v>53.85</v>
      </c>
      <c r="F948" s="4">
        <v>6</v>
      </c>
      <c r="G948" s="5">
        <v>37.5</v>
      </c>
      <c r="H948" s="4">
        <v>0</v>
      </c>
    </row>
    <row r="949" spans="1:8" x14ac:dyDescent="0.2">
      <c r="A949" s="2" t="s">
        <v>62</v>
      </c>
      <c r="B949" s="4">
        <v>5</v>
      </c>
      <c r="C949" s="5">
        <v>16.670000000000002</v>
      </c>
      <c r="D949" s="4">
        <v>1</v>
      </c>
      <c r="E949" s="5">
        <v>7.69</v>
      </c>
      <c r="F949" s="4">
        <v>4</v>
      </c>
      <c r="G949" s="5">
        <v>25</v>
      </c>
      <c r="H949" s="4">
        <v>0</v>
      </c>
    </row>
    <row r="950" spans="1:8" x14ac:dyDescent="0.2">
      <c r="A950" s="2" t="s">
        <v>63</v>
      </c>
      <c r="B950" s="4">
        <v>0</v>
      </c>
      <c r="C950" s="5">
        <v>0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2">
      <c r="A951" s="2" t="s">
        <v>64</v>
      </c>
      <c r="B951" s="4">
        <v>0</v>
      </c>
      <c r="C951" s="5">
        <v>0</v>
      </c>
      <c r="D951" s="4">
        <v>0</v>
      </c>
      <c r="E951" s="5">
        <v>0</v>
      </c>
      <c r="F951" s="4">
        <v>0</v>
      </c>
      <c r="G951" s="5">
        <v>0</v>
      </c>
      <c r="H951" s="4">
        <v>0</v>
      </c>
    </row>
    <row r="952" spans="1:8" x14ac:dyDescent="0.2">
      <c r="A952" s="2" t="s">
        <v>65</v>
      </c>
      <c r="B952" s="4">
        <v>0</v>
      </c>
      <c r="C952" s="5">
        <v>0</v>
      </c>
      <c r="D952" s="4">
        <v>0</v>
      </c>
      <c r="E952" s="5">
        <v>0</v>
      </c>
      <c r="F952" s="4">
        <v>0</v>
      </c>
      <c r="G952" s="5">
        <v>0</v>
      </c>
      <c r="H952" s="4">
        <v>0</v>
      </c>
    </row>
    <row r="953" spans="1:8" x14ac:dyDescent="0.2">
      <c r="A953" s="2" t="s">
        <v>66</v>
      </c>
      <c r="B953" s="4">
        <v>7</v>
      </c>
      <c r="C953" s="5">
        <v>23.33</v>
      </c>
      <c r="D953" s="4">
        <v>2</v>
      </c>
      <c r="E953" s="5">
        <v>15.38</v>
      </c>
      <c r="F953" s="4">
        <v>5</v>
      </c>
      <c r="G953" s="5">
        <v>31.25</v>
      </c>
      <c r="H953" s="4">
        <v>0</v>
      </c>
    </row>
    <row r="954" spans="1:8" x14ac:dyDescent="0.2">
      <c r="A954" s="2" t="s">
        <v>67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2">
      <c r="A955" s="2" t="s">
        <v>68</v>
      </c>
      <c r="B955" s="4">
        <v>0</v>
      </c>
      <c r="C955" s="5">
        <v>0</v>
      </c>
      <c r="D955" s="4">
        <v>0</v>
      </c>
      <c r="E955" s="5">
        <v>0</v>
      </c>
      <c r="F955" s="4">
        <v>0</v>
      </c>
      <c r="G955" s="5">
        <v>0</v>
      </c>
      <c r="H955" s="4">
        <v>0</v>
      </c>
    </row>
    <row r="956" spans="1:8" x14ac:dyDescent="0.2">
      <c r="A956" s="2" t="s">
        <v>69</v>
      </c>
      <c r="B956" s="4">
        <v>0</v>
      </c>
      <c r="C956" s="5">
        <v>0</v>
      </c>
      <c r="D956" s="4">
        <v>0</v>
      </c>
      <c r="E956" s="5">
        <v>0</v>
      </c>
      <c r="F956" s="4">
        <v>0</v>
      </c>
      <c r="G956" s="5">
        <v>0</v>
      </c>
      <c r="H956" s="4">
        <v>0</v>
      </c>
    </row>
    <row r="957" spans="1:8" x14ac:dyDescent="0.2">
      <c r="A957" s="2" t="s">
        <v>70</v>
      </c>
      <c r="B957" s="4">
        <v>0</v>
      </c>
      <c r="C957" s="5">
        <v>0</v>
      </c>
      <c r="D957" s="4">
        <v>0</v>
      </c>
      <c r="E957" s="5">
        <v>0</v>
      </c>
      <c r="F957" s="4">
        <v>0</v>
      </c>
      <c r="G957" s="5">
        <v>0</v>
      </c>
      <c r="H957" s="4">
        <v>0</v>
      </c>
    </row>
    <row r="958" spans="1:8" x14ac:dyDescent="0.2">
      <c r="A958" s="2" t="s">
        <v>71</v>
      </c>
      <c r="B958" s="4">
        <v>1</v>
      </c>
      <c r="C958" s="5">
        <v>3.33</v>
      </c>
      <c r="D958" s="4">
        <v>1</v>
      </c>
      <c r="E958" s="5">
        <v>7.69</v>
      </c>
      <c r="F958" s="4">
        <v>0</v>
      </c>
      <c r="G958" s="5">
        <v>0</v>
      </c>
      <c r="H958" s="4">
        <v>0</v>
      </c>
    </row>
    <row r="959" spans="1:8" x14ac:dyDescent="0.2">
      <c r="A959" s="2" t="s">
        <v>72</v>
      </c>
      <c r="B959" s="4">
        <v>0</v>
      </c>
      <c r="C959" s="5">
        <v>0</v>
      </c>
      <c r="D959" s="4">
        <v>0</v>
      </c>
      <c r="E959" s="5">
        <v>0</v>
      </c>
      <c r="F959" s="4">
        <v>0</v>
      </c>
      <c r="G959" s="5">
        <v>0</v>
      </c>
      <c r="H959" s="4">
        <v>0</v>
      </c>
    </row>
    <row r="960" spans="1:8" x14ac:dyDescent="0.2">
      <c r="A960" s="2" t="s">
        <v>73</v>
      </c>
      <c r="B960" s="4">
        <v>2</v>
      </c>
      <c r="C960" s="5">
        <v>6.67</v>
      </c>
      <c r="D960" s="4">
        <v>1</v>
      </c>
      <c r="E960" s="5">
        <v>7.69</v>
      </c>
      <c r="F960" s="4">
        <v>0</v>
      </c>
      <c r="G960" s="5">
        <v>0</v>
      </c>
      <c r="H960" s="4">
        <v>0</v>
      </c>
    </row>
    <row r="961" spans="1:8" x14ac:dyDescent="0.2">
      <c r="A961" s="2" t="s">
        <v>74</v>
      </c>
      <c r="B961" s="4">
        <v>2</v>
      </c>
      <c r="C961" s="5">
        <v>6.67</v>
      </c>
      <c r="D961" s="4">
        <v>1</v>
      </c>
      <c r="E961" s="5">
        <v>7.69</v>
      </c>
      <c r="F961" s="4">
        <v>1</v>
      </c>
      <c r="G961" s="5">
        <v>6.25</v>
      </c>
      <c r="H96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AC79-A922-40E4-A07E-BCE480FD7CF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44</v>
      </c>
      <c r="D6" s="8">
        <v>23.91</v>
      </c>
      <c r="E6" s="12">
        <v>17</v>
      </c>
      <c r="F6" s="8">
        <v>18.68</v>
      </c>
      <c r="G6" s="12">
        <v>27</v>
      </c>
      <c r="H6" s="8">
        <v>30.34</v>
      </c>
      <c r="I6" s="12">
        <v>0</v>
      </c>
    </row>
    <row r="7" spans="2:9" ht="15" customHeight="1" x14ac:dyDescent="0.2">
      <c r="B7" t="s">
        <v>62</v>
      </c>
      <c r="C7" s="12">
        <v>13</v>
      </c>
      <c r="D7" s="8">
        <v>7.07</v>
      </c>
      <c r="E7" s="12">
        <v>2</v>
      </c>
      <c r="F7" s="8">
        <v>2.2000000000000002</v>
      </c>
      <c r="G7" s="12">
        <v>11</v>
      </c>
      <c r="H7" s="8">
        <v>12.36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0.54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0.54</v>
      </c>
      <c r="E9" s="12">
        <v>1</v>
      </c>
      <c r="F9" s="8">
        <v>1.1000000000000001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58</v>
      </c>
      <c r="D11" s="8">
        <v>31.52</v>
      </c>
      <c r="E11" s="12">
        <v>32</v>
      </c>
      <c r="F11" s="8">
        <v>35.159999999999997</v>
      </c>
      <c r="G11" s="12">
        <v>26</v>
      </c>
      <c r="H11" s="8">
        <v>29.21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10</v>
      </c>
      <c r="D13" s="8">
        <v>5.43</v>
      </c>
      <c r="E13" s="12">
        <v>4</v>
      </c>
      <c r="F13" s="8">
        <v>4.4000000000000004</v>
      </c>
      <c r="G13" s="12">
        <v>6</v>
      </c>
      <c r="H13" s="8">
        <v>6.74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2.72</v>
      </c>
      <c r="E14" s="12">
        <v>2</v>
      </c>
      <c r="F14" s="8">
        <v>2.2000000000000002</v>
      </c>
      <c r="G14" s="12">
        <v>3</v>
      </c>
      <c r="H14" s="8">
        <v>3.37</v>
      </c>
      <c r="I14" s="12">
        <v>0</v>
      </c>
    </row>
    <row r="15" spans="2:9" ht="15" customHeight="1" x14ac:dyDescent="0.2">
      <c r="B15" t="s">
        <v>70</v>
      </c>
      <c r="C15" s="12">
        <v>11</v>
      </c>
      <c r="D15" s="8">
        <v>5.98</v>
      </c>
      <c r="E15" s="12">
        <v>6</v>
      </c>
      <c r="F15" s="8">
        <v>6.59</v>
      </c>
      <c r="G15" s="12">
        <v>4</v>
      </c>
      <c r="H15" s="8">
        <v>4.49</v>
      </c>
      <c r="I15" s="12">
        <v>0</v>
      </c>
    </row>
    <row r="16" spans="2:9" ht="15" customHeight="1" x14ac:dyDescent="0.2">
      <c r="B16" t="s">
        <v>71</v>
      </c>
      <c r="C16" s="12">
        <v>23</v>
      </c>
      <c r="D16" s="8">
        <v>12.5</v>
      </c>
      <c r="E16" s="12">
        <v>21</v>
      </c>
      <c r="F16" s="8">
        <v>23.08</v>
      </c>
      <c r="G16" s="12">
        <v>2</v>
      </c>
      <c r="H16" s="8">
        <v>2.25</v>
      </c>
      <c r="I16" s="12">
        <v>0</v>
      </c>
    </row>
    <row r="17" spans="2:9" ht="15" customHeight="1" x14ac:dyDescent="0.2">
      <c r="B17" t="s">
        <v>72</v>
      </c>
      <c r="C17" s="12">
        <v>5</v>
      </c>
      <c r="D17" s="8">
        <v>2.72</v>
      </c>
      <c r="E17" s="12">
        <v>2</v>
      </c>
      <c r="F17" s="8">
        <v>2.2000000000000002</v>
      </c>
      <c r="G17" s="12">
        <v>1</v>
      </c>
      <c r="H17" s="8">
        <v>1.1200000000000001</v>
      </c>
      <c r="I17" s="12">
        <v>0</v>
      </c>
    </row>
    <row r="18" spans="2:9" ht="15" customHeight="1" x14ac:dyDescent="0.2">
      <c r="B18" t="s">
        <v>73</v>
      </c>
      <c r="C18" s="12">
        <v>4</v>
      </c>
      <c r="D18" s="8">
        <v>2.17</v>
      </c>
      <c r="E18" s="12">
        <v>1</v>
      </c>
      <c r="F18" s="8">
        <v>1.1000000000000001</v>
      </c>
      <c r="G18" s="12">
        <v>3</v>
      </c>
      <c r="H18" s="8">
        <v>3.37</v>
      </c>
      <c r="I18" s="12">
        <v>0</v>
      </c>
    </row>
    <row r="19" spans="2:9" ht="15" customHeight="1" x14ac:dyDescent="0.2">
      <c r="B19" t="s">
        <v>74</v>
      </c>
      <c r="C19" s="12">
        <v>9</v>
      </c>
      <c r="D19" s="8">
        <v>4.8899999999999997</v>
      </c>
      <c r="E19" s="12">
        <v>3</v>
      </c>
      <c r="F19" s="8">
        <v>3.3</v>
      </c>
      <c r="G19" s="12">
        <v>6</v>
      </c>
      <c r="H19" s="8">
        <v>6.74</v>
      </c>
      <c r="I19" s="12">
        <v>0</v>
      </c>
    </row>
    <row r="20" spans="2:9" ht="15" customHeight="1" x14ac:dyDescent="0.2">
      <c r="B20" s="9" t="s">
        <v>337</v>
      </c>
      <c r="C20" s="12">
        <f>SUM(LTBL_07303[総数／事業所数])</f>
        <v>184</v>
      </c>
      <c r="E20" s="12">
        <f>SUBTOTAL(109,LTBL_07303[個人／事業所数])</f>
        <v>91</v>
      </c>
      <c r="G20" s="12">
        <f>SUBTOTAL(109,LTBL_07303[法人／事業所数])</f>
        <v>89</v>
      </c>
      <c r="I20" s="12">
        <f>SUBTOTAL(109,LTBL_07303[法人以外の団体／事業所数])</f>
        <v>0</v>
      </c>
    </row>
    <row r="21" spans="2:9" ht="15" customHeight="1" x14ac:dyDescent="0.2">
      <c r="E21" s="11">
        <f>LTBL_07303[[#Totals],[個人／事業所数]]/LTBL_07303[[#Totals],[総数／事業所数]]</f>
        <v>0.49456521739130432</v>
      </c>
      <c r="G21" s="11">
        <f>LTBL_07303[[#Totals],[法人／事業所数]]/LTBL_07303[[#Totals],[総数／事業所数]]</f>
        <v>0.48369565217391303</v>
      </c>
      <c r="I21" s="11">
        <f>LTBL_07303[[#Totals],[法人以外の団体／事業所数]]/LTBL_07303[[#Totals],[総数／事業所数]]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91</v>
      </c>
      <c r="C24" s="12">
        <v>23</v>
      </c>
      <c r="D24" s="8">
        <v>12.5</v>
      </c>
      <c r="E24" s="12">
        <v>10</v>
      </c>
      <c r="F24" s="8">
        <v>10.99</v>
      </c>
      <c r="G24" s="12">
        <v>13</v>
      </c>
      <c r="H24" s="8">
        <v>14.61</v>
      </c>
      <c r="I24" s="12">
        <v>0</v>
      </c>
    </row>
    <row r="25" spans="2:9" ht="15" customHeight="1" x14ac:dyDescent="0.2">
      <c r="B25" t="s">
        <v>97</v>
      </c>
      <c r="C25" s="12">
        <v>20</v>
      </c>
      <c r="D25" s="8">
        <v>10.87</v>
      </c>
      <c r="E25" s="12">
        <v>19</v>
      </c>
      <c r="F25" s="8">
        <v>20.88</v>
      </c>
      <c r="G25" s="12">
        <v>1</v>
      </c>
      <c r="H25" s="8">
        <v>1.1200000000000001</v>
      </c>
      <c r="I25" s="12">
        <v>0</v>
      </c>
    </row>
    <row r="26" spans="2:9" ht="15" customHeight="1" x14ac:dyDescent="0.2">
      <c r="B26" t="s">
        <v>84</v>
      </c>
      <c r="C26" s="12">
        <v>18</v>
      </c>
      <c r="D26" s="8">
        <v>9.7799999999999994</v>
      </c>
      <c r="E26" s="12">
        <v>10</v>
      </c>
      <c r="F26" s="8">
        <v>10.99</v>
      </c>
      <c r="G26" s="12">
        <v>8</v>
      </c>
      <c r="H26" s="8">
        <v>8.99</v>
      </c>
      <c r="I26" s="12">
        <v>0</v>
      </c>
    </row>
    <row r="27" spans="2:9" ht="15" customHeight="1" x14ac:dyDescent="0.2">
      <c r="B27" t="s">
        <v>89</v>
      </c>
      <c r="C27" s="12">
        <v>18</v>
      </c>
      <c r="D27" s="8">
        <v>9.7799999999999994</v>
      </c>
      <c r="E27" s="12">
        <v>12</v>
      </c>
      <c r="F27" s="8">
        <v>13.19</v>
      </c>
      <c r="G27" s="12">
        <v>6</v>
      </c>
      <c r="H27" s="8">
        <v>6.74</v>
      </c>
      <c r="I27" s="12">
        <v>0</v>
      </c>
    </row>
    <row r="28" spans="2:9" ht="15" customHeight="1" x14ac:dyDescent="0.2">
      <c r="B28" t="s">
        <v>83</v>
      </c>
      <c r="C28" s="12">
        <v>17</v>
      </c>
      <c r="D28" s="8">
        <v>9.24</v>
      </c>
      <c r="E28" s="12">
        <v>2</v>
      </c>
      <c r="F28" s="8">
        <v>2.2000000000000002</v>
      </c>
      <c r="G28" s="12">
        <v>15</v>
      </c>
      <c r="H28" s="8">
        <v>16.850000000000001</v>
      </c>
      <c r="I28" s="12">
        <v>0</v>
      </c>
    </row>
    <row r="29" spans="2:9" ht="15" customHeight="1" x14ac:dyDescent="0.2">
      <c r="B29" t="s">
        <v>92</v>
      </c>
      <c r="C29" s="12">
        <v>10</v>
      </c>
      <c r="D29" s="8">
        <v>5.43</v>
      </c>
      <c r="E29" s="12">
        <v>4</v>
      </c>
      <c r="F29" s="8">
        <v>4.4000000000000004</v>
      </c>
      <c r="G29" s="12">
        <v>6</v>
      </c>
      <c r="H29" s="8">
        <v>6.74</v>
      </c>
      <c r="I29" s="12">
        <v>0</v>
      </c>
    </row>
    <row r="30" spans="2:9" ht="15" customHeight="1" x14ac:dyDescent="0.2">
      <c r="B30" t="s">
        <v>85</v>
      </c>
      <c r="C30" s="12">
        <v>9</v>
      </c>
      <c r="D30" s="8">
        <v>4.8899999999999997</v>
      </c>
      <c r="E30" s="12">
        <v>5</v>
      </c>
      <c r="F30" s="8">
        <v>5.49</v>
      </c>
      <c r="G30" s="12">
        <v>4</v>
      </c>
      <c r="H30" s="8">
        <v>4.49</v>
      </c>
      <c r="I30" s="12">
        <v>0</v>
      </c>
    </row>
    <row r="31" spans="2:9" ht="15" customHeight="1" x14ac:dyDescent="0.2">
      <c r="B31" t="s">
        <v>96</v>
      </c>
      <c r="C31" s="12">
        <v>7</v>
      </c>
      <c r="D31" s="8">
        <v>3.8</v>
      </c>
      <c r="E31" s="12">
        <v>6</v>
      </c>
      <c r="F31" s="8">
        <v>6.59</v>
      </c>
      <c r="G31" s="12">
        <v>1</v>
      </c>
      <c r="H31" s="8">
        <v>1.1200000000000001</v>
      </c>
      <c r="I31" s="12">
        <v>0</v>
      </c>
    </row>
    <row r="32" spans="2:9" ht="15" customHeight="1" x14ac:dyDescent="0.2">
      <c r="B32" t="s">
        <v>90</v>
      </c>
      <c r="C32" s="12">
        <v>6</v>
      </c>
      <c r="D32" s="8">
        <v>3.26</v>
      </c>
      <c r="E32" s="12">
        <v>4</v>
      </c>
      <c r="F32" s="8">
        <v>4.4000000000000004</v>
      </c>
      <c r="G32" s="12">
        <v>2</v>
      </c>
      <c r="H32" s="8">
        <v>2.25</v>
      </c>
      <c r="I32" s="12">
        <v>0</v>
      </c>
    </row>
    <row r="33" spans="2:9" ht="15" customHeight="1" x14ac:dyDescent="0.2">
      <c r="B33" t="s">
        <v>88</v>
      </c>
      <c r="C33" s="12">
        <v>5</v>
      </c>
      <c r="D33" s="8">
        <v>2.72</v>
      </c>
      <c r="E33" s="12">
        <v>4</v>
      </c>
      <c r="F33" s="8">
        <v>4.4000000000000004</v>
      </c>
      <c r="G33" s="12">
        <v>1</v>
      </c>
      <c r="H33" s="8">
        <v>1.1200000000000001</v>
      </c>
      <c r="I33" s="12">
        <v>0</v>
      </c>
    </row>
    <row r="34" spans="2:9" ht="15" customHeight="1" x14ac:dyDescent="0.2">
      <c r="B34" t="s">
        <v>99</v>
      </c>
      <c r="C34" s="12">
        <v>5</v>
      </c>
      <c r="D34" s="8">
        <v>2.72</v>
      </c>
      <c r="E34" s="12">
        <v>2</v>
      </c>
      <c r="F34" s="8">
        <v>2.2000000000000002</v>
      </c>
      <c r="G34" s="12">
        <v>1</v>
      </c>
      <c r="H34" s="8">
        <v>1.1200000000000001</v>
      </c>
      <c r="I34" s="12">
        <v>0</v>
      </c>
    </row>
    <row r="35" spans="2:9" ht="15" customHeight="1" x14ac:dyDescent="0.2">
      <c r="B35" t="s">
        <v>94</v>
      </c>
      <c r="C35" s="12">
        <v>4</v>
      </c>
      <c r="D35" s="8">
        <v>2.17</v>
      </c>
      <c r="E35" s="12">
        <v>1</v>
      </c>
      <c r="F35" s="8">
        <v>1.1000000000000001</v>
      </c>
      <c r="G35" s="12">
        <v>3</v>
      </c>
      <c r="H35" s="8">
        <v>3.37</v>
      </c>
      <c r="I35" s="12">
        <v>0</v>
      </c>
    </row>
    <row r="36" spans="2:9" ht="15" customHeight="1" x14ac:dyDescent="0.2">
      <c r="B36" t="s">
        <v>113</v>
      </c>
      <c r="C36" s="12">
        <v>4</v>
      </c>
      <c r="D36" s="8">
        <v>2.17</v>
      </c>
      <c r="E36" s="12">
        <v>0</v>
      </c>
      <c r="F36" s="8">
        <v>0</v>
      </c>
      <c r="G36" s="12">
        <v>3</v>
      </c>
      <c r="H36" s="8">
        <v>3.37</v>
      </c>
      <c r="I36" s="12">
        <v>0</v>
      </c>
    </row>
    <row r="37" spans="2:9" ht="15" customHeight="1" x14ac:dyDescent="0.2">
      <c r="B37" t="s">
        <v>102</v>
      </c>
      <c r="C37" s="12">
        <v>4</v>
      </c>
      <c r="D37" s="8">
        <v>2.17</v>
      </c>
      <c r="E37" s="12">
        <v>3</v>
      </c>
      <c r="F37" s="8">
        <v>3.3</v>
      </c>
      <c r="G37" s="12">
        <v>1</v>
      </c>
      <c r="H37" s="8">
        <v>1.1200000000000001</v>
      </c>
      <c r="I37" s="12">
        <v>0</v>
      </c>
    </row>
    <row r="38" spans="2:9" ht="15" customHeight="1" x14ac:dyDescent="0.2">
      <c r="B38" t="s">
        <v>98</v>
      </c>
      <c r="C38" s="12">
        <v>3</v>
      </c>
      <c r="D38" s="8">
        <v>1.63</v>
      </c>
      <c r="E38" s="12">
        <v>2</v>
      </c>
      <c r="F38" s="8">
        <v>2.2000000000000002</v>
      </c>
      <c r="G38" s="12">
        <v>1</v>
      </c>
      <c r="H38" s="8">
        <v>1.1200000000000001</v>
      </c>
      <c r="I38" s="12">
        <v>0</v>
      </c>
    </row>
    <row r="39" spans="2:9" ht="15" customHeight="1" x14ac:dyDescent="0.2">
      <c r="B39" t="s">
        <v>123</v>
      </c>
      <c r="C39" s="12">
        <v>3</v>
      </c>
      <c r="D39" s="8">
        <v>1.63</v>
      </c>
      <c r="E39" s="12">
        <v>0</v>
      </c>
      <c r="F39" s="8">
        <v>0</v>
      </c>
      <c r="G39" s="12">
        <v>3</v>
      </c>
      <c r="H39" s="8">
        <v>3.37</v>
      </c>
      <c r="I39" s="12">
        <v>0</v>
      </c>
    </row>
    <row r="40" spans="2:9" ht="15" customHeight="1" x14ac:dyDescent="0.2">
      <c r="B40" t="s">
        <v>110</v>
      </c>
      <c r="C40" s="12">
        <v>2</v>
      </c>
      <c r="D40" s="8">
        <v>1.0900000000000001</v>
      </c>
      <c r="E40" s="12">
        <v>1</v>
      </c>
      <c r="F40" s="8">
        <v>1.1000000000000001</v>
      </c>
      <c r="G40" s="12">
        <v>1</v>
      </c>
      <c r="H40" s="8">
        <v>1.1200000000000001</v>
      </c>
      <c r="I40" s="12">
        <v>0</v>
      </c>
    </row>
    <row r="41" spans="2:9" ht="15" customHeight="1" x14ac:dyDescent="0.2">
      <c r="B41" t="s">
        <v>121</v>
      </c>
      <c r="C41" s="12">
        <v>2</v>
      </c>
      <c r="D41" s="8">
        <v>1.0900000000000001</v>
      </c>
      <c r="E41" s="12">
        <v>0</v>
      </c>
      <c r="F41" s="8">
        <v>0</v>
      </c>
      <c r="G41" s="12">
        <v>2</v>
      </c>
      <c r="H41" s="8">
        <v>2.25</v>
      </c>
      <c r="I41" s="12">
        <v>0</v>
      </c>
    </row>
    <row r="42" spans="2:9" ht="15" customHeight="1" x14ac:dyDescent="0.2">
      <c r="B42" t="s">
        <v>122</v>
      </c>
      <c r="C42" s="12">
        <v>2</v>
      </c>
      <c r="D42" s="8">
        <v>1.0900000000000001</v>
      </c>
      <c r="E42" s="12">
        <v>1</v>
      </c>
      <c r="F42" s="8">
        <v>1.1000000000000001</v>
      </c>
      <c r="G42" s="12">
        <v>1</v>
      </c>
      <c r="H42" s="8">
        <v>1.1200000000000001</v>
      </c>
      <c r="I42" s="12">
        <v>0</v>
      </c>
    </row>
    <row r="43" spans="2:9" ht="15" customHeight="1" x14ac:dyDescent="0.2">
      <c r="B43" t="s">
        <v>106</v>
      </c>
      <c r="C43" s="12">
        <v>2</v>
      </c>
      <c r="D43" s="8">
        <v>1.0900000000000001</v>
      </c>
      <c r="E43" s="12">
        <v>1</v>
      </c>
      <c r="F43" s="8">
        <v>1.1000000000000001</v>
      </c>
      <c r="G43" s="12">
        <v>1</v>
      </c>
      <c r="H43" s="8">
        <v>1.1200000000000001</v>
      </c>
      <c r="I43" s="12">
        <v>0</v>
      </c>
    </row>
    <row r="44" spans="2:9" ht="15" customHeight="1" x14ac:dyDescent="0.2">
      <c r="B44" t="s">
        <v>87</v>
      </c>
      <c r="C44" s="12">
        <v>2</v>
      </c>
      <c r="D44" s="8">
        <v>1.0900000000000001</v>
      </c>
      <c r="E44" s="12">
        <v>0</v>
      </c>
      <c r="F44" s="8">
        <v>0</v>
      </c>
      <c r="G44" s="12">
        <v>2</v>
      </c>
      <c r="H44" s="8">
        <v>2.25</v>
      </c>
      <c r="I44" s="12">
        <v>0</v>
      </c>
    </row>
    <row r="45" spans="2:9" ht="15" customHeight="1" x14ac:dyDescent="0.2">
      <c r="B45" t="s">
        <v>100</v>
      </c>
      <c r="C45" s="12">
        <v>2</v>
      </c>
      <c r="D45" s="8">
        <v>1.0900000000000001</v>
      </c>
      <c r="E45" s="12">
        <v>1</v>
      </c>
      <c r="F45" s="8">
        <v>1.1000000000000001</v>
      </c>
      <c r="G45" s="12">
        <v>1</v>
      </c>
      <c r="H45" s="8">
        <v>1.1200000000000001</v>
      </c>
      <c r="I45" s="12">
        <v>0</v>
      </c>
    </row>
    <row r="46" spans="2:9" ht="15" customHeight="1" x14ac:dyDescent="0.2">
      <c r="B46" t="s">
        <v>101</v>
      </c>
      <c r="C46" s="12">
        <v>2</v>
      </c>
      <c r="D46" s="8">
        <v>1.0900000000000001</v>
      </c>
      <c r="E46" s="12">
        <v>0</v>
      </c>
      <c r="F46" s="8">
        <v>0</v>
      </c>
      <c r="G46" s="12">
        <v>2</v>
      </c>
      <c r="H46" s="8">
        <v>2.25</v>
      </c>
      <c r="I46" s="12">
        <v>0</v>
      </c>
    </row>
    <row r="47" spans="2:9" ht="15" customHeight="1" x14ac:dyDescent="0.2">
      <c r="B47" t="s">
        <v>108</v>
      </c>
      <c r="C47" s="12">
        <v>2</v>
      </c>
      <c r="D47" s="8">
        <v>1.0900000000000001</v>
      </c>
      <c r="E47" s="12">
        <v>0</v>
      </c>
      <c r="F47" s="8">
        <v>0</v>
      </c>
      <c r="G47" s="12">
        <v>2</v>
      </c>
      <c r="H47" s="8">
        <v>2.25</v>
      </c>
      <c r="I47" s="12">
        <v>0</v>
      </c>
    </row>
    <row r="50" spans="2:9" ht="33" customHeight="1" x14ac:dyDescent="0.2">
      <c r="B50" t="s">
        <v>339</v>
      </c>
      <c r="C50" s="10" t="s">
        <v>76</v>
      </c>
      <c r="D50" s="10" t="s">
        <v>77</v>
      </c>
      <c r="E50" s="10" t="s">
        <v>78</v>
      </c>
      <c r="F50" s="10" t="s">
        <v>79</v>
      </c>
      <c r="G50" s="10" t="s">
        <v>80</v>
      </c>
      <c r="H50" s="10" t="s">
        <v>81</v>
      </c>
      <c r="I50" s="10" t="s">
        <v>82</v>
      </c>
    </row>
    <row r="51" spans="2:9" ht="15" customHeight="1" x14ac:dyDescent="0.2">
      <c r="B51" t="s">
        <v>174</v>
      </c>
      <c r="C51" s="12">
        <v>12</v>
      </c>
      <c r="D51" s="8">
        <v>6.52</v>
      </c>
      <c r="E51" s="12">
        <v>11</v>
      </c>
      <c r="F51" s="8">
        <v>12.09</v>
      </c>
      <c r="G51" s="12">
        <v>1</v>
      </c>
      <c r="H51" s="8">
        <v>1.1200000000000001</v>
      </c>
      <c r="I51" s="12">
        <v>0</v>
      </c>
    </row>
    <row r="52" spans="2:9" ht="15" customHeight="1" x14ac:dyDescent="0.2">
      <c r="B52" t="s">
        <v>158</v>
      </c>
      <c r="C52" s="12">
        <v>6</v>
      </c>
      <c r="D52" s="8">
        <v>3.26</v>
      </c>
      <c r="E52" s="12">
        <v>0</v>
      </c>
      <c r="F52" s="8">
        <v>0</v>
      </c>
      <c r="G52" s="12">
        <v>6</v>
      </c>
      <c r="H52" s="8">
        <v>6.74</v>
      </c>
      <c r="I52" s="12">
        <v>0</v>
      </c>
    </row>
    <row r="53" spans="2:9" ht="15" customHeight="1" x14ac:dyDescent="0.2">
      <c r="B53" t="s">
        <v>202</v>
      </c>
      <c r="C53" s="12">
        <v>6</v>
      </c>
      <c r="D53" s="8">
        <v>3.26</v>
      </c>
      <c r="E53" s="12">
        <v>4</v>
      </c>
      <c r="F53" s="8">
        <v>4.4000000000000004</v>
      </c>
      <c r="G53" s="12">
        <v>2</v>
      </c>
      <c r="H53" s="8">
        <v>2.25</v>
      </c>
      <c r="I53" s="12">
        <v>0</v>
      </c>
    </row>
    <row r="54" spans="2:9" ht="15" customHeight="1" x14ac:dyDescent="0.2">
      <c r="B54" t="s">
        <v>162</v>
      </c>
      <c r="C54" s="12">
        <v>6</v>
      </c>
      <c r="D54" s="8">
        <v>3.26</v>
      </c>
      <c r="E54" s="12">
        <v>4</v>
      </c>
      <c r="F54" s="8">
        <v>4.4000000000000004</v>
      </c>
      <c r="G54" s="12">
        <v>2</v>
      </c>
      <c r="H54" s="8">
        <v>2.25</v>
      </c>
      <c r="I54" s="12">
        <v>0</v>
      </c>
    </row>
    <row r="55" spans="2:9" ht="15" customHeight="1" x14ac:dyDescent="0.2">
      <c r="B55" t="s">
        <v>166</v>
      </c>
      <c r="C55" s="12">
        <v>6</v>
      </c>
      <c r="D55" s="8">
        <v>3.26</v>
      </c>
      <c r="E55" s="12">
        <v>3</v>
      </c>
      <c r="F55" s="8">
        <v>3.3</v>
      </c>
      <c r="G55" s="12">
        <v>3</v>
      </c>
      <c r="H55" s="8">
        <v>3.37</v>
      </c>
      <c r="I55" s="12">
        <v>0</v>
      </c>
    </row>
    <row r="56" spans="2:9" ht="15" customHeight="1" x14ac:dyDescent="0.2">
      <c r="B56" t="s">
        <v>173</v>
      </c>
      <c r="C56" s="12">
        <v>6</v>
      </c>
      <c r="D56" s="8">
        <v>3.26</v>
      </c>
      <c r="E56" s="12">
        <v>6</v>
      </c>
      <c r="F56" s="8">
        <v>6.59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160</v>
      </c>
      <c r="C57" s="12">
        <v>5</v>
      </c>
      <c r="D57" s="8">
        <v>2.72</v>
      </c>
      <c r="E57" s="12">
        <v>0</v>
      </c>
      <c r="F57" s="8">
        <v>0</v>
      </c>
      <c r="G57" s="12">
        <v>5</v>
      </c>
      <c r="H57" s="8">
        <v>5.62</v>
      </c>
      <c r="I57" s="12">
        <v>0</v>
      </c>
    </row>
    <row r="58" spans="2:9" ht="15" customHeight="1" x14ac:dyDescent="0.2">
      <c r="B58" t="s">
        <v>178</v>
      </c>
      <c r="C58" s="12">
        <v>5</v>
      </c>
      <c r="D58" s="8">
        <v>2.72</v>
      </c>
      <c r="E58" s="12">
        <v>3</v>
      </c>
      <c r="F58" s="8">
        <v>3.3</v>
      </c>
      <c r="G58" s="12">
        <v>2</v>
      </c>
      <c r="H58" s="8">
        <v>2.25</v>
      </c>
      <c r="I58" s="12">
        <v>0</v>
      </c>
    </row>
    <row r="59" spans="2:9" ht="15" customHeight="1" x14ac:dyDescent="0.2">
      <c r="B59" t="s">
        <v>208</v>
      </c>
      <c r="C59" s="12">
        <v>5</v>
      </c>
      <c r="D59" s="8">
        <v>2.72</v>
      </c>
      <c r="E59" s="12">
        <v>1</v>
      </c>
      <c r="F59" s="8">
        <v>1.1000000000000001</v>
      </c>
      <c r="G59" s="12">
        <v>4</v>
      </c>
      <c r="H59" s="8">
        <v>4.49</v>
      </c>
      <c r="I59" s="12">
        <v>0</v>
      </c>
    </row>
    <row r="60" spans="2:9" ht="15" customHeight="1" x14ac:dyDescent="0.2">
      <c r="B60" t="s">
        <v>168</v>
      </c>
      <c r="C60" s="12">
        <v>5</v>
      </c>
      <c r="D60" s="8">
        <v>2.72</v>
      </c>
      <c r="E60" s="12">
        <v>3</v>
      </c>
      <c r="F60" s="8">
        <v>3.3</v>
      </c>
      <c r="G60" s="12">
        <v>2</v>
      </c>
      <c r="H60" s="8">
        <v>2.25</v>
      </c>
      <c r="I60" s="12">
        <v>0</v>
      </c>
    </row>
    <row r="61" spans="2:9" ht="15" customHeight="1" x14ac:dyDescent="0.2">
      <c r="B61" t="s">
        <v>207</v>
      </c>
      <c r="C61" s="12">
        <v>4</v>
      </c>
      <c r="D61" s="8">
        <v>2.17</v>
      </c>
      <c r="E61" s="12">
        <v>3</v>
      </c>
      <c r="F61" s="8">
        <v>3.3</v>
      </c>
      <c r="G61" s="12">
        <v>1</v>
      </c>
      <c r="H61" s="8">
        <v>1.1200000000000001</v>
      </c>
      <c r="I61" s="12">
        <v>0</v>
      </c>
    </row>
    <row r="62" spans="2:9" ht="15" customHeight="1" x14ac:dyDescent="0.2">
      <c r="B62" t="s">
        <v>163</v>
      </c>
      <c r="C62" s="12">
        <v>4</v>
      </c>
      <c r="D62" s="8">
        <v>2.17</v>
      </c>
      <c r="E62" s="12">
        <v>3</v>
      </c>
      <c r="F62" s="8">
        <v>3.3</v>
      </c>
      <c r="G62" s="12">
        <v>1</v>
      </c>
      <c r="H62" s="8">
        <v>1.1200000000000001</v>
      </c>
      <c r="I62" s="12">
        <v>0</v>
      </c>
    </row>
    <row r="63" spans="2:9" ht="15" customHeight="1" x14ac:dyDescent="0.2">
      <c r="B63" t="s">
        <v>164</v>
      </c>
      <c r="C63" s="12">
        <v>4</v>
      </c>
      <c r="D63" s="8">
        <v>2.17</v>
      </c>
      <c r="E63" s="12">
        <v>3</v>
      </c>
      <c r="F63" s="8">
        <v>3.3</v>
      </c>
      <c r="G63" s="12">
        <v>1</v>
      </c>
      <c r="H63" s="8">
        <v>1.1200000000000001</v>
      </c>
      <c r="I63" s="12">
        <v>0</v>
      </c>
    </row>
    <row r="64" spans="2:9" ht="15" customHeight="1" x14ac:dyDescent="0.2">
      <c r="B64" t="s">
        <v>165</v>
      </c>
      <c r="C64" s="12">
        <v>4</v>
      </c>
      <c r="D64" s="8">
        <v>2.17</v>
      </c>
      <c r="E64" s="12">
        <v>2</v>
      </c>
      <c r="F64" s="8">
        <v>2.2000000000000002</v>
      </c>
      <c r="G64" s="12">
        <v>2</v>
      </c>
      <c r="H64" s="8">
        <v>2.25</v>
      </c>
      <c r="I64" s="12">
        <v>0</v>
      </c>
    </row>
    <row r="65" spans="2:9" ht="15" customHeight="1" x14ac:dyDescent="0.2">
      <c r="B65" t="s">
        <v>185</v>
      </c>
      <c r="C65" s="12">
        <v>4</v>
      </c>
      <c r="D65" s="8">
        <v>2.17</v>
      </c>
      <c r="E65" s="12">
        <v>2</v>
      </c>
      <c r="F65" s="8">
        <v>2.2000000000000002</v>
      </c>
      <c r="G65" s="12">
        <v>2</v>
      </c>
      <c r="H65" s="8">
        <v>2.25</v>
      </c>
      <c r="I65" s="12">
        <v>0</v>
      </c>
    </row>
    <row r="66" spans="2:9" ht="15" customHeight="1" x14ac:dyDescent="0.2">
      <c r="B66" t="s">
        <v>170</v>
      </c>
      <c r="C66" s="12">
        <v>4</v>
      </c>
      <c r="D66" s="8">
        <v>2.17</v>
      </c>
      <c r="E66" s="12">
        <v>4</v>
      </c>
      <c r="F66" s="8">
        <v>4.4000000000000004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186</v>
      </c>
      <c r="C67" s="12">
        <v>4</v>
      </c>
      <c r="D67" s="8">
        <v>2.17</v>
      </c>
      <c r="E67" s="12">
        <v>0</v>
      </c>
      <c r="F67" s="8">
        <v>0</v>
      </c>
      <c r="G67" s="12">
        <v>3</v>
      </c>
      <c r="H67" s="8">
        <v>3.37</v>
      </c>
      <c r="I67" s="12">
        <v>0</v>
      </c>
    </row>
    <row r="68" spans="2:9" ht="15" customHeight="1" x14ac:dyDescent="0.2">
      <c r="B68" t="s">
        <v>177</v>
      </c>
      <c r="C68" s="12">
        <v>4</v>
      </c>
      <c r="D68" s="8">
        <v>2.17</v>
      </c>
      <c r="E68" s="12">
        <v>3</v>
      </c>
      <c r="F68" s="8">
        <v>3.3</v>
      </c>
      <c r="G68" s="12">
        <v>1</v>
      </c>
      <c r="H68" s="8">
        <v>1.1200000000000001</v>
      </c>
      <c r="I68" s="12">
        <v>0</v>
      </c>
    </row>
    <row r="69" spans="2:9" ht="15" customHeight="1" x14ac:dyDescent="0.2">
      <c r="B69" t="s">
        <v>159</v>
      </c>
      <c r="C69" s="12">
        <v>3</v>
      </c>
      <c r="D69" s="8">
        <v>1.63</v>
      </c>
      <c r="E69" s="12">
        <v>1</v>
      </c>
      <c r="F69" s="8">
        <v>1.1000000000000001</v>
      </c>
      <c r="G69" s="12">
        <v>2</v>
      </c>
      <c r="H69" s="8">
        <v>2.25</v>
      </c>
      <c r="I69" s="12">
        <v>0</v>
      </c>
    </row>
    <row r="70" spans="2:9" ht="15" customHeight="1" x14ac:dyDescent="0.2">
      <c r="B70" t="s">
        <v>195</v>
      </c>
      <c r="C70" s="12">
        <v>3</v>
      </c>
      <c r="D70" s="8">
        <v>1.63</v>
      </c>
      <c r="E70" s="12">
        <v>1</v>
      </c>
      <c r="F70" s="8">
        <v>1.1000000000000001</v>
      </c>
      <c r="G70" s="12">
        <v>2</v>
      </c>
      <c r="H70" s="8">
        <v>2.25</v>
      </c>
      <c r="I70" s="12">
        <v>0</v>
      </c>
    </row>
    <row r="71" spans="2:9" ht="15" customHeight="1" x14ac:dyDescent="0.2">
      <c r="B71" t="s">
        <v>161</v>
      </c>
      <c r="C71" s="12">
        <v>3</v>
      </c>
      <c r="D71" s="8">
        <v>1.63</v>
      </c>
      <c r="E71" s="12">
        <v>1</v>
      </c>
      <c r="F71" s="8">
        <v>1.1000000000000001</v>
      </c>
      <c r="G71" s="12">
        <v>2</v>
      </c>
      <c r="H71" s="8">
        <v>2.25</v>
      </c>
      <c r="I71" s="12">
        <v>0</v>
      </c>
    </row>
    <row r="72" spans="2:9" ht="15" customHeight="1" x14ac:dyDescent="0.2">
      <c r="B72" t="s">
        <v>190</v>
      </c>
      <c r="C72" s="12">
        <v>3</v>
      </c>
      <c r="D72" s="8">
        <v>1.63</v>
      </c>
      <c r="E72" s="12">
        <v>2</v>
      </c>
      <c r="F72" s="8">
        <v>2.2000000000000002</v>
      </c>
      <c r="G72" s="12">
        <v>1</v>
      </c>
      <c r="H72" s="8">
        <v>1.1200000000000001</v>
      </c>
      <c r="I72" s="12">
        <v>0</v>
      </c>
    </row>
    <row r="73" spans="2:9" ht="15" customHeight="1" x14ac:dyDescent="0.2">
      <c r="B73" t="s">
        <v>167</v>
      </c>
      <c r="C73" s="12">
        <v>3</v>
      </c>
      <c r="D73" s="8">
        <v>1.63</v>
      </c>
      <c r="E73" s="12">
        <v>0</v>
      </c>
      <c r="F73" s="8">
        <v>0</v>
      </c>
      <c r="G73" s="12">
        <v>3</v>
      </c>
      <c r="H73" s="8">
        <v>3.37</v>
      </c>
      <c r="I73" s="12">
        <v>0</v>
      </c>
    </row>
    <row r="75" spans="2:9" ht="15" customHeight="1" x14ac:dyDescent="0.2">
      <c r="B75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C218-A5C3-4A7B-80E3-CAA2DC33B5FE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59</v>
      </c>
      <c r="D6" s="8">
        <v>15.49</v>
      </c>
      <c r="E6" s="12">
        <v>26</v>
      </c>
      <c r="F6" s="8">
        <v>10.97</v>
      </c>
      <c r="G6" s="12">
        <v>33</v>
      </c>
      <c r="H6" s="8">
        <v>23.74</v>
      </c>
      <c r="I6" s="12">
        <v>0</v>
      </c>
    </row>
    <row r="7" spans="2:9" ht="15" customHeight="1" x14ac:dyDescent="0.2">
      <c r="B7" t="s">
        <v>62</v>
      </c>
      <c r="C7" s="12">
        <v>46</v>
      </c>
      <c r="D7" s="8">
        <v>12.07</v>
      </c>
      <c r="E7" s="12">
        <v>27</v>
      </c>
      <c r="F7" s="8">
        <v>11.39</v>
      </c>
      <c r="G7" s="12">
        <v>19</v>
      </c>
      <c r="H7" s="8">
        <v>13.67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0.26</v>
      </c>
      <c r="E8" s="12">
        <v>0</v>
      </c>
      <c r="F8" s="8">
        <v>0</v>
      </c>
      <c r="G8" s="12">
        <v>1</v>
      </c>
      <c r="H8" s="8">
        <v>0.72</v>
      </c>
      <c r="I8" s="12">
        <v>0</v>
      </c>
    </row>
    <row r="9" spans="2:9" ht="15" customHeight="1" x14ac:dyDescent="0.2">
      <c r="B9" t="s">
        <v>64</v>
      </c>
      <c r="C9" s="12">
        <v>3</v>
      </c>
      <c r="D9" s="8">
        <v>0.79</v>
      </c>
      <c r="E9" s="12">
        <v>0</v>
      </c>
      <c r="F9" s="8">
        <v>0</v>
      </c>
      <c r="G9" s="12">
        <v>3</v>
      </c>
      <c r="H9" s="8">
        <v>2.16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0.26</v>
      </c>
      <c r="E10" s="12">
        <v>1</v>
      </c>
      <c r="F10" s="8">
        <v>0.42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100</v>
      </c>
      <c r="D11" s="8">
        <v>26.25</v>
      </c>
      <c r="E11" s="12">
        <v>60</v>
      </c>
      <c r="F11" s="8">
        <v>25.32</v>
      </c>
      <c r="G11" s="12">
        <v>40</v>
      </c>
      <c r="H11" s="8">
        <v>28.78</v>
      </c>
      <c r="I11" s="12">
        <v>0</v>
      </c>
    </row>
    <row r="12" spans="2:9" ht="15" customHeight="1" x14ac:dyDescent="0.2">
      <c r="B12" t="s">
        <v>67</v>
      </c>
      <c r="C12" s="12">
        <v>3</v>
      </c>
      <c r="D12" s="8">
        <v>0.79</v>
      </c>
      <c r="E12" s="12">
        <v>1</v>
      </c>
      <c r="F12" s="8">
        <v>0.42</v>
      </c>
      <c r="G12" s="12">
        <v>2</v>
      </c>
      <c r="H12" s="8">
        <v>1.44</v>
      </c>
      <c r="I12" s="12">
        <v>0</v>
      </c>
    </row>
    <row r="13" spans="2:9" ht="15" customHeight="1" x14ac:dyDescent="0.2">
      <c r="B13" t="s">
        <v>68</v>
      </c>
      <c r="C13" s="12">
        <v>42</v>
      </c>
      <c r="D13" s="8">
        <v>11.02</v>
      </c>
      <c r="E13" s="12">
        <v>31</v>
      </c>
      <c r="F13" s="8">
        <v>13.08</v>
      </c>
      <c r="G13" s="12">
        <v>11</v>
      </c>
      <c r="H13" s="8">
        <v>7.91</v>
      </c>
      <c r="I13" s="12">
        <v>0</v>
      </c>
    </row>
    <row r="14" spans="2:9" ht="15" customHeight="1" x14ac:dyDescent="0.2">
      <c r="B14" t="s">
        <v>69</v>
      </c>
      <c r="C14" s="12">
        <v>9</v>
      </c>
      <c r="D14" s="8">
        <v>2.36</v>
      </c>
      <c r="E14" s="12">
        <v>5</v>
      </c>
      <c r="F14" s="8">
        <v>2.11</v>
      </c>
      <c r="G14" s="12">
        <v>4</v>
      </c>
      <c r="H14" s="8">
        <v>2.88</v>
      </c>
      <c r="I14" s="12">
        <v>0</v>
      </c>
    </row>
    <row r="15" spans="2:9" ht="15" customHeight="1" x14ac:dyDescent="0.2">
      <c r="B15" t="s">
        <v>70</v>
      </c>
      <c r="C15" s="12">
        <v>26</v>
      </c>
      <c r="D15" s="8">
        <v>6.82</v>
      </c>
      <c r="E15" s="12">
        <v>22</v>
      </c>
      <c r="F15" s="8">
        <v>9.2799999999999994</v>
      </c>
      <c r="G15" s="12">
        <v>3</v>
      </c>
      <c r="H15" s="8">
        <v>2.16</v>
      </c>
      <c r="I15" s="12">
        <v>0</v>
      </c>
    </row>
    <row r="16" spans="2:9" ht="15" customHeight="1" x14ac:dyDescent="0.2">
      <c r="B16" t="s">
        <v>71</v>
      </c>
      <c r="C16" s="12">
        <v>51</v>
      </c>
      <c r="D16" s="8">
        <v>13.39</v>
      </c>
      <c r="E16" s="12">
        <v>42</v>
      </c>
      <c r="F16" s="8">
        <v>17.72</v>
      </c>
      <c r="G16" s="12">
        <v>8</v>
      </c>
      <c r="H16" s="8">
        <v>5.76</v>
      </c>
      <c r="I16" s="12">
        <v>0</v>
      </c>
    </row>
    <row r="17" spans="2:9" ht="15" customHeight="1" x14ac:dyDescent="0.2">
      <c r="B17" t="s">
        <v>72</v>
      </c>
      <c r="C17" s="12">
        <v>9</v>
      </c>
      <c r="D17" s="8">
        <v>2.36</v>
      </c>
      <c r="E17" s="12">
        <v>7</v>
      </c>
      <c r="F17" s="8">
        <v>2.95</v>
      </c>
      <c r="G17" s="12">
        <v>1</v>
      </c>
      <c r="H17" s="8">
        <v>0.72</v>
      </c>
      <c r="I17" s="12">
        <v>1</v>
      </c>
    </row>
    <row r="18" spans="2:9" ht="15" customHeight="1" x14ac:dyDescent="0.2">
      <c r="B18" t="s">
        <v>73</v>
      </c>
      <c r="C18" s="12">
        <v>12</v>
      </c>
      <c r="D18" s="8">
        <v>3.15</v>
      </c>
      <c r="E18" s="12">
        <v>8</v>
      </c>
      <c r="F18" s="8">
        <v>3.38</v>
      </c>
      <c r="G18" s="12">
        <v>4</v>
      </c>
      <c r="H18" s="8">
        <v>2.88</v>
      </c>
      <c r="I18" s="12">
        <v>0</v>
      </c>
    </row>
    <row r="19" spans="2:9" ht="15" customHeight="1" x14ac:dyDescent="0.2">
      <c r="B19" t="s">
        <v>74</v>
      </c>
      <c r="C19" s="12">
        <v>19</v>
      </c>
      <c r="D19" s="8">
        <v>4.99</v>
      </c>
      <c r="E19" s="12">
        <v>7</v>
      </c>
      <c r="F19" s="8">
        <v>2.95</v>
      </c>
      <c r="G19" s="12">
        <v>10</v>
      </c>
      <c r="H19" s="8">
        <v>7.19</v>
      </c>
      <c r="I19" s="12">
        <v>1</v>
      </c>
    </row>
    <row r="20" spans="2:9" ht="15" customHeight="1" x14ac:dyDescent="0.2">
      <c r="B20" s="9" t="s">
        <v>337</v>
      </c>
      <c r="C20" s="12">
        <f>SUM(LTBL_07308[総数／事業所数])</f>
        <v>381</v>
      </c>
      <c r="E20" s="12">
        <f>SUBTOTAL(109,LTBL_07308[個人／事業所数])</f>
        <v>237</v>
      </c>
      <c r="G20" s="12">
        <f>SUBTOTAL(109,LTBL_07308[法人／事業所数])</f>
        <v>139</v>
      </c>
      <c r="I20" s="12">
        <f>SUBTOTAL(109,LTBL_07308[法人以外の団体／事業所数])</f>
        <v>2</v>
      </c>
    </row>
    <row r="21" spans="2:9" ht="15" customHeight="1" x14ac:dyDescent="0.2">
      <c r="E21" s="11">
        <f>LTBL_07308[[#Totals],[個人／事業所数]]/LTBL_07308[[#Totals],[総数／事業所数]]</f>
        <v>0.62204724409448819</v>
      </c>
      <c r="G21" s="11">
        <f>LTBL_07308[[#Totals],[法人／事業所数]]/LTBL_07308[[#Totals],[総数／事業所数]]</f>
        <v>0.3648293963254593</v>
      </c>
      <c r="I21" s="11">
        <f>LTBL_07308[[#Totals],[法人以外の団体／事業所数]]/LTBL_07308[[#Totals],[総数／事業所数]]</f>
        <v>5.2493438320209973E-3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46</v>
      </c>
      <c r="D24" s="8">
        <v>12.07</v>
      </c>
      <c r="E24" s="12">
        <v>40</v>
      </c>
      <c r="F24" s="8">
        <v>16.88</v>
      </c>
      <c r="G24" s="12">
        <v>6</v>
      </c>
      <c r="H24" s="8">
        <v>4.32</v>
      </c>
      <c r="I24" s="12">
        <v>0</v>
      </c>
    </row>
    <row r="25" spans="2:9" ht="15" customHeight="1" x14ac:dyDescent="0.2">
      <c r="B25" t="s">
        <v>92</v>
      </c>
      <c r="C25" s="12">
        <v>38</v>
      </c>
      <c r="D25" s="8">
        <v>9.9700000000000006</v>
      </c>
      <c r="E25" s="12">
        <v>31</v>
      </c>
      <c r="F25" s="8">
        <v>13.08</v>
      </c>
      <c r="G25" s="12">
        <v>7</v>
      </c>
      <c r="H25" s="8">
        <v>5.04</v>
      </c>
      <c r="I25" s="12">
        <v>0</v>
      </c>
    </row>
    <row r="26" spans="2:9" ht="15" customHeight="1" x14ac:dyDescent="0.2">
      <c r="B26" t="s">
        <v>91</v>
      </c>
      <c r="C26" s="12">
        <v>30</v>
      </c>
      <c r="D26" s="8">
        <v>7.87</v>
      </c>
      <c r="E26" s="12">
        <v>19</v>
      </c>
      <c r="F26" s="8">
        <v>8.02</v>
      </c>
      <c r="G26" s="12">
        <v>11</v>
      </c>
      <c r="H26" s="8">
        <v>7.91</v>
      </c>
      <c r="I26" s="12">
        <v>0</v>
      </c>
    </row>
    <row r="27" spans="2:9" ht="15" customHeight="1" x14ac:dyDescent="0.2">
      <c r="B27" t="s">
        <v>83</v>
      </c>
      <c r="C27" s="12">
        <v>27</v>
      </c>
      <c r="D27" s="8">
        <v>7.09</v>
      </c>
      <c r="E27" s="12">
        <v>8</v>
      </c>
      <c r="F27" s="8">
        <v>3.38</v>
      </c>
      <c r="G27" s="12">
        <v>19</v>
      </c>
      <c r="H27" s="8">
        <v>13.67</v>
      </c>
      <c r="I27" s="12">
        <v>0</v>
      </c>
    </row>
    <row r="28" spans="2:9" ht="15" customHeight="1" x14ac:dyDescent="0.2">
      <c r="B28" t="s">
        <v>96</v>
      </c>
      <c r="C28" s="12">
        <v>21</v>
      </c>
      <c r="D28" s="8">
        <v>5.51</v>
      </c>
      <c r="E28" s="12">
        <v>20</v>
      </c>
      <c r="F28" s="8">
        <v>8.44</v>
      </c>
      <c r="G28" s="12">
        <v>1</v>
      </c>
      <c r="H28" s="8">
        <v>0.72</v>
      </c>
      <c r="I28" s="12">
        <v>0</v>
      </c>
    </row>
    <row r="29" spans="2:9" ht="15" customHeight="1" x14ac:dyDescent="0.2">
      <c r="B29" t="s">
        <v>89</v>
      </c>
      <c r="C29" s="12">
        <v>18</v>
      </c>
      <c r="D29" s="8">
        <v>4.72</v>
      </c>
      <c r="E29" s="12">
        <v>13</v>
      </c>
      <c r="F29" s="8">
        <v>5.49</v>
      </c>
      <c r="G29" s="12">
        <v>5</v>
      </c>
      <c r="H29" s="8">
        <v>3.6</v>
      </c>
      <c r="I29" s="12">
        <v>0</v>
      </c>
    </row>
    <row r="30" spans="2:9" ht="15" customHeight="1" x14ac:dyDescent="0.2">
      <c r="B30" t="s">
        <v>84</v>
      </c>
      <c r="C30" s="12">
        <v>17</v>
      </c>
      <c r="D30" s="8">
        <v>4.46</v>
      </c>
      <c r="E30" s="12">
        <v>10</v>
      </c>
      <c r="F30" s="8">
        <v>4.22</v>
      </c>
      <c r="G30" s="12">
        <v>7</v>
      </c>
      <c r="H30" s="8">
        <v>5.04</v>
      </c>
      <c r="I30" s="12">
        <v>0</v>
      </c>
    </row>
    <row r="31" spans="2:9" ht="15" customHeight="1" x14ac:dyDescent="0.2">
      <c r="B31" t="s">
        <v>88</v>
      </c>
      <c r="C31" s="12">
        <v>17</v>
      </c>
      <c r="D31" s="8">
        <v>4.46</v>
      </c>
      <c r="E31" s="12">
        <v>10</v>
      </c>
      <c r="F31" s="8">
        <v>4.22</v>
      </c>
      <c r="G31" s="12">
        <v>7</v>
      </c>
      <c r="H31" s="8">
        <v>5.04</v>
      </c>
      <c r="I31" s="12">
        <v>0</v>
      </c>
    </row>
    <row r="32" spans="2:9" ht="15" customHeight="1" x14ac:dyDescent="0.2">
      <c r="B32" t="s">
        <v>85</v>
      </c>
      <c r="C32" s="12">
        <v>15</v>
      </c>
      <c r="D32" s="8">
        <v>3.94</v>
      </c>
      <c r="E32" s="12">
        <v>8</v>
      </c>
      <c r="F32" s="8">
        <v>3.38</v>
      </c>
      <c r="G32" s="12">
        <v>7</v>
      </c>
      <c r="H32" s="8">
        <v>5.04</v>
      </c>
      <c r="I32" s="12">
        <v>0</v>
      </c>
    </row>
    <row r="33" spans="2:9" ht="15" customHeight="1" x14ac:dyDescent="0.2">
      <c r="B33" t="s">
        <v>90</v>
      </c>
      <c r="C33" s="12">
        <v>15</v>
      </c>
      <c r="D33" s="8">
        <v>3.94</v>
      </c>
      <c r="E33" s="12">
        <v>9</v>
      </c>
      <c r="F33" s="8">
        <v>3.8</v>
      </c>
      <c r="G33" s="12">
        <v>6</v>
      </c>
      <c r="H33" s="8">
        <v>4.32</v>
      </c>
      <c r="I33" s="12">
        <v>0</v>
      </c>
    </row>
    <row r="34" spans="2:9" ht="15" customHeight="1" x14ac:dyDescent="0.2">
      <c r="B34" t="s">
        <v>122</v>
      </c>
      <c r="C34" s="12">
        <v>10</v>
      </c>
      <c r="D34" s="8">
        <v>2.62</v>
      </c>
      <c r="E34" s="12">
        <v>6</v>
      </c>
      <c r="F34" s="8">
        <v>2.5299999999999998</v>
      </c>
      <c r="G34" s="12">
        <v>4</v>
      </c>
      <c r="H34" s="8">
        <v>2.88</v>
      </c>
      <c r="I34" s="12">
        <v>0</v>
      </c>
    </row>
    <row r="35" spans="2:9" ht="15" customHeight="1" x14ac:dyDescent="0.2">
      <c r="B35" t="s">
        <v>99</v>
      </c>
      <c r="C35" s="12">
        <v>9</v>
      </c>
      <c r="D35" s="8">
        <v>2.36</v>
      </c>
      <c r="E35" s="12">
        <v>7</v>
      </c>
      <c r="F35" s="8">
        <v>2.95</v>
      </c>
      <c r="G35" s="12">
        <v>1</v>
      </c>
      <c r="H35" s="8">
        <v>0.72</v>
      </c>
      <c r="I35" s="12">
        <v>1</v>
      </c>
    </row>
    <row r="36" spans="2:9" ht="15" customHeight="1" x14ac:dyDescent="0.2">
      <c r="B36" t="s">
        <v>100</v>
      </c>
      <c r="C36" s="12">
        <v>8</v>
      </c>
      <c r="D36" s="8">
        <v>2.1</v>
      </c>
      <c r="E36" s="12">
        <v>8</v>
      </c>
      <c r="F36" s="8">
        <v>3.38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102</v>
      </c>
      <c r="C37" s="12">
        <v>8</v>
      </c>
      <c r="D37" s="8">
        <v>2.1</v>
      </c>
      <c r="E37" s="12">
        <v>5</v>
      </c>
      <c r="F37" s="8">
        <v>2.11</v>
      </c>
      <c r="G37" s="12">
        <v>3</v>
      </c>
      <c r="H37" s="8">
        <v>2.16</v>
      </c>
      <c r="I37" s="12">
        <v>0</v>
      </c>
    </row>
    <row r="38" spans="2:9" ht="15" customHeight="1" x14ac:dyDescent="0.2">
      <c r="B38" t="s">
        <v>111</v>
      </c>
      <c r="C38" s="12">
        <v>7</v>
      </c>
      <c r="D38" s="8">
        <v>1.84</v>
      </c>
      <c r="E38" s="12">
        <v>2</v>
      </c>
      <c r="F38" s="8">
        <v>0.84</v>
      </c>
      <c r="G38" s="12">
        <v>5</v>
      </c>
      <c r="H38" s="8">
        <v>3.6</v>
      </c>
      <c r="I38" s="12">
        <v>0</v>
      </c>
    </row>
    <row r="39" spans="2:9" ht="15" customHeight="1" x14ac:dyDescent="0.2">
      <c r="B39" t="s">
        <v>103</v>
      </c>
      <c r="C39" s="12">
        <v>7</v>
      </c>
      <c r="D39" s="8">
        <v>1.84</v>
      </c>
      <c r="E39" s="12">
        <v>2</v>
      </c>
      <c r="F39" s="8">
        <v>0.84</v>
      </c>
      <c r="G39" s="12">
        <v>5</v>
      </c>
      <c r="H39" s="8">
        <v>3.6</v>
      </c>
      <c r="I39" s="12">
        <v>0</v>
      </c>
    </row>
    <row r="40" spans="2:9" ht="15" customHeight="1" x14ac:dyDescent="0.2">
      <c r="B40" t="s">
        <v>108</v>
      </c>
      <c r="C40" s="12">
        <v>7</v>
      </c>
      <c r="D40" s="8">
        <v>1.84</v>
      </c>
      <c r="E40" s="12">
        <v>1</v>
      </c>
      <c r="F40" s="8">
        <v>0.42</v>
      </c>
      <c r="G40" s="12">
        <v>5</v>
      </c>
      <c r="H40" s="8">
        <v>3.6</v>
      </c>
      <c r="I40" s="12">
        <v>1</v>
      </c>
    </row>
    <row r="41" spans="2:9" ht="15" customHeight="1" x14ac:dyDescent="0.2">
      <c r="B41" t="s">
        <v>114</v>
      </c>
      <c r="C41" s="12">
        <v>6</v>
      </c>
      <c r="D41" s="8">
        <v>1.57</v>
      </c>
      <c r="E41" s="12">
        <v>3</v>
      </c>
      <c r="F41" s="8">
        <v>1.27</v>
      </c>
      <c r="G41" s="12">
        <v>3</v>
      </c>
      <c r="H41" s="8">
        <v>2.16</v>
      </c>
      <c r="I41" s="12">
        <v>0</v>
      </c>
    </row>
    <row r="42" spans="2:9" ht="15" customHeight="1" x14ac:dyDescent="0.2">
      <c r="B42" t="s">
        <v>94</v>
      </c>
      <c r="C42" s="12">
        <v>6</v>
      </c>
      <c r="D42" s="8">
        <v>1.57</v>
      </c>
      <c r="E42" s="12">
        <v>3</v>
      </c>
      <c r="F42" s="8">
        <v>1.27</v>
      </c>
      <c r="G42" s="12">
        <v>3</v>
      </c>
      <c r="H42" s="8">
        <v>2.16</v>
      </c>
      <c r="I42" s="12">
        <v>0</v>
      </c>
    </row>
    <row r="43" spans="2:9" ht="15" customHeight="1" x14ac:dyDescent="0.2">
      <c r="B43" t="s">
        <v>86</v>
      </c>
      <c r="C43" s="12">
        <v>5</v>
      </c>
      <c r="D43" s="8">
        <v>1.31</v>
      </c>
      <c r="E43" s="12">
        <v>2</v>
      </c>
      <c r="F43" s="8">
        <v>0.84</v>
      </c>
      <c r="G43" s="12">
        <v>3</v>
      </c>
      <c r="H43" s="8">
        <v>2.16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26</v>
      </c>
      <c r="D47" s="8">
        <v>6.82</v>
      </c>
      <c r="E47" s="12">
        <v>22</v>
      </c>
      <c r="F47" s="8">
        <v>9.2799999999999994</v>
      </c>
      <c r="G47" s="12">
        <v>4</v>
      </c>
      <c r="H47" s="8">
        <v>2.88</v>
      </c>
      <c r="I47" s="12">
        <v>0</v>
      </c>
    </row>
    <row r="48" spans="2:9" ht="15" customHeight="1" x14ac:dyDescent="0.2">
      <c r="B48" t="s">
        <v>174</v>
      </c>
      <c r="C48" s="12">
        <v>24</v>
      </c>
      <c r="D48" s="8">
        <v>6.3</v>
      </c>
      <c r="E48" s="12">
        <v>22</v>
      </c>
      <c r="F48" s="8">
        <v>9.2799999999999994</v>
      </c>
      <c r="G48" s="12">
        <v>2</v>
      </c>
      <c r="H48" s="8">
        <v>1.44</v>
      </c>
      <c r="I48" s="12">
        <v>0</v>
      </c>
    </row>
    <row r="49" spans="2:9" ht="15" customHeight="1" x14ac:dyDescent="0.2">
      <c r="B49" t="s">
        <v>173</v>
      </c>
      <c r="C49" s="12">
        <v>14</v>
      </c>
      <c r="D49" s="8">
        <v>3.67</v>
      </c>
      <c r="E49" s="12">
        <v>14</v>
      </c>
      <c r="F49" s="8">
        <v>5.91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190</v>
      </c>
      <c r="C50" s="12">
        <v>11</v>
      </c>
      <c r="D50" s="8">
        <v>2.89</v>
      </c>
      <c r="E50" s="12">
        <v>8</v>
      </c>
      <c r="F50" s="8">
        <v>3.38</v>
      </c>
      <c r="G50" s="12">
        <v>3</v>
      </c>
      <c r="H50" s="8">
        <v>2.16</v>
      </c>
      <c r="I50" s="12">
        <v>0</v>
      </c>
    </row>
    <row r="51" spans="2:9" ht="15" customHeight="1" x14ac:dyDescent="0.2">
      <c r="B51" t="s">
        <v>209</v>
      </c>
      <c r="C51" s="12">
        <v>10</v>
      </c>
      <c r="D51" s="8">
        <v>2.62</v>
      </c>
      <c r="E51" s="12">
        <v>6</v>
      </c>
      <c r="F51" s="8">
        <v>2.5299999999999998</v>
      </c>
      <c r="G51" s="12">
        <v>4</v>
      </c>
      <c r="H51" s="8">
        <v>2.88</v>
      </c>
      <c r="I51" s="12">
        <v>0</v>
      </c>
    </row>
    <row r="52" spans="2:9" ht="15" customHeight="1" x14ac:dyDescent="0.2">
      <c r="B52" t="s">
        <v>178</v>
      </c>
      <c r="C52" s="12">
        <v>9</v>
      </c>
      <c r="D52" s="8">
        <v>2.36</v>
      </c>
      <c r="E52" s="12">
        <v>7</v>
      </c>
      <c r="F52" s="8">
        <v>2.95</v>
      </c>
      <c r="G52" s="12">
        <v>2</v>
      </c>
      <c r="H52" s="8">
        <v>1.44</v>
      </c>
      <c r="I52" s="12">
        <v>0</v>
      </c>
    </row>
    <row r="53" spans="2:9" ht="15" customHeight="1" x14ac:dyDescent="0.2">
      <c r="B53" t="s">
        <v>160</v>
      </c>
      <c r="C53" s="12">
        <v>8</v>
      </c>
      <c r="D53" s="8">
        <v>2.1</v>
      </c>
      <c r="E53" s="12">
        <v>3</v>
      </c>
      <c r="F53" s="8">
        <v>1.27</v>
      </c>
      <c r="G53" s="12">
        <v>5</v>
      </c>
      <c r="H53" s="8">
        <v>3.6</v>
      </c>
      <c r="I53" s="12">
        <v>0</v>
      </c>
    </row>
    <row r="54" spans="2:9" ht="15" customHeight="1" x14ac:dyDescent="0.2">
      <c r="B54" t="s">
        <v>161</v>
      </c>
      <c r="C54" s="12">
        <v>8</v>
      </c>
      <c r="D54" s="8">
        <v>2.1</v>
      </c>
      <c r="E54" s="12">
        <v>6</v>
      </c>
      <c r="F54" s="8">
        <v>2.5299999999999998</v>
      </c>
      <c r="G54" s="12">
        <v>2</v>
      </c>
      <c r="H54" s="8">
        <v>1.44</v>
      </c>
      <c r="I54" s="12">
        <v>0</v>
      </c>
    </row>
    <row r="55" spans="2:9" ht="15" customHeight="1" x14ac:dyDescent="0.2">
      <c r="B55" t="s">
        <v>164</v>
      </c>
      <c r="C55" s="12">
        <v>8</v>
      </c>
      <c r="D55" s="8">
        <v>2.1</v>
      </c>
      <c r="E55" s="12">
        <v>4</v>
      </c>
      <c r="F55" s="8">
        <v>1.69</v>
      </c>
      <c r="G55" s="12">
        <v>4</v>
      </c>
      <c r="H55" s="8">
        <v>2.88</v>
      </c>
      <c r="I55" s="12">
        <v>0</v>
      </c>
    </row>
    <row r="56" spans="2:9" ht="15" customHeight="1" x14ac:dyDescent="0.2">
      <c r="B56" t="s">
        <v>177</v>
      </c>
      <c r="C56" s="12">
        <v>8</v>
      </c>
      <c r="D56" s="8">
        <v>2.1</v>
      </c>
      <c r="E56" s="12">
        <v>5</v>
      </c>
      <c r="F56" s="8">
        <v>2.11</v>
      </c>
      <c r="G56" s="12">
        <v>3</v>
      </c>
      <c r="H56" s="8">
        <v>2.16</v>
      </c>
      <c r="I56" s="12">
        <v>0</v>
      </c>
    </row>
    <row r="57" spans="2:9" ht="15" customHeight="1" x14ac:dyDescent="0.2">
      <c r="B57" t="s">
        <v>162</v>
      </c>
      <c r="C57" s="12">
        <v>7</v>
      </c>
      <c r="D57" s="8">
        <v>1.84</v>
      </c>
      <c r="E57" s="12">
        <v>2</v>
      </c>
      <c r="F57" s="8">
        <v>0.84</v>
      </c>
      <c r="G57" s="12">
        <v>5</v>
      </c>
      <c r="H57" s="8">
        <v>3.6</v>
      </c>
      <c r="I57" s="12">
        <v>0</v>
      </c>
    </row>
    <row r="58" spans="2:9" ht="15" customHeight="1" x14ac:dyDescent="0.2">
      <c r="B58" t="s">
        <v>198</v>
      </c>
      <c r="C58" s="12">
        <v>6</v>
      </c>
      <c r="D58" s="8">
        <v>1.57</v>
      </c>
      <c r="E58" s="12">
        <v>4</v>
      </c>
      <c r="F58" s="8">
        <v>1.69</v>
      </c>
      <c r="G58" s="12">
        <v>2</v>
      </c>
      <c r="H58" s="8">
        <v>1.44</v>
      </c>
      <c r="I58" s="12">
        <v>0</v>
      </c>
    </row>
    <row r="59" spans="2:9" ht="15" customHeight="1" x14ac:dyDescent="0.2">
      <c r="B59" t="s">
        <v>193</v>
      </c>
      <c r="C59" s="12">
        <v>6</v>
      </c>
      <c r="D59" s="8">
        <v>1.57</v>
      </c>
      <c r="E59" s="12">
        <v>4</v>
      </c>
      <c r="F59" s="8">
        <v>1.69</v>
      </c>
      <c r="G59" s="12">
        <v>2</v>
      </c>
      <c r="H59" s="8">
        <v>1.44</v>
      </c>
      <c r="I59" s="12">
        <v>0</v>
      </c>
    </row>
    <row r="60" spans="2:9" ht="15" customHeight="1" x14ac:dyDescent="0.2">
      <c r="B60" t="s">
        <v>167</v>
      </c>
      <c r="C60" s="12">
        <v>6</v>
      </c>
      <c r="D60" s="8">
        <v>1.57</v>
      </c>
      <c r="E60" s="12">
        <v>3</v>
      </c>
      <c r="F60" s="8">
        <v>1.27</v>
      </c>
      <c r="G60" s="12">
        <v>3</v>
      </c>
      <c r="H60" s="8">
        <v>2.16</v>
      </c>
      <c r="I60" s="12">
        <v>0</v>
      </c>
    </row>
    <row r="61" spans="2:9" ht="15" customHeight="1" x14ac:dyDescent="0.2">
      <c r="B61" t="s">
        <v>171</v>
      </c>
      <c r="C61" s="12">
        <v>6</v>
      </c>
      <c r="D61" s="8">
        <v>1.57</v>
      </c>
      <c r="E61" s="12">
        <v>6</v>
      </c>
      <c r="F61" s="8">
        <v>2.5299999999999998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172</v>
      </c>
      <c r="C62" s="12">
        <v>6</v>
      </c>
      <c r="D62" s="8">
        <v>1.57</v>
      </c>
      <c r="E62" s="12">
        <v>6</v>
      </c>
      <c r="F62" s="8">
        <v>2.5299999999999998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182</v>
      </c>
      <c r="C63" s="12">
        <v>6</v>
      </c>
      <c r="D63" s="8">
        <v>1.57</v>
      </c>
      <c r="E63" s="12">
        <v>3</v>
      </c>
      <c r="F63" s="8">
        <v>1.27</v>
      </c>
      <c r="G63" s="12">
        <v>3</v>
      </c>
      <c r="H63" s="8">
        <v>2.16</v>
      </c>
      <c r="I63" s="12">
        <v>0</v>
      </c>
    </row>
    <row r="64" spans="2:9" ht="15" customHeight="1" x14ac:dyDescent="0.2">
      <c r="B64" t="s">
        <v>211</v>
      </c>
      <c r="C64" s="12">
        <v>6</v>
      </c>
      <c r="D64" s="8">
        <v>1.57</v>
      </c>
      <c r="E64" s="12">
        <v>0</v>
      </c>
      <c r="F64" s="8">
        <v>0</v>
      </c>
      <c r="G64" s="12">
        <v>5</v>
      </c>
      <c r="H64" s="8">
        <v>3.6</v>
      </c>
      <c r="I64" s="12">
        <v>1</v>
      </c>
    </row>
    <row r="65" spans="2:9" ht="15" customHeight="1" x14ac:dyDescent="0.2">
      <c r="B65" t="s">
        <v>158</v>
      </c>
      <c r="C65" s="12">
        <v>5</v>
      </c>
      <c r="D65" s="8">
        <v>1.31</v>
      </c>
      <c r="E65" s="12">
        <v>0</v>
      </c>
      <c r="F65" s="8">
        <v>0</v>
      </c>
      <c r="G65" s="12">
        <v>5</v>
      </c>
      <c r="H65" s="8">
        <v>3.6</v>
      </c>
      <c r="I65" s="12">
        <v>0</v>
      </c>
    </row>
    <row r="66" spans="2:9" ht="15" customHeight="1" x14ac:dyDescent="0.2">
      <c r="B66" t="s">
        <v>159</v>
      </c>
      <c r="C66" s="12">
        <v>5</v>
      </c>
      <c r="D66" s="8">
        <v>1.31</v>
      </c>
      <c r="E66" s="12">
        <v>1</v>
      </c>
      <c r="F66" s="8">
        <v>0.42</v>
      </c>
      <c r="G66" s="12">
        <v>4</v>
      </c>
      <c r="H66" s="8">
        <v>2.88</v>
      </c>
      <c r="I66" s="12">
        <v>0</v>
      </c>
    </row>
    <row r="67" spans="2:9" ht="15" customHeight="1" x14ac:dyDescent="0.2">
      <c r="B67" t="s">
        <v>195</v>
      </c>
      <c r="C67" s="12">
        <v>5</v>
      </c>
      <c r="D67" s="8">
        <v>1.31</v>
      </c>
      <c r="E67" s="12">
        <v>3</v>
      </c>
      <c r="F67" s="8">
        <v>1.27</v>
      </c>
      <c r="G67" s="12">
        <v>2</v>
      </c>
      <c r="H67" s="8">
        <v>1.44</v>
      </c>
      <c r="I67" s="12">
        <v>0</v>
      </c>
    </row>
    <row r="68" spans="2:9" ht="15" customHeight="1" x14ac:dyDescent="0.2">
      <c r="B68" t="s">
        <v>163</v>
      </c>
      <c r="C68" s="12">
        <v>5</v>
      </c>
      <c r="D68" s="8">
        <v>1.31</v>
      </c>
      <c r="E68" s="12">
        <v>3</v>
      </c>
      <c r="F68" s="8">
        <v>1.27</v>
      </c>
      <c r="G68" s="12">
        <v>2</v>
      </c>
      <c r="H68" s="8">
        <v>1.44</v>
      </c>
      <c r="I68" s="12">
        <v>0</v>
      </c>
    </row>
    <row r="69" spans="2:9" ht="15" customHeight="1" x14ac:dyDescent="0.2">
      <c r="B69" t="s">
        <v>210</v>
      </c>
      <c r="C69" s="12">
        <v>5</v>
      </c>
      <c r="D69" s="8">
        <v>1.31</v>
      </c>
      <c r="E69" s="12">
        <v>4</v>
      </c>
      <c r="F69" s="8">
        <v>1.69</v>
      </c>
      <c r="G69" s="12">
        <v>1</v>
      </c>
      <c r="H69" s="8">
        <v>0.72</v>
      </c>
      <c r="I69" s="12">
        <v>0</v>
      </c>
    </row>
    <row r="70" spans="2:9" ht="15" customHeight="1" x14ac:dyDescent="0.2">
      <c r="B70" t="s">
        <v>165</v>
      </c>
      <c r="C70" s="12">
        <v>5</v>
      </c>
      <c r="D70" s="8">
        <v>1.31</v>
      </c>
      <c r="E70" s="12">
        <v>1</v>
      </c>
      <c r="F70" s="8">
        <v>0.42</v>
      </c>
      <c r="G70" s="12">
        <v>4</v>
      </c>
      <c r="H70" s="8">
        <v>2.88</v>
      </c>
      <c r="I70" s="12">
        <v>0</v>
      </c>
    </row>
    <row r="71" spans="2:9" ht="15" customHeight="1" x14ac:dyDescent="0.2">
      <c r="B71" t="s">
        <v>179</v>
      </c>
      <c r="C71" s="12">
        <v>5</v>
      </c>
      <c r="D71" s="8">
        <v>1.31</v>
      </c>
      <c r="E71" s="12">
        <v>5</v>
      </c>
      <c r="F71" s="8">
        <v>2.11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170</v>
      </c>
      <c r="C72" s="12">
        <v>5</v>
      </c>
      <c r="D72" s="8">
        <v>1.31</v>
      </c>
      <c r="E72" s="12">
        <v>4</v>
      </c>
      <c r="F72" s="8">
        <v>1.69</v>
      </c>
      <c r="G72" s="12">
        <v>1</v>
      </c>
      <c r="H72" s="8">
        <v>0.72</v>
      </c>
      <c r="I72" s="12">
        <v>0</v>
      </c>
    </row>
    <row r="73" spans="2:9" ht="15" customHeight="1" x14ac:dyDescent="0.2">
      <c r="B73" t="s">
        <v>176</v>
      </c>
      <c r="C73" s="12">
        <v>5</v>
      </c>
      <c r="D73" s="8">
        <v>1.31</v>
      </c>
      <c r="E73" s="12">
        <v>5</v>
      </c>
      <c r="F73" s="8">
        <v>2.11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2069-9418-4481-ABDC-36EC167B177A}">
  <sheetPr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36</v>
      </c>
      <c r="D6" s="8">
        <v>25</v>
      </c>
      <c r="E6" s="12">
        <v>16</v>
      </c>
      <c r="F6" s="8">
        <v>21.33</v>
      </c>
      <c r="G6" s="12">
        <v>20</v>
      </c>
      <c r="H6" s="8">
        <v>30.3</v>
      </c>
      <c r="I6" s="12">
        <v>0</v>
      </c>
    </row>
    <row r="7" spans="2:9" ht="15" customHeight="1" x14ac:dyDescent="0.2">
      <c r="B7" t="s">
        <v>62</v>
      </c>
      <c r="C7" s="12">
        <v>9</v>
      </c>
      <c r="D7" s="8">
        <v>6.25</v>
      </c>
      <c r="E7" s="12">
        <v>1</v>
      </c>
      <c r="F7" s="8">
        <v>1.33</v>
      </c>
      <c r="G7" s="12">
        <v>8</v>
      </c>
      <c r="H7" s="8">
        <v>12.12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0.69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0.69</v>
      </c>
      <c r="E9" s="12">
        <v>0</v>
      </c>
      <c r="F9" s="8">
        <v>0</v>
      </c>
      <c r="G9" s="12">
        <v>1</v>
      </c>
      <c r="H9" s="8">
        <v>1.52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36</v>
      </c>
      <c r="D11" s="8">
        <v>25</v>
      </c>
      <c r="E11" s="12">
        <v>19</v>
      </c>
      <c r="F11" s="8">
        <v>25.33</v>
      </c>
      <c r="G11" s="12">
        <v>17</v>
      </c>
      <c r="H11" s="8">
        <v>25.76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1.39</v>
      </c>
      <c r="E13" s="12">
        <v>1</v>
      </c>
      <c r="F13" s="8">
        <v>1.33</v>
      </c>
      <c r="G13" s="12">
        <v>1</v>
      </c>
      <c r="H13" s="8">
        <v>1.52</v>
      </c>
      <c r="I13" s="12">
        <v>0</v>
      </c>
    </row>
    <row r="14" spans="2:9" ht="15" customHeight="1" x14ac:dyDescent="0.2">
      <c r="B14" t="s">
        <v>69</v>
      </c>
      <c r="C14" s="12">
        <v>6</v>
      </c>
      <c r="D14" s="8">
        <v>4.17</v>
      </c>
      <c r="E14" s="12">
        <v>5</v>
      </c>
      <c r="F14" s="8">
        <v>6.67</v>
      </c>
      <c r="G14" s="12">
        <v>1</v>
      </c>
      <c r="H14" s="8">
        <v>1.52</v>
      </c>
      <c r="I14" s="12">
        <v>0</v>
      </c>
    </row>
    <row r="15" spans="2:9" ht="15" customHeight="1" x14ac:dyDescent="0.2">
      <c r="B15" t="s">
        <v>70</v>
      </c>
      <c r="C15" s="12">
        <v>16</v>
      </c>
      <c r="D15" s="8">
        <v>11.11</v>
      </c>
      <c r="E15" s="12">
        <v>9</v>
      </c>
      <c r="F15" s="8">
        <v>12</v>
      </c>
      <c r="G15" s="12">
        <v>7</v>
      </c>
      <c r="H15" s="8">
        <v>10.61</v>
      </c>
      <c r="I15" s="12">
        <v>0</v>
      </c>
    </row>
    <row r="16" spans="2:9" ht="15" customHeight="1" x14ac:dyDescent="0.2">
      <c r="B16" t="s">
        <v>71</v>
      </c>
      <c r="C16" s="12">
        <v>19</v>
      </c>
      <c r="D16" s="8">
        <v>13.19</v>
      </c>
      <c r="E16" s="12">
        <v>16</v>
      </c>
      <c r="F16" s="8">
        <v>21.33</v>
      </c>
      <c r="G16" s="12">
        <v>2</v>
      </c>
      <c r="H16" s="8">
        <v>3.03</v>
      </c>
      <c r="I16" s="12">
        <v>0</v>
      </c>
    </row>
    <row r="17" spans="2:9" ht="15" customHeight="1" x14ac:dyDescent="0.2">
      <c r="B17" t="s">
        <v>72</v>
      </c>
      <c r="C17" s="12">
        <v>4</v>
      </c>
      <c r="D17" s="8">
        <v>2.78</v>
      </c>
      <c r="E17" s="12">
        <v>3</v>
      </c>
      <c r="F17" s="8">
        <v>4</v>
      </c>
      <c r="G17" s="12">
        <v>1</v>
      </c>
      <c r="H17" s="8">
        <v>1.52</v>
      </c>
      <c r="I17" s="12">
        <v>0</v>
      </c>
    </row>
    <row r="18" spans="2:9" ht="15" customHeight="1" x14ac:dyDescent="0.2">
      <c r="B18" t="s">
        <v>73</v>
      </c>
      <c r="C18" s="12">
        <v>7</v>
      </c>
      <c r="D18" s="8">
        <v>4.8600000000000003</v>
      </c>
      <c r="E18" s="12">
        <v>4</v>
      </c>
      <c r="F18" s="8">
        <v>5.33</v>
      </c>
      <c r="G18" s="12">
        <v>2</v>
      </c>
      <c r="H18" s="8">
        <v>3.03</v>
      </c>
      <c r="I18" s="12">
        <v>0</v>
      </c>
    </row>
    <row r="19" spans="2:9" ht="15" customHeight="1" x14ac:dyDescent="0.2">
      <c r="B19" t="s">
        <v>74</v>
      </c>
      <c r="C19" s="12">
        <v>7</v>
      </c>
      <c r="D19" s="8">
        <v>4.8600000000000003</v>
      </c>
      <c r="E19" s="12">
        <v>1</v>
      </c>
      <c r="F19" s="8">
        <v>1.33</v>
      </c>
      <c r="G19" s="12">
        <v>6</v>
      </c>
      <c r="H19" s="8">
        <v>9.09</v>
      </c>
      <c r="I19" s="12">
        <v>0</v>
      </c>
    </row>
    <row r="20" spans="2:9" ht="15" customHeight="1" x14ac:dyDescent="0.2">
      <c r="B20" s="9" t="s">
        <v>337</v>
      </c>
      <c r="C20" s="12">
        <f>SUM(LTBL_07322[総数／事業所数])</f>
        <v>144</v>
      </c>
      <c r="E20" s="12">
        <f>SUBTOTAL(109,LTBL_07322[個人／事業所数])</f>
        <v>75</v>
      </c>
      <c r="G20" s="12">
        <f>SUBTOTAL(109,LTBL_07322[法人／事業所数])</f>
        <v>66</v>
      </c>
      <c r="I20" s="12">
        <f>SUBTOTAL(109,LTBL_07322[法人以外の団体／事業所数])</f>
        <v>0</v>
      </c>
    </row>
    <row r="21" spans="2:9" ht="15" customHeight="1" x14ac:dyDescent="0.2">
      <c r="E21" s="11">
        <f>LTBL_07322[[#Totals],[個人／事業所数]]/LTBL_07322[[#Totals],[総数／事業所数]]</f>
        <v>0.52083333333333337</v>
      </c>
      <c r="G21" s="11">
        <f>LTBL_07322[[#Totals],[法人／事業所数]]/LTBL_07322[[#Totals],[総数／事業所数]]</f>
        <v>0.45833333333333331</v>
      </c>
      <c r="I21" s="11">
        <f>LTBL_07322[[#Totals],[法人以外の団体／事業所数]]/LTBL_07322[[#Totals],[総数／事業所数]]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17</v>
      </c>
      <c r="D24" s="8">
        <v>11.81</v>
      </c>
      <c r="E24" s="12">
        <v>16</v>
      </c>
      <c r="F24" s="8">
        <v>21.33</v>
      </c>
      <c r="G24" s="12">
        <v>1</v>
      </c>
      <c r="H24" s="8">
        <v>1.52</v>
      </c>
      <c r="I24" s="12">
        <v>0</v>
      </c>
    </row>
    <row r="25" spans="2:9" ht="15" customHeight="1" x14ac:dyDescent="0.2">
      <c r="B25" t="s">
        <v>83</v>
      </c>
      <c r="C25" s="12">
        <v>15</v>
      </c>
      <c r="D25" s="8">
        <v>10.42</v>
      </c>
      <c r="E25" s="12">
        <v>7</v>
      </c>
      <c r="F25" s="8">
        <v>9.33</v>
      </c>
      <c r="G25" s="12">
        <v>8</v>
      </c>
      <c r="H25" s="8">
        <v>12.12</v>
      </c>
      <c r="I25" s="12">
        <v>0</v>
      </c>
    </row>
    <row r="26" spans="2:9" ht="15" customHeight="1" x14ac:dyDescent="0.2">
      <c r="B26" t="s">
        <v>84</v>
      </c>
      <c r="C26" s="12">
        <v>11</v>
      </c>
      <c r="D26" s="8">
        <v>7.64</v>
      </c>
      <c r="E26" s="12">
        <v>7</v>
      </c>
      <c r="F26" s="8">
        <v>9.33</v>
      </c>
      <c r="G26" s="12">
        <v>4</v>
      </c>
      <c r="H26" s="8">
        <v>6.06</v>
      </c>
      <c r="I26" s="12">
        <v>0</v>
      </c>
    </row>
    <row r="27" spans="2:9" ht="15" customHeight="1" x14ac:dyDescent="0.2">
      <c r="B27" t="s">
        <v>89</v>
      </c>
      <c r="C27" s="12">
        <v>11</v>
      </c>
      <c r="D27" s="8">
        <v>7.64</v>
      </c>
      <c r="E27" s="12">
        <v>9</v>
      </c>
      <c r="F27" s="8">
        <v>12</v>
      </c>
      <c r="G27" s="12">
        <v>2</v>
      </c>
      <c r="H27" s="8">
        <v>3.03</v>
      </c>
      <c r="I27" s="12">
        <v>0</v>
      </c>
    </row>
    <row r="28" spans="2:9" ht="15" customHeight="1" x14ac:dyDescent="0.2">
      <c r="B28" t="s">
        <v>85</v>
      </c>
      <c r="C28" s="12">
        <v>10</v>
      </c>
      <c r="D28" s="8">
        <v>6.94</v>
      </c>
      <c r="E28" s="12">
        <v>2</v>
      </c>
      <c r="F28" s="8">
        <v>2.67</v>
      </c>
      <c r="G28" s="12">
        <v>8</v>
      </c>
      <c r="H28" s="8">
        <v>12.12</v>
      </c>
      <c r="I28" s="12">
        <v>0</v>
      </c>
    </row>
    <row r="29" spans="2:9" ht="15" customHeight="1" x14ac:dyDescent="0.2">
      <c r="B29" t="s">
        <v>91</v>
      </c>
      <c r="C29" s="12">
        <v>10</v>
      </c>
      <c r="D29" s="8">
        <v>6.94</v>
      </c>
      <c r="E29" s="12">
        <v>4</v>
      </c>
      <c r="F29" s="8">
        <v>5.33</v>
      </c>
      <c r="G29" s="12">
        <v>6</v>
      </c>
      <c r="H29" s="8">
        <v>9.09</v>
      </c>
      <c r="I29" s="12">
        <v>0</v>
      </c>
    </row>
    <row r="30" spans="2:9" ht="15" customHeight="1" x14ac:dyDescent="0.2">
      <c r="B30" t="s">
        <v>96</v>
      </c>
      <c r="C30" s="12">
        <v>9</v>
      </c>
      <c r="D30" s="8">
        <v>6.25</v>
      </c>
      <c r="E30" s="12">
        <v>8</v>
      </c>
      <c r="F30" s="8">
        <v>10.67</v>
      </c>
      <c r="G30" s="12">
        <v>1</v>
      </c>
      <c r="H30" s="8">
        <v>1.52</v>
      </c>
      <c r="I30" s="12">
        <v>0</v>
      </c>
    </row>
    <row r="31" spans="2:9" ht="15" customHeight="1" x14ac:dyDescent="0.2">
      <c r="B31" t="s">
        <v>90</v>
      </c>
      <c r="C31" s="12">
        <v>7</v>
      </c>
      <c r="D31" s="8">
        <v>4.8600000000000003</v>
      </c>
      <c r="E31" s="12">
        <v>3</v>
      </c>
      <c r="F31" s="8">
        <v>4</v>
      </c>
      <c r="G31" s="12">
        <v>4</v>
      </c>
      <c r="H31" s="8">
        <v>6.06</v>
      </c>
      <c r="I31" s="12">
        <v>0</v>
      </c>
    </row>
    <row r="32" spans="2:9" ht="15" customHeight="1" x14ac:dyDescent="0.2">
      <c r="B32" t="s">
        <v>93</v>
      </c>
      <c r="C32" s="12">
        <v>6</v>
      </c>
      <c r="D32" s="8">
        <v>4.17</v>
      </c>
      <c r="E32" s="12">
        <v>5</v>
      </c>
      <c r="F32" s="8">
        <v>6.67</v>
      </c>
      <c r="G32" s="12">
        <v>1</v>
      </c>
      <c r="H32" s="8">
        <v>1.52</v>
      </c>
      <c r="I32" s="12">
        <v>0</v>
      </c>
    </row>
    <row r="33" spans="2:9" ht="15" customHeight="1" x14ac:dyDescent="0.2">
      <c r="B33" t="s">
        <v>95</v>
      </c>
      <c r="C33" s="12">
        <v>6</v>
      </c>
      <c r="D33" s="8">
        <v>4.17</v>
      </c>
      <c r="E33" s="12">
        <v>1</v>
      </c>
      <c r="F33" s="8">
        <v>1.33</v>
      </c>
      <c r="G33" s="12">
        <v>5</v>
      </c>
      <c r="H33" s="8">
        <v>7.58</v>
      </c>
      <c r="I33" s="12">
        <v>0</v>
      </c>
    </row>
    <row r="34" spans="2:9" ht="15" customHeight="1" x14ac:dyDescent="0.2">
      <c r="B34" t="s">
        <v>99</v>
      </c>
      <c r="C34" s="12">
        <v>4</v>
      </c>
      <c r="D34" s="8">
        <v>2.78</v>
      </c>
      <c r="E34" s="12">
        <v>3</v>
      </c>
      <c r="F34" s="8">
        <v>4</v>
      </c>
      <c r="G34" s="12">
        <v>1</v>
      </c>
      <c r="H34" s="8">
        <v>1.52</v>
      </c>
      <c r="I34" s="12">
        <v>0</v>
      </c>
    </row>
    <row r="35" spans="2:9" ht="15" customHeight="1" x14ac:dyDescent="0.2">
      <c r="B35" t="s">
        <v>100</v>
      </c>
      <c r="C35" s="12">
        <v>4</v>
      </c>
      <c r="D35" s="8">
        <v>2.78</v>
      </c>
      <c r="E35" s="12">
        <v>4</v>
      </c>
      <c r="F35" s="8">
        <v>5.33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101</v>
      </c>
      <c r="C36" s="12">
        <v>3</v>
      </c>
      <c r="D36" s="8">
        <v>2.08</v>
      </c>
      <c r="E36" s="12">
        <v>0</v>
      </c>
      <c r="F36" s="8">
        <v>0</v>
      </c>
      <c r="G36" s="12">
        <v>2</v>
      </c>
      <c r="H36" s="8">
        <v>3.03</v>
      </c>
      <c r="I36" s="12">
        <v>0</v>
      </c>
    </row>
    <row r="37" spans="2:9" ht="15" customHeight="1" x14ac:dyDescent="0.2">
      <c r="B37" t="s">
        <v>120</v>
      </c>
      <c r="C37" s="12">
        <v>3</v>
      </c>
      <c r="D37" s="8">
        <v>2.08</v>
      </c>
      <c r="E37" s="12">
        <v>0</v>
      </c>
      <c r="F37" s="8">
        <v>0</v>
      </c>
      <c r="G37" s="12">
        <v>3</v>
      </c>
      <c r="H37" s="8">
        <v>4.55</v>
      </c>
      <c r="I37" s="12">
        <v>0</v>
      </c>
    </row>
    <row r="38" spans="2:9" ht="15" customHeight="1" x14ac:dyDescent="0.2">
      <c r="B38" t="s">
        <v>110</v>
      </c>
      <c r="C38" s="12">
        <v>2</v>
      </c>
      <c r="D38" s="8">
        <v>1.39</v>
      </c>
      <c r="E38" s="12">
        <v>0</v>
      </c>
      <c r="F38" s="8">
        <v>0</v>
      </c>
      <c r="G38" s="12">
        <v>2</v>
      </c>
      <c r="H38" s="8">
        <v>3.03</v>
      </c>
      <c r="I38" s="12">
        <v>0</v>
      </c>
    </row>
    <row r="39" spans="2:9" ht="15" customHeight="1" x14ac:dyDescent="0.2">
      <c r="B39" t="s">
        <v>87</v>
      </c>
      <c r="C39" s="12">
        <v>2</v>
      </c>
      <c r="D39" s="8">
        <v>1.39</v>
      </c>
      <c r="E39" s="12">
        <v>0</v>
      </c>
      <c r="F39" s="8">
        <v>0</v>
      </c>
      <c r="G39" s="12">
        <v>2</v>
      </c>
      <c r="H39" s="8">
        <v>3.03</v>
      </c>
      <c r="I39" s="12">
        <v>0</v>
      </c>
    </row>
    <row r="40" spans="2:9" ht="15" customHeight="1" x14ac:dyDescent="0.2">
      <c r="B40" t="s">
        <v>88</v>
      </c>
      <c r="C40" s="12">
        <v>2</v>
      </c>
      <c r="D40" s="8">
        <v>1.39</v>
      </c>
      <c r="E40" s="12">
        <v>2</v>
      </c>
      <c r="F40" s="8">
        <v>2.67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103</v>
      </c>
      <c r="C41" s="12">
        <v>2</v>
      </c>
      <c r="D41" s="8">
        <v>1.39</v>
      </c>
      <c r="E41" s="12">
        <v>0</v>
      </c>
      <c r="F41" s="8">
        <v>0</v>
      </c>
      <c r="G41" s="12">
        <v>2</v>
      </c>
      <c r="H41" s="8">
        <v>3.03</v>
      </c>
      <c r="I41" s="12">
        <v>0</v>
      </c>
    </row>
    <row r="42" spans="2:9" ht="15" customHeight="1" x14ac:dyDescent="0.2">
      <c r="B42" t="s">
        <v>102</v>
      </c>
      <c r="C42" s="12">
        <v>2</v>
      </c>
      <c r="D42" s="8">
        <v>1.39</v>
      </c>
      <c r="E42" s="12">
        <v>1</v>
      </c>
      <c r="F42" s="8">
        <v>1.33</v>
      </c>
      <c r="G42" s="12">
        <v>1</v>
      </c>
      <c r="H42" s="8">
        <v>1.52</v>
      </c>
      <c r="I42" s="12">
        <v>0</v>
      </c>
    </row>
    <row r="43" spans="2:9" ht="15" customHeight="1" x14ac:dyDescent="0.2">
      <c r="B43" t="s">
        <v>124</v>
      </c>
      <c r="C43" s="12">
        <v>1</v>
      </c>
      <c r="D43" s="8">
        <v>0.69</v>
      </c>
      <c r="E43" s="12">
        <v>0</v>
      </c>
      <c r="F43" s="8">
        <v>0</v>
      </c>
      <c r="G43" s="12">
        <v>1</v>
      </c>
      <c r="H43" s="8">
        <v>1.52</v>
      </c>
      <c r="I43" s="12">
        <v>0</v>
      </c>
    </row>
    <row r="44" spans="2:9" ht="15" customHeight="1" x14ac:dyDescent="0.2">
      <c r="B44" t="s">
        <v>121</v>
      </c>
      <c r="C44" s="12">
        <v>1</v>
      </c>
      <c r="D44" s="8">
        <v>0.69</v>
      </c>
      <c r="E44" s="12">
        <v>0</v>
      </c>
      <c r="F44" s="8">
        <v>0</v>
      </c>
      <c r="G44" s="12">
        <v>1</v>
      </c>
      <c r="H44" s="8">
        <v>1.52</v>
      </c>
      <c r="I44" s="12">
        <v>0</v>
      </c>
    </row>
    <row r="45" spans="2:9" ht="15" customHeight="1" x14ac:dyDescent="0.2">
      <c r="B45" t="s">
        <v>112</v>
      </c>
      <c r="C45" s="12">
        <v>1</v>
      </c>
      <c r="D45" s="8">
        <v>0.69</v>
      </c>
      <c r="E45" s="12">
        <v>1</v>
      </c>
      <c r="F45" s="8">
        <v>1.33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115</v>
      </c>
      <c r="C46" s="12">
        <v>1</v>
      </c>
      <c r="D46" s="8">
        <v>0.69</v>
      </c>
      <c r="E46" s="12">
        <v>0</v>
      </c>
      <c r="F46" s="8">
        <v>0</v>
      </c>
      <c r="G46" s="12">
        <v>1</v>
      </c>
      <c r="H46" s="8">
        <v>1.52</v>
      </c>
      <c r="I46" s="12">
        <v>0</v>
      </c>
    </row>
    <row r="47" spans="2:9" ht="15" customHeight="1" x14ac:dyDescent="0.2">
      <c r="B47" t="s">
        <v>114</v>
      </c>
      <c r="C47" s="12">
        <v>1</v>
      </c>
      <c r="D47" s="8">
        <v>0.69</v>
      </c>
      <c r="E47" s="12">
        <v>0</v>
      </c>
      <c r="F47" s="8">
        <v>0</v>
      </c>
      <c r="G47" s="12">
        <v>1</v>
      </c>
      <c r="H47" s="8">
        <v>1.52</v>
      </c>
      <c r="I47" s="12">
        <v>0</v>
      </c>
    </row>
    <row r="48" spans="2:9" ht="15" customHeight="1" x14ac:dyDescent="0.2">
      <c r="B48" t="s">
        <v>125</v>
      </c>
      <c r="C48" s="12">
        <v>1</v>
      </c>
      <c r="D48" s="8">
        <v>0.69</v>
      </c>
      <c r="E48" s="12">
        <v>0</v>
      </c>
      <c r="F48" s="8">
        <v>0</v>
      </c>
      <c r="G48" s="12">
        <v>1</v>
      </c>
      <c r="H48" s="8">
        <v>1.52</v>
      </c>
      <c r="I48" s="12">
        <v>0</v>
      </c>
    </row>
    <row r="49" spans="2:9" ht="15" customHeight="1" x14ac:dyDescent="0.2">
      <c r="B49" t="s">
        <v>126</v>
      </c>
      <c r="C49" s="12">
        <v>1</v>
      </c>
      <c r="D49" s="8">
        <v>0.69</v>
      </c>
      <c r="E49" s="12">
        <v>0</v>
      </c>
      <c r="F49" s="8">
        <v>0</v>
      </c>
      <c r="G49" s="12">
        <v>1</v>
      </c>
      <c r="H49" s="8">
        <v>1.52</v>
      </c>
      <c r="I49" s="12">
        <v>0</v>
      </c>
    </row>
    <row r="50" spans="2:9" ht="15" customHeight="1" x14ac:dyDescent="0.2">
      <c r="B50" t="s">
        <v>127</v>
      </c>
      <c r="C50" s="12">
        <v>1</v>
      </c>
      <c r="D50" s="8">
        <v>0.69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128</v>
      </c>
      <c r="C51" s="12">
        <v>1</v>
      </c>
      <c r="D51" s="8">
        <v>0.69</v>
      </c>
      <c r="E51" s="12">
        <v>0</v>
      </c>
      <c r="F51" s="8">
        <v>0</v>
      </c>
      <c r="G51" s="12">
        <v>1</v>
      </c>
      <c r="H51" s="8">
        <v>1.52</v>
      </c>
      <c r="I51" s="12">
        <v>0</v>
      </c>
    </row>
    <row r="52" spans="2:9" ht="15" customHeight="1" x14ac:dyDescent="0.2">
      <c r="B52" t="s">
        <v>86</v>
      </c>
      <c r="C52" s="12">
        <v>1</v>
      </c>
      <c r="D52" s="8">
        <v>0.69</v>
      </c>
      <c r="E52" s="12">
        <v>0</v>
      </c>
      <c r="F52" s="8">
        <v>0</v>
      </c>
      <c r="G52" s="12">
        <v>1</v>
      </c>
      <c r="H52" s="8">
        <v>1.52</v>
      </c>
      <c r="I52" s="12">
        <v>0</v>
      </c>
    </row>
    <row r="53" spans="2:9" ht="15" customHeight="1" x14ac:dyDescent="0.2">
      <c r="B53" t="s">
        <v>107</v>
      </c>
      <c r="C53" s="12">
        <v>1</v>
      </c>
      <c r="D53" s="8">
        <v>0.69</v>
      </c>
      <c r="E53" s="12">
        <v>1</v>
      </c>
      <c r="F53" s="8">
        <v>1.33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104</v>
      </c>
      <c r="C54" s="12">
        <v>1</v>
      </c>
      <c r="D54" s="8">
        <v>0.69</v>
      </c>
      <c r="E54" s="12">
        <v>1</v>
      </c>
      <c r="F54" s="8">
        <v>1.33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92</v>
      </c>
      <c r="C55" s="12">
        <v>1</v>
      </c>
      <c r="D55" s="8">
        <v>0.69</v>
      </c>
      <c r="E55" s="12">
        <v>0</v>
      </c>
      <c r="F55" s="8">
        <v>0</v>
      </c>
      <c r="G55" s="12">
        <v>1</v>
      </c>
      <c r="H55" s="8">
        <v>1.52</v>
      </c>
      <c r="I55" s="12">
        <v>0</v>
      </c>
    </row>
    <row r="56" spans="2:9" ht="15" customHeight="1" x14ac:dyDescent="0.2">
      <c r="B56" t="s">
        <v>113</v>
      </c>
      <c r="C56" s="12">
        <v>1</v>
      </c>
      <c r="D56" s="8">
        <v>0.69</v>
      </c>
      <c r="E56" s="12">
        <v>0</v>
      </c>
      <c r="F56" s="8">
        <v>0</v>
      </c>
      <c r="G56" s="12">
        <v>1</v>
      </c>
      <c r="H56" s="8">
        <v>1.52</v>
      </c>
      <c r="I56" s="12">
        <v>0</v>
      </c>
    </row>
    <row r="57" spans="2:9" ht="15" customHeight="1" x14ac:dyDescent="0.2">
      <c r="B57" t="s">
        <v>98</v>
      </c>
      <c r="C57" s="12">
        <v>1</v>
      </c>
      <c r="D57" s="8">
        <v>0.69</v>
      </c>
      <c r="E57" s="12">
        <v>0</v>
      </c>
      <c r="F57" s="8">
        <v>0</v>
      </c>
      <c r="G57" s="12">
        <v>1</v>
      </c>
      <c r="H57" s="8">
        <v>1.52</v>
      </c>
      <c r="I57" s="12">
        <v>0</v>
      </c>
    </row>
    <row r="58" spans="2:9" ht="15" customHeight="1" x14ac:dyDescent="0.2">
      <c r="B58" t="s">
        <v>129</v>
      </c>
      <c r="C58" s="12">
        <v>1</v>
      </c>
      <c r="D58" s="8">
        <v>0.69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123</v>
      </c>
      <c r="C59" s="12">
        <v>1</v>
      </c>
      <c r="D59" s="8">
        <v>0.69</v>
      </c>
      <c r="E59" s="12">
        <v>0</v>
      </c>
      <c r="F59" s="8">
        <v>0</v>
      </c>
      <c r="G59" s="12">
        <v>1</v>
      </c>
      <c r="H59" s="8">
        <v>1.52</v>
      </c>
      <c r="I59" s="12">
        <v>0</v>
      </c>
    </row>
    <row r="60" spans="2:9" ht="15" customHeight="1" x14ac:dyDescent="0.2">
      <c r="B60" t="s">
        <v>108</v>
      </c>
      <c r="C60" s="12">
        <v>1</v>
      </c>
      <c r="D60" s="8">
        <v>0.69</v>
      </c>
      <c r="E60" s="12">
        <v>0</v>
      </c>
      <c r="F60" s="8">
        <v>0</v>
      </c>
      <c r="G60" s="12">
        <v>1</v>
      </c>
      <c r="H60" s="8">
        <v>1.52</v>
      </c>
      <c r="I60" s="12">
        <v>0</v>
      </c>
    </row>
    <row r="63" spans="2:9" ht="33" customHeight="1" x14ac:dyDescent="0.2">
      <c r="B63" t="s">
        <v>339</v>
      </c>
      <c r="C63" s="10" t="s">
        <v>76</v>
      </c>
      <c r="D63" s="10" t="s">
        <v>77</v>
      </c>
      <c r="E63" s="10" t="s">
        <v>78</v>
      </c>
      <c r="F63" s="10" t="s">
        <v>79</v>
      </c>
      <c r="G63" s="10" t="s">
        <v>80</v>
      </c>
      <c r="H63" s="10" t="s">
        <v>81</v>
      </c>
      <c r="I63" s="10" t="s">
        <v>82</v>
      </c>
    </row>
    <row r="64" spans="2:9" ht="15" customHeight="1" x14ac:dyDescent="0.2">
      <c r="B64" t="s">
        <v>160</v>
      </c>
      <c r="C64" s="12">
        <v>8</v>
      </c>
      <c r="D64" s="8">
        <v>5.56</v>
      </c>
      <c r="E64" s="12">
        <v>6</v>
      </c>
      <c r="F64" s="8">
        <v>8</v>
      </c>
      <c r="G64" s="12">
        <v>2</v>
      </c>
      <c r="H64" s="8">
        <v>3.03</v>
      </c>
      <c r="I64" s="12">
        <v>0</v>
      </c>
    </row>
    <row r="65" spans="2:9" ht="15" customHeight="1" x14ac:dyDescent="0.2">
      <c r="B65" t="s">
        <v>173</v>
      </c>
      <c r="C65" s="12">
        <v>7</v>
      </c>
      <c r="D65" s="8">
        <v>4.8600000000000003</v>
      </c>
      <c r="E65" s="12">
        <v>7</v>
      </c>
      <c r="F65" s="8">
        <v>9.33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174</v>
      </c>
      <c r="C66" s="12">
        <v>7</v>
      </c>
      <c r="D66" s="8">
        <v>4.8600000000000003</v>
      </c>
      <c r="E66" s="12">
        <v>7</v>
      </c>
      <c r="F66" s="8">
        <v>9.33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161</v>
      </c>
      <c r="C67" s="12">
        <v>6</v>
      </c>
      <c r="D67" s="8">
        <v>4.17</v>
      </c>
      <c r="E67" s="12">
        <v>2</v>
      </c>
      <c r="F67" s="8">
        <v>2.67</v>
      </c>
      <c r="G67" s="12">
        <v>4</v>
      </c>
      <c r="H67" s="8">
        <v>6.06</v>
      </c>
      <c r="I67" s="12">
        <v>0</v>
      </c>
    </row>
    <row r="68" spans="2:9" ht="15" customHeight="1" x14ac:dyDescent="0.2">
      <c r="B68" t="s">
        <v>215</v>
      </c>
      <c r="C68" s="12">
        <v>6</v>
      </c>
      <c r="D68" s="8">
        <v>4.17</v>
      </c>
      <c r="E68" s="12">
        <v>1</v>
      </c>
      <c r="F68" s="8">
        <v>1.33</v>
      </c>
      <c r="G68" s="12">
        <v>5</v>
      </c>
      <c r="H68" s="8">
        <v>7.58</v>
      </c>
      <c r="I68" s="12">
        <v>0</v>
      </c>
    </row>
    <row r="69" spans="2:9" ht="15" customHeight="1" x14ac:dyDescent="0.2">
      <c r="B69" t="s">
        <v>158</v>
      </c>
      <c r="C69" s="12">
        <v>5</v>
      </c>
      <c r="D69" s="8">
        <v>3.47</v>
      </c>
      <c r="E69" s="12">
        <v>0</v>
      </c>
      <c r="F69" s="8">
        <v>0</v>
      </c>
      <c r="G69" s="12">
        <v>5</v>
      </c>
      <c r="H69" s="8">
        <v>7.58</v>
      </c>
      <c r="I69" s="12">
        <v>0</v>
      </c>
    </row>
    <row r="70" spans="2:9" ht="15" customHeight="1" x14ac:dyDescent="0.2">
      <c r="B70" t="s">
        <v>194</v>
      </c>
      <c r="C70" s="12">
        <v>5</v>
      </c>
      <c r="D70" s="8">
        <v>3.47</v>
      </c>
      <c r="E70" s="12">
        <v>4</v>
      </c>
      <c r="F70" s="8">
        <v>5.33</v>
      </c>
      <c r="G70" s="12">
        <v>1</v>
      </c>
      <c r="H70" s="8">
        <v>1.52</v>
      </c>
      <c r="I70" s="12">
        <v>0</v>
      </c>
    </row>
    <row r="71" spans="2:9" ht="15" customHeight="1" x14ac:dyDescent="0.2">
      <c r="B71" t="s">
        <v>185</v>
      </c>
      <c r="C71" s="12">
        <v>5</v>
      </c>
      <c r="D71" s="8">
        <v>3.47</v>
      </c>
      <c r="E71" s="12">
        <v>3</v>
      </c>
      <c r="F71" s="8">
        <v>4</v>
      </c>
      <c r="G71" s="12">
        <v>2</v>
      </c>
      <c r="H71" s="8">
        <v>3.03</v>
      </c>
      <c r="I71" s="12">
        <v>0</v>
      </c>
    </row>
    <row r="72" spans="2:9" ht="15" customHeight="1" x14ac:dyDescent="0.2">
      <c r="B72" t="s">
        <v>163</v>
      </c>
      <c r="C72" s="12">
        <v>4</v>
      </c>
      <c r="D72" s="8">
        <v>2.78</v>
      </c>
      <c r="E72" s="12">
        <v>3</v>
      </c>
      <c r="F72" s="8">
        <v>4</v>
      </c>
      <c r="G72" s="12">
        <v>1</v>
      </c>
      <c r="H72" s="8">
        <v>1.52</v>
      </c>
      <c r="I72" s="12">
        <v>0</v>
      </c>
    </row>
    <row r="73" spans="2:9" ht="15" customHeight="1" x14ac:dyDescent="0.2">
      <c r="B73" t="s">
        <v>164</v>
      </c>
      <c r="C73" s="12">
        <v>4</v>
      </c>
      <c r="D73" s="8">
        <v>2.78</v>
      </c>
      <c r="E73" s="12">
        <v>1</v>
      </c>
      <c r="F73" s="8">
        <v>1.33</v>
      </c>
      <c r="G73" s="12">
        <v>3</v>
      </c>
      <c r="H73" s="8">
        <v>4.55</v>
      </c>
      <c r="I73" s="12">
        <v>0</v>
      </c>
    </row>
    <row r="74" spans="2:9" ht="15" customHeight="1" x14ac:dyDescent="0.2">
      <c r="B74" t="s">
        <v>166</v>
      </c>
      <c r="C74" s="12">
        <v>4</v>
      </c>
      <c r="D74" s="8">
        <v>2.78</v>
      </c>
      <c r="E74" s="12">
        <v>1</v>
      </c>
      <c r="F74" s="8">
        <v>1.33</v>
      </c>
      <c r="G74" s="12">
        <v>3</v>
      </c>
      <c r="H74" s="8">
        <v>4.55</v>
      </c>
      <c r="I74" s="12">
        <v>0</v>
      </c>
    </row>
    <row r="75" spans="2:9" ht="15" customHeight="1" x14ac:dyDescent="0.2">
      <c r="B75" t="s">
        <v>196</v>
      </c>
      <c r="C75" s="12">
        <v>3</v>
      </c>
      <c r="D75" s="8">
        <v>2.08</v>
      </c>
      <c r="E75" s="12">
        <v>0</v>
      </c>
      <c r="F75" s="8">
        <v>0</v>
      </c>
      <c r="G75" s="12">
        <v>3</v>
      </c>
      <c r="H75" s="8">
        <v>4.55</v>
      </c>
      <c r="I75" s="12">
        <v>0</v>
      </c>
    </row>
    <row r="76" spans="2:9" ht="15" customHeight="1" x14ac:dyDescent="0.2">
      <c r="B76" t="s">
        <v>162</v>
      </c>
      <c r="C76" s="12">
        <v>3</v>
      </c>
      <c r="D76" s="8">
        <v>2.08</v>
      </c>
      <c r="E76" s="12">
        <v>0</v>
      </c>
      <c r="F76" s="8">
        <v>0</v>
      </c>
      <c r="G76" s="12">
        <v>3</v>
      </c>
      <c r="H76" s="8">
        <v>4.55</v>
      </c>
      <c r="I76" s="12">
        <v>0</v>
      </c>
    </row>
    <row r="77" spans="2:9" ht="15" customHeight="1" x14ac:dyDescent="0.2">
      <c r="B77" t="s">
        <v>178</v>
      </c>
      <c r="C77" s="12">
        <v>3</v>
      </c>
      <c r="D77" s="8">
        <v>2.08</v>
      </c>
      <c r="E77" s="12">
        <v>2</v>
      </c>
      <c r="F77" s="8">
        <v>2.67</v>
      </c>
      <c r="G77" s="12">
        <v>1</v>
      </c>
      <c r="H77" s="8">
        <v>1.52</v>
      </c>
      <c r="I77" s="12">
        <v>0</v>
      </c>
    </row>
    <row r="78" spans="2:9" ht="15" customHeight="1" x14ac:dyDescent="0.2">
      <c r="B78" t="s">
        <v>213</v>
      </c>
      <c r="C78" s="12">
        <v>3</v>
      </c>
      <c r="D78" s="8">
        <v>2.08</v>
      </c>
      <c r="E78" s="12">
        <v>3</v>
      </c>
      <c r="F78" s="8">
        <v>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171</v>
      </c>
      <c r="C79" s="12">
        <v>3</v>
      </c>
      <c r="D79" s="8">
        <v>2.08</v>
      </c>
      <c r="E79" s="12">
        <v>3</v>
      </c>
      <c r="F79" s="8">
        <v>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175</v>
      </c>
      <c r="C80" s="12">
        <v>3</v>
      </c>
      <c r="D80" s="8">
        <v>2.08</v>
      </c>
      <c r="E80" s="12">
        <v>2</v>
      </c>
      <c r="F80" s="8">
        <v>2.67</v>
      </c>
      <c r="G80" s="12">
        <v>1</v>
      </c>
      <c r="H80" s="8">
        <v>1.52</v>
      </c>
      <c r="I80" s="12">
        <v>0</v>
      </c>
    </row>
    <row r="81" spans="2:9" ht="15" customHeight="1" x14ac:dyDescent="0.2">
      <c r="B81" t="s">
        <v>176</v>
      </c>
      <c r="C81" s="12">
        <v>3</v>
      </c>
      <c r="D81" s="8">
        <v>2.08</v>
      </c>
      <c r="E81" s="12">
        <v>3</v>
      </c>
      <c r="F81" s="8">
        <v>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159</v>
      </c>
      <c r="C82" s="12">
        <v>2</v>
      </c>
      <c r="D82" s="8">
        <v>1.39</v>
      </c>
      <c r="E82" s="12">
        <v>1</v>
      </c>
      <c r="F82" s="8">
        <v>1.33</v>
      </c>
      <c r="G82" s="12">
        <v>1</v>
      </c>
      <c r="H82" s="8">
        <v>1.52</v>
      </c>
      <c r="I82" s="12">
        <v>0</v>
      </c>
    </row>
    <row r="83" spans="2:9" ht="15" customHeight="1" x14ac:dyDescent="0.2">
      <c r="B83" t="s">
        <v>199</v>
      </c>
      <c r="C83" s="12">
        <v>2</v>
      </c>
      <c r="D83" s="8">
        <v>1.39</v>
      </c>
      <c r="E83" s="12">
        <v>2</v>
      </c>
      <c r="F83" s="8">
        <v>2.67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212</v>
      </c>
      <c r="C84" s="12">
        <v>2</v>
      </c>
      <c r="D84" s="8">
        <v>1.39</v>
      </c>
      <c r="E84" s="12">
        <v>2</v>
      </c>
      <c r="F84" s="8">
        <v>2.67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193</v>
      </c>
      <c r="C85" s="12">
        <v>2</v>
      </c>
      <c r="D85" s="8">
        <v>1.39</v>
      </c>
      <c r="E85" s="12">
        <v>1</v>
      </c>
      <c r="F85" s="8">
        <v>1.33</v>
      </c>
      <c r="G85" s="12">
        <v>1</v>
      </c>
      <c r="H85" s="8">
        <v>1.52</v>
      </c>
      <c r="I85" s="12">
        <v>0</v>
      </c>
    </row>
    <row r="86" spans="2:9" ht="15" customHeight="1" x14ac:dyDescent="0.2">
      <c r="B86" t="s">
        <v>214</v>
      </c>
      <c r="C86" s="12">
        <v>2</v>
      </c>
      <c r="D86" s="8">
        <v>1.39</v>
      </c>
      <c r="E86" s="12">
        <v>2</v>
      </c>
      <c r="F86" s="8">
        <v>2.67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181</v>
      </c>
      <c r="C87" s="12">
        <v>2</v>
      </c>
      <c r="D87" s="8">
        <v>1.39</v>
      </c>
      <c r="E87" s="12">
        <v>1</v>
      </c>
      <c r="F87" s="8">
        <v>1.33</v>
      </c>
      <c r="G87" s="12">
        <v>1</v>
      </c>
      <c r="H87" s="8">
        <v>1.52</v>
      </c>
      <c r="I87" s="12">
        <v>0</v>
      </c>
    </row>
    <row r="88" spans="2:9" ht="15" customHeight="1" x14ac:dyDescent="0.2">
      <c r="B88" t="s">
        <v>216</v>
      </c>
      <c r="C88" s="12">
        <v>2</v>
      </c>
      <c r="D88" s="8">
        <v>1.39</v>
      </c>
      <c r="E88" s="12">
        <v>2</v>
      </c>
      <c r="F88" s="8">
        <v>2.67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182</v>
      </c>
      <c r="C89" s="12">
        <v>2</v>
      </c>
      <c r="D89" s="8">
        <v>1.39</v>
      </c>
      <c r="E89" s="12">
        <v>1</v>
      </c>
      <c r="F89" s="8">
        <v>1.33</v>
      </c>
      <c r="G89" s="12">
        <v>1</v>
      </c>
      <c r="H89" s="8">
        <v>1.52</v>
      </c>
      <c r="I89" s="12">
        <v>0</v>
      </c>
    </row>
    <row r="90" spans="2:9" ht="15" customHeight="1" x14ac:dyDescent="0.2">
      <c r="B90" t="s">
        <v>217</v>
      </c>
      <c r="C90" s="12">
        <v>2</v>
      </c>
      <c r="D90" s="8">
        <v>1.39</v>
      </c>
      <c r="E90" s="12">
        <v>0</v>
      </c>
      <c r="F90" s="8">
        <v>0</v>
      </c>
      <c r="G90" s="12">
        <v>2</v>
      </c>
      <c r="H90" s="8">
        <v>3.03</v>
      </c>
      <c r="I90" s="12">
        <v>0</v>
      </c>
    </row>
    <row r="91" spans="2:9" ht="15" customHeight="1" x14ac:dyDescent="0.2">
      <c r="B91" t="s">
        <v>218</v>
      </c>
      <c r="C91" s="12">
        <v>2</v>
      </c>
      <c r="D91" s="8">
        <v>1.39</v>
      </c>
      <c r="E91" s="12">
        <v>0</v>
      </c>
      <c r="F91" s="8">
        <v>0</v>
      </c>
      <c r="G91" s="12">
        <v>2</v>
      </c>
      <c r="H91" s="8">
        <v>3.03</v>
      </c>
      <c r="I91" s="12">
        <v>0</v>
      </c>
    </row>
    <row r="92" spans="2:9" ht="15" customHeight="1" x14ac:dyDescent="0.2">
      <c r="B92" t="s">
        <v>177</v>
      </c>
      <c r="C92" s="12">
        <v>2</v>
      </c>
      <c r="D92" s="8">
        <v>1.39</v>
      </c>
      <c r="E92" s="12">
        <v>1</v>
      </c>
      <c r="F92" s="8">
        <v>1.33</v>
      </c>
      <c r="G92" s="12">
        <v>1</v>
      </c>
      <c r="H92" s="8">
        <v>1.52</v>
      </c>
      <c r="I92" s="12">
        <v>0</v>
      </c>
    </row>
    <row r="94" spans="2:9" ht="15" customHeight="1" x14ac:dyDescent="0.2">
      <c r="B94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FB105-EA2C-49C7-80F5-FB9E0F8989A2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47</v>
      </c>
      <c r="D6" s="8">
        <v>14.83</v>
      </c>
      <c r="E6" s="12">
        <v>19</v>
      </c>
      <c r="F6" s="8">
        <v>12.26</v>
      </c>
      <c r="G6" s="12">
        <v>28</v>
      </c>
      <c r="H6" s="8">
        <v>18.18</v>
      </c>
      <c r="I6" s="12">
        <v>0</v>
      </c>
    </row>
    <row r="7" spans="2:9" ht="15" customHeight="1" x14ac:dyDescent="0.2">
      <c r="B7" t="s">
        <v>62</v>
      </c>
      <c r="C7" s="12">
        <v>48</v>
      </c>
      <c r="D7" s="8">
        <v>15.14</v>
      </c>
      <c r="E7" s="12">
        <v>13</v>
      </c>
      <c r="F7" s="8">
        <v>8.39</v>
      </c>
      <c r="G7" s="12">
        <v>35</v>
      </c>
      <c r="H7" s="8">
        <v>22.73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0.32</v>
      </c>
      <c r="E8" s="12">
        <v>0</v>
      </c>
      <c r="F8" s="8">
        <v>0</v>
      </c>
      <c r="G8" s="12">
        <v>1</v>
      </c>
      <c r="H8" s="8">
        <v>0.65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0.32</v>
      </c>
      <c r="E10" s="12">
        <v>0</v>
      </c>
      <c r="F10" s="8">
        <v>0</v>
      </c>
      <c r="G10" s="12">
        <v>1</v>
      </c>
      <c r="H10" s="8">
        <v>0.65</v>
      </c>
      <c r="I10" s="12">
        <v>0</v>
      </c>
    </row>
    <row r="11" spans="2:9" ht="15" customHeight="1" x14ac:dyDescent="0.2">
      <c r="B11" t="s">
        <v>66</v>
      </c>
      <c r="C11" s="12">
        <v>81</v>
      </c>
      <c r="D11" s="8">
        <v>25.55</v>
      </c>
      <c r="E11" s="12">
        <v>33</v>
      </c>
      <c r="F11" s="8">
        <v>21.29</v>
      </c>
      <c r="G11" s="12">
        <v>48</v>
      </c>
      <c r="H11" s="8">
        <v>31.17</v>
      </c>
      <c r="I11" s="12">
        <v>0</v>
      </c>
    </row>
    <row r="12" spans="2:9" ht="15" customHeight="1" x14ac:dyDescent="0.2">
      <c r="B12" t="s">
        <v>67</v>
      </c>
      <c r="C12" s="12">
        <v>1</v>
      </c>
      <c r="D12" s="8">
        <v>0.32</v>
      </c>
      <c r="E12" s="12">
        <v>1</v>
      </c>
      <c r="F12" s="8">
        <v>0.65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16</v>
      </c>
      <c r="D13" s="8">
        <v>5.05</v>
      </c>
      <c r="E13" s="12">
        <v>7</v>
      </c>
      <c r="F13" s="8">
        <v>4.5199999999999996</v>
      </c>
      <c r="G13" s="12">
        <v>9</v>
      </c>
      <c r="H13" s="8">
        <v>5.84</v>
      </c>
      <c r="I13" s="12">
        <v>0</v>
      </c>
    </row>
    <row r="14" spans="2:9" ht="15" customHeight="1" x14ac:dyDescent="0.2">
      <c r="B14" t="s">
        <v>69</v>
      </c>
      <c r="C14" s="12">
        <v>11</v>
      </c>
      <c r="D14" s="8">
        <v>3.47</v>
      </c>
      <c r="E14" s="12">
        <v>8</v>
      </c>
      <c r="F14" s="8">
        <v>5.16</v>
      </c>
      <c r="G14" s="12">
        <v>3</v>
      </c>
      <c r="H14" s="8">
        <v>1.95</v>
      </c>
      <c r="I14" s="12">
        <v>0</v>
      </c>
    </row>
    <row r="15" spans="2:9" ht="15" customHeight="1" x14ac:dyDescent="0.2">
      <c r="B15" t="s">
        <v>70</v>
      </c>
      <c r="C15" s="12">
        <v>33</v>
      </c>
      <c r="D15" s="8">
        <v>10.41</v>
      </c>
      <c r="E15" s="12">
        <v>26</v>
      </c>
      <c r="F15" s="8">
        <v>16.77</v>
      </c>
      <c r="G15" s="12">
        <v>7</v>
      </c>
      <c r="H15" s="8">
        <v>4.55</v>
      </c>
      <c r="I15" s="12">
        <v>0</v>
      </c>
    </row>
    <row r="16" spans="2:9" ht="15" customHeight="1" x14ac:dyDescent="0.2">
      <c r="B16" t="s">
        <v>71</v>
      </c>
      <c r="C16" s="12">
        <v>46</v>
      </c>
      <c r="D16" s="8">
        <v>14.51</v>
      </c>
      <c r="E16" s="12">
        <v>32</v>
      </c>
      <c r="F16" s="8">
        <v>20.65</v>
      </c>
      <c r="G16" s="12">
        <v>11</v>
      </c>
      <c r="H16" s="8">
        <v>7.14</v>
      </c>
      <c r="I16" s="12">
        <v>0</v>
      </c>
    </row>
    <row r="17" spans="2:9" ht="15" customHeight="1" x14ac:dyDescent="0.2">
      <c r="B17" t="s">
        <v>72</v>
      </c>
      <c r="C17" s="12">
        <v>8</v>
      </c>
      <c r="D17" s="8">
        <v>2.52</v>
      </c>
      <c r="E17" s="12">
        <v>5</v>
      </c>
      <c r="F17" s="8">
        <v>3.23</v>
      </c>
      <c r="G17" s="12">
        <v>3</v>
      </c>
      <c r="H17" s="8">
        <v>1.95</v>
      </c>
      <c r="I17" s="12">
        <v>0</v>
      </c>
    </row>
    <row r="18" spans="2:9" ht="15" customHeight="1" x14ac:dyDescent="0.2">
      <c r="B18" t="s">
        <v>73</v>
      </c>
      <c r="C18" s="12">
        <v>16</v>
      </c>
      <c r="D18" s="8">
        <v>5.05</v>
      </c>
      <c r="E18" s="12">
        <v>7</v>
      </c>
      <c r="F18" s="8">
        <v>4.5199999999999996</v>
      </c>
      <c r="G18" s="12">
        <v>4</v>
      </c>
      <c r="H18" s="8">
        <v>2.6</v>
      </c>
      <c r="I18" s="12">
        <v>0</v>
      </c>
    </row>
    <row r="19" spans="2:9" ht="15" customHeight="1" x14ac:dyDescent="0.2">
      <c r="B19" t="s">
        <v>74</v>
      </c>
      <c r="C19" s="12">
        <v>8</v>
      </c>
      <c r="D19" s="8">
        <v>2.52</v>
      </c>
      <c r="E19" s="12">
        <v>4</v>
      </c>
      <c r="F19" s="8">
        <v>2.58</v>
      </c>
      <c r="G19" s="12">
        <v>4</v>
      </c>
      <c r="H19" s="8">
        <v>2.6</v>
      </c>
      <c r="I19" s="12">
        <v>0</v>
      </c>
    </row>
    <row r="20" spans="2:9" ht="15" customHeight="1" x14ac:dyDescent="0.2">
      <c r="B20" s="9" t="s">
        <v>337</v>
      </c>
      <c r="C20" s="12">
        <f>SUM(LTBL_07342[総数／事業所数])</f>
        <v>317</v>
      </c>
      <c r="E20" s="12">
        <f>SUBTOTAL(109,LTBL_07342[個人／事業所数])</f>
        <v>155</v>
      </c>
      <c r="G20" s="12">
        <f>SUBTOTAL(109,LTBL_07342[法人／事業所数])</f>
        <v>154</v>
      </c>
      <c r="I20" s="12">
        <f>SUBTOTAL(109,LTBL_07342[法人以外の団体／事業所数])</f>
        <v>0</v>
      </c>
    </row>
    <row r="21" spans="2:9" ht="15" customHeight="1" x14ac:dyDescent="0.2">
      <c r="E21" s="11">
        <f>LTBL_07342[[#Totals],[個人／事業所数]]/LTBL_07342[[#Totals],[総数／事業所数]]</f>
        <v>0.48895899053627762</v>
      </c>
      <c r="G21" s="11">
        <f>LTBL_07342[[#Totals],[法人／事業所数]]/LTBL_07342[[#Totals],[総数／事業所数]]</f>
        <v>0.48580441640378547</v>
      </c>
      <c r="I21" s="11">
        <f>LTBL_07342[[#Totals],[法人以外の団体／事業所数]]/LTBL_07342[[#Totals],[総数／事業所数]]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38</v>
      </c>
      <c r="D24" s="8">
        <v>11.99</v>
      </c>
      <c r="E24" s="12">
        <v>30</v>
      </c>
      <c r="F24" s="8">
        <v>19.350000000000001</v>
      </c>
      <c r="G24" s="12">
        <v>8</v>
      </c>
      <c r="H24" s="8">
        <v>5.19</v>
      </c>
      <c r="I24" s="12">
        <v>0</v>
      </c>
    </row>
    <row r="25" spans="2:9" ht="15" customHeight="1" x14ac:dyDescent="0.2">
      <c r="B25" t="s">
        <v>96</v>
      </c>
      <c r="C25" s="12">
        <v>29</v>
      </c>
      <c r="D25" s="8">
        <v>9.15</v>
      </c>
      <c r="E25" s="12">
        <v>25</v>
      </c>
      <c r="F25" s="8">
        <v>16.13</v>
      </c>
      <c r="G25" s="12">
        <v>4</v>
      </c>
      <c r="H25" s="8">
        <v>2.6</v>
      </c>
      <c r="I25" s="12">
        <v>0</v>
      </c>
    </row>
    <row r="26" spans="2:9" ht="15" customHeight="1" x14ac:dyDescent="0.2">
      <c r="B26" t="s">
        <v>84</v>
      </c>
      <c r="C26" s="12">
        <v>24</v>
      </c>
      <c r="D26" s="8">
        <v>7.57</v>
      </c>
      <c r="E26" s="12">
        <v>13</v>
      </c>
      <c r="F26" s="8">
        <v>8.39</v>
      </c>
      <c r="G26" s="12">
        <v>11</v>
      </c>
      <c r="H26" s="8">
        <v>7.14</v>
      </c>
      <c r="I26" s="12">
        <v>0</v>
      </c>
    </row>
    <row r="27" spans="2:9" ht="15" customHeight="1" x14ac:dyDescent="0.2">
      <c r="B27" t="s">
        <v>91</v>
      </c>
      <c r="C27" s="12">
        <v>24</v>
      </c>
      <c r="D27" s="8">
        <v>7.57</v>
      </c>
      <c r="E27" s="12">
        <v>11</v>
      </c>
      <c r="F27" s="8">
        <v>7.1</v>
      </c>
      <c r="G27" s="12">
        <v>13</v>
      </c>
      <c r="H27" s="8">
        <v>8.44</v>
      </c>
      <c r="I27" s="12">
        <v>0</v>
      </c>
    </row>
    <row r="28" spans="2:9" ht="15" customHeight="1" x14ac:dyDescent="0.2">
      <c r="B28" t="s">
        <v>89</v>
      </c>
      <c r="C28" s="12">
        <v>18</v>
      </c>
      <c r="D28" s="8">
        <v>5.68</v>
      </c>
      <c r="E28" s="12">
        <v>11</v>
      </c>
      <c r="F28" s="8">
        <v>7.1</v>
      </c>
      <c r="G28" s="12">
        <v>7</v>
      </c>
      <c r="H28" s="8">
        <v>4.55</v>
      </c>
      <c r="I28" s="12">
        <v>0</v>
      </c>
    </row>
    <row r="29" spans="2:9" ht="15" customHeight="1" x14ac:dyDescent="0.2">
      <c r="B29" t="s">
        <v>90</v>
      </c>
      <c r="C29" s="12">
        <v>13</v>
      </c>
      <c r="D29" s="8">
        <v>4.0999999999999996</v>
      </c>
      <c r="E29" s="12">
        <v>6</v>
      </c>
      <c r="F29" s="8">
        <v>3.87</v>
      </c>
      <c r="G29" s="12">
        <v>7</v>
      </c>
      <c r="H29" s="8">
        <v>4.55</v>
      </c>
      <c r="I29" s="12">
        <v>0</v>
      </c>
    </row>
    <row r="30" spans="2:9" ht="15" customHeight="1" x14ac:dyDescent="0.2">
      <c r="B30" t="s">
        <v>83</v>
      </c>
      <c r="C30" s="12">
        <v>12</v>
      </c>
      <c r="D30" s="8">
        <v>3.79</v>
      </c>
      <c r="E30" s="12">
        <v>3</v>
      </c>
      <c r="F30" s="8">
        <v>1.94</v>
      </c>
      <c r="G30" s="12">
        <v>9</v>
      </c>
      <c r="H30" s="8">
        <v>5.84</v>
      </c>
      <c r="I30" s="12">
        <v>0</v>
      </c>
    </row>
    <row r="31" spans="2:9" ht="15" customHeight="1" x14ac:dyDescent="0.2">
      <c r="B31" t="s">
        <v>115</v>
      </c>
      <c r="C31" s="12">
        <v>12</v>
      </c>
      <c r="D31" s="8">
        <v>3.79</v>
      </c>
      <c r="E31" s="12">
        <v>5</v>
      </c>
      <c r="F31" s="8">
        <v>3.23</v>
      </c>
      <c r="G31" s="12">
        <v>7</v>
      </c>
      <c r="H31" s="8">
        <v>4.55</v>
      </c>
      <c r="I31" s="12">
        <v>0</v>
      </c>
    </row>
    <row r="32" spans="2:9" ht="15" customHeight="1" x14ac:dyDescent="0.2">
      <c r="B32" t="s">
        <v>85</v>
      </c>
      <c r="C32" s="12">
        <v>11</v>
      </c>
      <c r="D32" s="8">
        <v>3.47</v>
      </c>
      <c r="E32" s="12">
        <v>3</v>
      </c>
      <c r="F32" s="8">
        <v>1.94</v>
      </c>
      <c r="G32" s="12">
        <v>8</v>
      </c>
      <c r="H32" s="8">
        <v>5.19</v>
      </c>
      <c r="I32" s="12">
        <v>0</v>
      </c>
    </row>
    <row r="33" spans="2:9" ht="15" customHeight="1" x14ac:dyDescent="0.2">
      <c r="B33" t="s">
        <v>92</v>
      </c>
      <c r="C33" s="12">
        <v>11</v>
      </c>
      <c r="D33" s="8">
        <v>3.47</v>
      </c>
      <c r="E33" s="12">
        <v>7</v>
      </c>
      <c r="F33" s="8">
        <v>4.5199999999999996</v>
      </c>
      <c r="G33" s="12">
        <v>4</v>
      </c>
      <c r="H33" s="8">
        <v>2.6</v>
      </c>
      <c r="I33" s="12">
        <v>0</v>
      </c>
    </row>
    <row r="34" spans="2:9" ht="15" customHeight="1" x14ac:dyDescent="0.2">
      <c r="B34" t="s">
        <v>88</v>
      </c>
      <c r="C34" s="12">
        <v>10</v>
      </c>
      <c r="D34" s="8">
        <v>3.15</v>
      </c>
      <c r="E34" s="12">
        <v>4</v>
      </c>
      <c r="F34" s="8">
        <v>2.58</v>
      </c>
      <c r="G34" s="12">
        <v>6</v>
      </c>
      <c r="H34" s="8">
        <v>3.9</v>
      </c>
      <c r="I34" s="12">
        <v>0</v>
      </c>
    </row>
    <row r="35" spans="2:9" ht="15" customHeight="1" x14ac:dyDescent="0.2">
      <c r="B35" t="s">
        <v>100</v>
      </c>
      <c r="C35" s="12">
        <v>9</v>
      </c>
      <c r="D35" s="8">
        <v>2.84</v>
      </c>
      <c r="E35" s="12">
        <v>7</v>
      </c>
      <c r="F35" s="8">
        <v>4.5199999999999996</v>
      </c>
      <c r="G35" s="12">
        <v>2</v>
      </c>
      <c r="H35" s="8">
        <v>1.3</v>
      </c>
      <c r="I35" s="12">
        <v>0</v>
      </c>
    </row>
    <row r="36" spans="2:9" ht="15" customHeight="1" x14ac:dyDescent="0.2">
      <c r="B36" t="s">
        <v>99</v>
      </c>
      <c r="C36" s="12">
        <v>8</v>
      </c>
      <c r="D36" s="8">
        <v>2.52</v>
      </c>
      <c r="E36" s="12">
        <v>5</v>
      </c>
      <c r="F36" s="8">
        <v>3.23</v>
      </c>
      <c r="G36" s="12">
        <v>3</v>
      </c>
      <c r="H36" s="8">
        <v>1.95</v>
      </c>
      <c r="I36" s="12">
        <v>0</v>
      </c>
    </row>
    <row r="37" spans="2:9" ht="15" customHeight="1" x14ac:dyDescent="0.2">
      <c r="B37" t="s">
        <v>101</v>
      </c>
      <c r="C37" s="12">
        <v>7</v>
      </c>
      <c r="D37" s="8">
        <v>2.21</v>
      </c>
      <c r="E37" s="12">
        <v>0</v>
      </c>
      <c r="F37" s="8">
        <v>0</v>
      </c>
      <c r="G37" s="12">
        <v>2</v>
      </c>
      <c r="H37" s="8">
        <v>1.3</v>
      </c>
      <c r="I37" s="12">
        <v>0</v>
      </c>
    </row>
    <row r="38" spans="2:9" ht="15" customHeight="1" x14ac:dyDescent="0.2">
      <c r="B38" t="s">
        <v>130</v>
      </c>
      <c r="C38" s="12">
        <v>6</v>
      </c>
      <c r="D38" s="8">
        <v>1.89</v>
      </c>
      <c r="E38" s="12">
        <v>1</v>
      </c>
      <c r="F38" s="8">
        <v>0.65</v>
      </c>
      <c r="G38" s="12">
        <v>5</v>
      </c>
      <c r="H38" s="8">
        <v>3.25</v>
      </c>
      <c r="I38" s="12">
        <v>0</v>
      </c>
    </row>
    <row r="39" spans="2:9" ht="15" customHeight="1" x14ac:dyDescent="0.2">
      <c r="B39" t="s">
        <v>107</v>
      </c>
      <c r="C39" s="12">
        <v>6</v>
      </c>
      <c r="D39" s="8">
        <v>1.89</v>
      </c>
      <c r="E39" s="12">
        <v>0</v>
      </c>
      <c r="F39" s="8">
        <v>0</v>
      </c>
      <c r="G39" s="12">
        <v>6</v>
      </c>
      <c r="H39" s="8">
        <v>3.9</v>
      </c>
      <c r="I39" s="12">
        <v>0</v>
      </c>
    </row>
    <row r="40" spans="2:9" ht="15" customHeight="1" x14ac:dyDescent="0.2">
      <c r="B40" t="s">
        <v>94</v>
      </c>
      <c r="C40" s="12">
        <v>6</v>
      </c>
      <c r="D40" s="8">
        <v>1.89</v>
      </c>
      <c r="E40" s="12">
        <v>3</v>
      </c>
      <c r="F40" s="8">
        <v>1.94</v>
      </c>
      <c r="G40" s="12">
        <v>3</v>
      </c>
      <c r="H40" s="8">
        <v>1.95</v>
      </c>
      <c r="I40" s="12">
        <v>0</v>
      </c>
    </row>
    <row r="41" spans="2:9" ht="15" customHeight="1" x14ac:dyDescent="0.2">
      <c r="B41" t="s">
        <v>106</v>
      </c>
      <c r="C41" s="12">
        <v>5</v>
      </c>
      <c r="D41" s="8">
        <v>1.58</v>
      </c>
      <c r="E41" s="12">
        <v>1</v>
      </c>
      <c r="F41" s="8">
        <v>0.65</v>
      </c>
      <c r="G41" s="12">
        <v>4</v>
      </c>
      <c r="H41" s="8">
        <v>2.6</v>
      </c>
      <c r="I41" s="12">
        <v>0</v>
      </c>
    </row>
    <row r="42" spans="2:9" ht="15" customHeight="1" x14ac:dyDescent="0.2">
      <c r="B42" t="s">
        <v>93</v>
      </c>
      <c r="C42" s="12">
        <v>5</v>
      </c>
      <c r="D42" s="8">
        <v>1.58</v>
      </c>
      <c r="E42" s="12">
        <v>5</v>
      </c>
      <c r="F42" s="8">
        <v>3.23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98</v>
      </c>
      <c r="C43" s="12">
        <v>5</v>
      </c>
      <c r="D43" s="8">
        <v>1.58</v>
      </c>
      <c r="E43" s="12">
        <v>2</v>
      </c>
      <c r="F43" s="8">
        <v>1.29</v>
      </c>
      <c r="G43" s="12">
        <v>3</v>
      </c>
      <c r="H43" s="8">
        <v>1.95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17</v>
      </c>
      <c r="D47" s="8">
        <v>5.36</v>
      </c>
      <c r="E47" s="12">
        <v>15</v>
      </c>
      <c r="F47" s="8">
        <v>9.68</v>
      </c>
      <c r="G47" s="12">
        <v>2</v>
      </c>
      <c r="H47" s="8">
        <v>1.3</v>
      </c>
      <c r="I47" s="12">
        <v>0</v>
      </c>
    </row>
    <row r="48" spans="2:9" ht="15" customHeight="1" x14ac:dyDescent="0.2">
      <c r="B48" t="s">
        <v>173</v>
      </c>
      <c r="C48" s="12">
        <v>15</v>
      </c>
      <c r="D48" s="8">
        <v>4.7300000000000004</v>
      </c>
      <c r="E48" s="12">
        <v>14</v>
      </c>
      <c r="F48" s="8">
        <v>9.0299999999999994</v>
      </c>
      <c r="G48" s="12">
        <v>1</v>
      </c>
      <c r="H48" s="8">
        <v>0.65</v>
      </c>
      <c r="I48" s="12">
        <v>0</v>
      </c>
    </row>
    <row r="49" spans="2:9" ht="15" customHeight="1" x14ac:dyDescent="0.2">
      <c r="B49" t="s">
        <v>164</v>
      </c>
      <c r="C49" s="12">
        <v>10</v>
      </c>
      <c r="D49" s="8">
        <v>3.15</v>
      </c>
      <c r="E49" s="12">
        <v>5</v>
      </c>
      <c r="F49" s="8">
        <v>3.23</v>
      </c>
      <c r="G49" s="12">
        <v>5</v>
      </c>
      <c r="H49" s="8">
        <v>3.25</v>
      </c>
      <c r="I49" s="12">
        <v>0</v>
      </c>
    </row>
    <row r="50" spans="2:9" ht="15" customHeight="1" x14ac:dyDescent="0.2">
      <c r="B50" t="s">
        <v>168</v>
      </c>
      <c r="C50" s="12">
        <v>9</v>
      </c>
      <c r="D50" s="8">
        <v>2.84</v>
      </c>
      <c r="E50" s="12">
        <v>6</v>
      </c>
      <c r="F50" s="8">
        <v>3.87</v>
      </c>
      <c r="G50" s="12">
        <v>3</v>
      </c>
      <c r="H50" s="8">
        <v>1.95</v>
      </c>
      <c r="I50" s="12">
        <v>0</v>
      </c>
    </row>
    <row r="51" spans="2:9" ht="15" customHeight="1" x14ac:dyDescent="0.2">
      <c r="B51" t="s">
        <v>170</v>
      </c>
      <c r="C51" s="12">
        <v>9</v>
      </c>
      <c r="D51" s="8">
        <v>2.84</v>
      </c>
      <c r="E51" s="12">
        <v>8</v>
      </c>
      <c r="F51" s="8">
        <v>5.16</v>
      </c>
      <c r="G51" s="12">
        <v>1</v>
      </c>
      <c r="H51" s="8">
        <v>0.65</v>
      </c>
      <c r="I51" s="12">
        <v>0</v>
      </c>
    </row>
    <row r="52" spans="2:9" ht="15" customHeight="1" x14ac:dyDescent="0.2">
      <c r="B52" t="s">
        <v>196</v>
      </c>
      <c r="C52" s="12">
        <v>8</v>
      </c>
      <c r="D52" s="8">
        <v>2.52</v>
      </c>
      <c r="E52" s="12">
        <v>2</v>
      </c>
      <c r="F52" s="8">
        <v>1.29</v>
      </c>
      <c r="G52" s="12">
        <v>6</v>
      </c>
      <c r="H52" s="8">
        <v>3.9</v>
      </c>
      <c r="I52" s="12">
        <v>0</v>
      </c>
    </row>
    <row r="53" spans="2:9" ht="15" customHeight="1" x14ac:dyDescent="0.2">
      <c r="B53" t="s">
        <v>161</v>
      </c>
      <c r="C53" s="12">
        <v>8</v>
      </c>
      <c r="D53" s="8">
        <v>2.52</v>
      </c>
      <c r="E53" s="12">
        <v>3</v>
      </c>
      <c r="F53" s="8">
        <v>1.94</v>
      </c>
      <c r="G53" s="12">
        <v>5</v>
      </c>
      <c r="H53" s="8">
        <v>3.25</v>
      </c>
      <c r="I53" s="12">
        <v>0</v>
      </c>
    </row>
    <row r="54" spans="2:9" ht="15" customHeight="1" x14ac:dyDescent="0.2">
      <c r="B54" t="s">
        <v>176</v>
      </c>
      <c r="C54" s="12">
        <v>8</v>
      </c>
      <c r="D54" s="8">
        <v>2.52</v>
      </c>
      <c r="E54" s="12">
        <v>6</v>
      </c>
      <c r="F54" s="8">
        <v>3.87</v>
      </c>
      <c r="G54" s="12">
        <v>2</v>
      </c>
      <c r="H54" s="8">
        <v>1.3</v>
      </c>
      <c r="I54" s="12">
        <v>0</v>
      </c>
    </row>
    <row r="55" spans="2:9" ht="15" customHeight="1" x14ac:dyDescent="0.2">
      <c r="B55" t="s">
        <v>158</v>
      </c>
      <c r="C55" s="12">
        <v>7</v>
      </c>
      <c r="D55" s="8">
        <v>2.21</v>
      </c>
      <c r="E55" s="12">
        <v>0</v>
      </c>
      <c r="F55" s="8">
        <v>0</v>
      </c>
      <c r="G55" s="12">
        <v>7</v>
      </c>
      <c r="H55" s="8">
        <v>4.55</v>
      </c>
      <c r="I55" s="12">
        <v>0</v>
      </c>
    </row>
    <row r="56" spans="2:9" ht="15" customHeight="1" x14ac:dyDescent="0.2">
      <c r="B56" t="s">
        <v>171</v>
      </c>
      <c r="C56" s="12">
        <v>7</v>
      </c>
      <c r="D56" s="8">
        <v>2.21</v>
      </c>
      <c r="E56" s="12">
        <v>7</v>
      </c>
      <c r="F56" s="8">
        <v>4.5199999999999996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166</v>
      </c>
      <c r="C57" s="12">
        <v>6</v>
      </c>
      <c r="D57" s="8">
        <v>1.89</v>
      </c>
      <c r="E57" s="12">
        <v>3</v>
      </c>
      <c r="F57" s="8">
        <v>1.94</v>
      </c>
      <c r="G57" s="12">
        <v>3</v>
      </c>
      <c r="H57" s="8">
        <v>1.95</v>
      </c>
      <c r="I57" s="12">
        <v>0</v>
      </c>
    </row>
    <row r="58" spans="2:9" ht="15" customHeight="1" x14ac:dyDescent="0.2">
      <c r="B58" t="s">
        <v>201</v>
      </c>
      <c r="C58" s="12">
        <v>5</v>
      </c>
      <c r="D58" s="8">
        <v>1.58</v>
      </c>
      <c r="E58" s="12">
        <v>2</v>
      </c>
      <c r="F58" s="8">
        <v>1.29</v>
      </c>
      <c r="G58" s="12">
        <v>3</v>
      </c>
      <c r="H58" s="8">
        <v>1.95</v>
      </c>
      <c r="I58" s="12">
        <v>0</v>
      </c>
    </row>
    <row r="59" spans="2:9" ht="15" customHeight="1" x14ac:dyDescent="0.2">
      <c r="B59" t="s">
        <v>219</v>
      </c>
      <c r="C59" s="12">
        <v>5</v>
      </c>
      <c r="D59" s="8">
        <v>1.58</v>
      </c>
      <c r="E59" s="12">
        <v>3</v>
      </c>
      <c r="F59" s="8">
        <v>1.94</v>
      </c>
      <c r="G59" s="12">
        <v>2</v>
      </c>
      <c r="H59" s="8">
        <v>1.3</v>
      </c>
      <c r="I59" s="12">
        <v>0</v>
      </c>
    </row>
    <row r="60" spans="2:9" ht="15" customHeight="1" x14ac:dyDescent="0.2">
      <c r="B60" t="s">
        <v>165</v>
      </c>
      <c r="C60" s="12">
        <v>5</v>
      </c>
      <c r="D60" s="8">
        <v>1.58</v>
      </c>
      <c r="E60" s="12">
        <v>1</v>
      </c>
      <c r="F60" s="8">
        <v>0.65</v>
      </c>
      <c r="G60" s="12">
        <v>4</v>
      </c>
      <c r="H60" s="8">
        <v>2.6</v>
      </c>
      <c r="I60" s="12">
        <v>0</v>
      </c>
    </row>
    <row r="61" spans="2:9" ht="15" customHeight="1" x14ac:dyDescent="0.2">
      <c r="B61" t="s">
        <v>181</v>
      </c>
      <c r="C61" s="12">
        <v>5</v>
      </c>
      <c r="D61" s="8">
        <v>1.58</v>
      </c>
      <c r="E61" s="12">
        <v>5</v>
      </c>
      <c r="F61" s="8">
        <v>3.23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197</v>
      </c>
      <c r="C62" s="12">
        <v>5</v>
      </c>
      <c r="D62" s="8">
        <v>1.58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187</v>
      </c>
      <c r="C63" s="12">
        <v>4</v>
      </c>
      <c r="D63" s="8">
        <v>1.26</v>
      </c>
      <c r="E63" s="12">
        <v>3</v>
      </c>
      <c r="F63" s="8">
        <v>1.94</v>
      </c>
      <c r="G63" s="12">
        <v>1</v>
      </c>
      <c r="H63" s="8">
        <v>0.65</v>
      </c>
      <c r="I63" s="12">
        <v>0</v>
      </c>
    </row>
    <row r="64" spans="2:9" ht="15" customHeight="1" x14ac:dyDescent="0.2">
      <c r="B64" t="s">
        <v>220</v>
      </c>
      <c r="C64" s="12">
        <v>4</v>
      </c>
      <c r="D64" s="8">
        <v>1.26</v>
      </c>
      <c r="E64" s="12">
        <v>2</v>
      </c>
      <c r="F64" s="8">
        <v>1.29</v>
      </c>
      <c r="G64" s="12">
        <v>2</v>
      </c>
      <c r="H64" s="8">
        <v>1.3</v>
      </c>
      <c r="I64" s="12">
        <v>0</v>
      </c>
    </row>
    <row r="65" spans="2:9" ht="15" customHeight="1" x14ac:dyDescent="0.2">
      <c r="B65" t="s">
        <v>221</v>
      </c>
      <c r="C65" s="12">
        <v>4</v>
      </c>
      <c r="D65" s="8">
        <v>1.26</v>
      </c>
      <c r="E65" s="12">
        <v>1</v>
      </c>
      <c r="F65" s="8">
        <v>0.65</v>
      </c>
      <c r="G65" s="12">
        <v>3</v>
      </c>
      <c r="H65" s="8">
        <v>1.95</v>
      </c>
      <c r="I65" s="12">
        <v>0</v>
      </c>
    </row>
    <row r="66" spans="2:9" ht="15" customHeight="1" x14ac:dyDescent="0.2">
      <c r="B66" t="s">
        <v>190</v>
      </c>
      <c r="C66" s="12">
        <v>4</v>
      </c>
      <c r="D66" s="8">
        <v>1.26</v>
      </c>
      <c r="E66" s="12">
        <v>0</v>
      </c>
      <c r="F66" s="8">
        <v>0</v>
      </c>
      <c r="G66" s="12">
        <v>4</v>
      </c>
      <c r="H66" s="8">
        <v>2.6</v>
      </c>
      <c r="I66" s="12">
        <v>0</v>
      </c>
    </row>
    <row r="67" spans="2:9" ht="15" customHeight="1" x14ac:dyDescent="0.2">
      <c r="B67" t="s">
        <v>222</v>
      </c>
      <c r="C67" s="12">
        <v>4</v>
      </c>
      <c r="D67" s="8">
        <v>1.26</v>
      </c>
      <c r="E67" s="12">
        <v>3</v>
      </c>
      <c r="F67" s="8">
        <v>1.94</v>
      </c>
      <c r="G67" s="12">
        <v>1</v>
      </c>
      <c r="H67" s="8">
        <v>0.65</v>
      </c>
      <c r="I67" s="12">
        <v>0</v>
      </c>
    </row>
    <row r="68" spans="2:9" ht="15" customHeight="1" x14ac:dyDescent="0.2">
      <c r="B68" t="s">
        <v>207</v>
      </c>
      <c r="C68" s="12">
        <v>4</v>
      </c>
      <c r="D68" s="8">
        <v>1.26</v>
      </c>
      <c r="E68" s="12">
        <v>1</v>
      </c>
      <c r="F68" s="8">
        <v>0.65</v>
      </c>
      <c r="G68" s="12">
        <v>3</v>
      </c>
      <c r="H68" s="8">
        <v>1.95</v>
      </c>
      <c r="I68" s="12">
        <v>0</v>
      </c>
    </row>
    <row r="69" spans="2:9" ht="15" customHeight="1" x14ac:dyDescent="0.2">
      <c r="B69" t="s">
        <v>191</v>
      </c>
      <c r="C69" s="12">
        <v>4</v>
      </c>
      <c r="D69" s="8">
        <v>1.26</v>
      </c>
      <c r="E69" s="12">
        <v>2</v>
      </c>
      <c r="F69" s="8">
        <v>1.29</v>
      </c>
      <c r="G69" s="12">
        <v>2</v>
      </c>
      <c r="H69" s="8">
        <v>1.3</v>
      </c>
      <c r="I69" s="12">
        <v>0</v>
      </c>
    </row>
    <row r="70" spans="2:9" ht="15" customHeight="1" x14ac:dyDescent="0.2">
      <c r="B70" t="s">
        <v>178</v>
      </c>
      <c r="C70" s="12">
        <v>4</v>
      </c>
      <c r="D70" s="8">
        <v>1.26</v>
      </c>
      <c r="E70" s="12">
        <v>4</v>
      </c>
      <c r="F70" s="8">
        <v>2.58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208</v>
      </c>
      <c r="C71" s="12">
        <v>4</v>
      </c>
      <c r="D71" s="8">
        <v>1.26</v>
      </c>
      <c r="E71" s="12">
        <v>2</v>
      </c>
      <c r="F71" s="8">
        <v>1.29</v>
      </c>
      <c r="G71" s="12">
        <v>2</v>
      </c>
      <c r="H71" s="8">
        <v>1.3</v>
      </c>
      <c r="I71" s="12">
        <v>0</v>
      </c>
    </row>
    <row r="72" spans="2:9" ht="15" customHeight="1" x14ac:dyDescent="0.2">
      <c r="B72" t="s">
        <v>169</v>
      </c>
      <c r="C72" s="12">
        <v>4</v>
      </c>
      <c r="D72" s="8">
        <v>1.26</v>
      </c>
      <c r="E72" s="12">
        <v>1</v>
      </c>
      <c r="F72" s="8">
        <v>0.65</v>
      </c>
      <c r="G72" s="12">
        <v>3</v>
      </c>
      <c r="H72" s="8">
        <v>1.95</v>
      </c>
      <c r="I72" s="12">
        <v>0</v>
      </c>
    </row>
    <row r="73" spans="2:9" ht="15" customHeight="1" x14ac:dyDescent="0.2">
      <c r="B73" t="s">
        <v>182</v>
      </c>
      <c r="C73" s="12">
        <v>4</v>
      </c>
      <c r="D73" s="8">
        <v>1.26</v>
      </c>
      <c r="E73" s="12">
        <v>0</v>
      </c>
      <c r="F73" s="8">
        <v>0</v>
      </c>
      <c r="G73" s="12">
        <v>4</v>
      </c>
      <c r="H73" s="8">
        <v>2.6</v>
      </c>
      <c r="I73" s="12">
        <v>0</v>
      </c>
    </row>
    <row r="74" spans="2:9" ht="15" customHeight="1" x14ac:dyDescent="0.2">
      <c r="B74" t="s">
        <v>184</v>
      </c>
      <c r="C74" s="12">
        <v>4</v>
      </c>
      <c r="D74" s="8">
        <v>1.26</v>
      </c>
      <c r="E74" s="12">
        <v>2</v>
      </c>
      <c r="F74" s="8">
        <v>1.29</v>
      </c>
      <c r="G74" s="12">
        <v>2</v>
      </c>
      <c r="H74" s="8">
        <v>1.3</v>
      </c>
      <c r="I74" s="12">
        <v>0</v>
      </c>
    </row>
    <row r="75" spans="2:9" ht="15" customHeight="1" x14ac:dyDescent="0.2">
      <c r="B75" t="s">
        <v>175</v>
      </c>
      <c r="C75" s="12">
        <v>4</v>
      </c>
      <c r="D75" s="8">
        <v>1.26</v>
      </c>
      <c r="E75" s="12">
        <v>3</v>
      </c>
      <c r="F75" s="8">
        <v>1.94</v>
      </c>
      <c r="G75" s="12">
        <v>1</v>
      </c>
      <c r="H75" s="8">
        <v>0.65</v>
      </c>
      <c r="I75" s="12">
        <v>0</v>
      </c>
    </row>
    <row r="77" spans="2:9" ht="15" customHeight="1" x14ac:dyDescent="0.2">
      <c r="B7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3081-2C71-4C20-ADB4-ACAF494CCA52}">
  <sheetPr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0.78</v>
      </c>
      <c r="E5" s="12">
        <v>0</v>
      </c>
      <c r="F5" s="8">
        <v>0</v>
      </c>
      <c r="G5" s="12">
        <v>1</v>
      </c>
      <c r="H5" s="8">
        <v>1.92</v>
      </c>
      <c r="I5" s="12">
        <v>0</v>
      </c>
    </row>
    <row r="6" spans="2:9" ht="15" customHeight="1" x14ac:dyDescent="0.2">
      <c r="B6" t="s">
        <v>61</v>
      </c>
      <c r="C6" s="12">
        <v>30</v>
      </c>
      <c r="D6" s="8">
        <v>23.44</v>
      </c>
      <c r="E6" s="12">
        <v>15</v>
      </c>
      <c r="F6" s="8">
        <v>20.83</v>
      </c>
      <c r="G6" s="12">
        <v>15</v>
      </c>
      <c r="H6" s="8">
        <v>28.85</v>
      </c>
      <c r="I6" s="12">
        <v>0</v>
      </c>
    </row>
    <row r="7" spans="2:9" ht="15" customHeight="1" x14ac:dyDescent="0.2">
      <c r="B7" t="s">
        <v>62</v>
      </c>
      <c r="C7" s="12">
        <v>13</v>
      </c>
      <c r="D7" s="8">
        <v>10.16</v>
      </c>
      <c r="E7" s="12">
        <v>3</v>
      </c>
      <c r="F7" s="8">
        <v>4.17</v>
      </c>
      <c r="G7" s="12">
        <v>10</v>
      </c>
      <c r="H7" s="8">
        <v>19.23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0.78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3</v>
      </c>
      <c r="D9" s="8">
        <v>2.34</v>
      </c>
      <c r="E9" s="12">
        <v>2</v>
      </c>
      <c r="F9" s="8">
        <v>2.78</v>
      </c>
      <c r="G9" s="12">
        <v>1</v>
      </c>
      <c r="H9" s="8">
        <v>1.92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2.34</v>
      </c>
      <c r="E10" s="12">
        <v>0</v>
      </c>
      <c r="F10" s="8">
        <v>0</v>
      </c>
      <c r="G10" s="12">
        <v>3</v>
      </c>
      <c r="H10" s="8">
        <v>5.77</v>
      </c>
      <c r="I10" s="12">
        <v>0</v>
      </c>
    </row>
    <row r="11" spans="2:9" ht="15" customHeight="1" x14ac:dyDescent="0.2">
      <c r="B11" t="s">
        <v>66</v>
      </c>
      <c r="C11" s="12">
        <v>28</v>
      </c>
      <c r="D11" s="8">
        <v>21.88</v>
      </c>
      <c r="E11" s="12">
        <v>20</v>
      </c>
      <c r="F11" s="8">
        <v>27.78</v>
      </c>
      <c r="G11" s="12">
        <v>8</v>
      </c>
      <c r="H11" s="8">
        <v>15.38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3</v>
      </c>
      <c r="D13" s="8">
        <v>2.34</v>
      </c>
      <c r="E13" s="12">
        <v>0</v>
      </c>
      <c r="F13" s="8">
        <v>0</v>
      </c>
      <c r="G13" s="12">
        <v>3</v>
      </c>
      <c r="H13" s="8">
        <v>5.77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25</v>
      </c>
      <c r="D15" s="8">
        <v>19.53</v>
      </c>
      <c r="E15" s="12">
        <v>19</v>
      </c>
      <c r="F15" s="8">
        <v>26.39</v>
      </c>
      <c r="G15" s="12">
        <v>5</v>
      </c>
      <c r="H15" s="8">
        <v>9.6199999999999992</v>
      </c>
      <c r="I15" s="12">
        <v>0</v>
      </c>
    </row>
    <row r="16" spans="2:9" ht="15" customHeight="1" x14ac:dyDescent="0.2">
      <c r="B16" t="s">
        <v>71</v>
      </c>
      <c r="C16" s="12">
        <v>10</v>
      </c>
      <c r="D16" s="8">
        <v>7.81</v>
      </c>
      <c r="E16" s="12">
        <v>9</v>
      </c>
      <c r="F16" s="8">
        <v>12.5</v>
      </c>
      <c r="G16" s="12">
        <v>1</v>
      </c>
      <c r="H16" s="8">
        <v>1.92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1.56</v>
      </c>
      <c r="E17" s="12">
        <v>1</v>
      </c>
      <c r="F17" s="8">
        <v>1.39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4</v>
      </c>
      <c r="D18" s="8">
        <v>3.13</v>
      </c>
      <c r="E18" s="12">
        <v>1</v>
      </c>
      <c r="F18" s="8">
        <v>1.39</v>
      </c>
      <c r="G18" s="12">
        <v>3</v>
      </c>
      <c r="H18" s="8">
        <v>5.77</v>
      </c>
      <c r="I18" s="12">
        <v>0</v>
      </c>
    </row>
    <row r="19" spans="2:9" ht="15" customHeight="1" x14ac:dyDescent="0.2">
      <c r="B19" t="s">
        <v>74</v>
      </c>
      <c r="C19" s="12">
        <v>5</v>
      </c>
      <c r="D19" s="8">
        <v>3.91</v>
      </c>
      <c r="E19" s="12">
        <v>2</v>
      </c>
      <c r="F19" s="8">
        <v>2.78</v>
      </c>
      <c r="G19" s="12">
        <v>2</v>
      </c>
      <c r="H19" s="8">
        <v>3.85</v>
      </c>
      <c r="I19" s="12">
        <v>1</v>
      </c>
    </row>
    <row r="20" spans="2:9" ht="15" customHeight="1" x14ac:dyDescent="0.2">
      <c r="B20" s="9" t="s">
        <v>337</v>
      </c>
      <c r="C20" s="12">
        <f>SUM(LTBL_07344[総数／事業所数])</f>
        <v>128</v>
      </c>
      <c r="E20" s="12">
        <f>SUBTOTAL(109,LTBL_07344[個人／事業所数])</f>
        <v>72</v>
      </c>
      <c r="G20" s="12">
        <f>SUBTOTAL(109,LTBL_07344[法人／事業所数])</f>
        <v>52</v>
      </c>
      <c r="I20" s="12">
        <f>SUBTOTAL(109,LTBL_07344[法人以外の団体／事業所数])</f>
        <v>1</v>
      </c>
    </row>
    <row r="21" spans="2:9" ht="15" customHeight="1" x14ac:dyDescent="0.2">
      <c r="E21" s="11">
        <f>LTBL_07344[[#Totals],[個人／事業所数]]/LTBL_07344[[#Totals],[総数／事業所数]]</f>
        <v>0.5625</v>
      </c>
      <c r="G21" s="11">
        <f>LTBL_07344[[#Totals],[法人／事業所数]]/LTBL_07344[[#Totals],[総数／事業所数]]</f>
        <v>0.40625</v>
      </c>
      <c r="I21" s="11">
        <f>LTBL_07344[[#Totals],[法人以外の団体／事業所数]]/LTBL_07344[[#Totals],[総数／事業所数]]</f>
        <v>7.8125E-3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15</v>
      </c>
      <c r="D24" s="8">
        <v>11.72</v>
      </c>
      <c r="E24" s="12">
        <v>6</v>
      </c>
      <c r="F24" s="8">
        <v>8.33</v>
      </c>
      <c r="G24" s="12">
        <v>9</v>
      </c>
      <c r="H24" s="8">
        <v>17.309999999999999</v>
      </c>
      <c r="I24" s="12">
        <v>0</v>
      </c>
    </row>
    <row r="25" spans="2:9" ht="15" customHeight="1" x14ac:dyDescent="0.2">
      <c r="B25" t="s">
        <v>89</v>
      </c>
      <c r="C25" s="12">
        <v>14</v>
      </c>
      <c r="D25" s="8">
        <v>10.94</v>
      </c>
      <c r="E25" s="12">
        <v>11</v>
      </c>
      <c r="F25" s="8">
        <v>15.28</v>
      </c>
      <c r="G25" s="12">
        <v>3</v>
      </c>
      <c r="H25" s="8">
        <v>5.77</v>
      </c>
      <c r="I25" s="12">
        <v>0</v>
      </c>
    </row>
    <row r="26" spans="2:9" ht="15" customHeight="1" x14ac:dyDescent="0.2">
      <c r="B26" t="s">
        <v>95</v>
      </c>
      <c r="C26" s="12">
        <v>13</v>
      </c>
      <c r="D26" s="8">
        <v>10.16</v>
      </c>
      <c r="E26" s="12">
        <v>11</v>
      </c>
      <c r="F26" s="8">
        <v>15.28</v>
      </c>
      <c r="G26" s="12">
        <v>2</v>
      </c>
      <c r="H26" s="8">
        <v>3.85</v>
      </c>
      <c r="I26" s="12">
        <v>0</v>
      </c>
    </row>
    <row r="27" spans="2:9" ht="15" customHeight="1" x14ac:dyDescent="0.2">
      <c r="B27" t="s">
        <v>84</v>
      </c>
      <c r="C27" s="12">
        <v>11</v>
      </c>
      <c r="D27" s="8">
        <v>8.59</v>
      </c>
      <c r="E27" s="12">
        <v>7</v>
      </c>
      <c r="F27" s="8">
        <v>9.7200000000000006</v>
      </c>
      <c r="G27" s="12">
        <v>4</v>
      </c>
      <c r="H27" s="8">
        <v>7.69</v>
      </c>
      <c r="I27" s="12">
        <v>0</v>
      </c>
    </row>
    <row r="28" spans="2:9" ht="15" customHeight="1" x14ac:dyDescent="0.2">
      <c r="B28" t="s">
        <v>97</v>
      </c>
      <c r="C28" s="12">
        <v>9</v>
      </c>
      <c r="D28" s="8">
        <v>7.03</v>
      </c>
      <c r="E28" s="12">
        <v>8</v>
      </c>
      <c r="F28" s="8">
        <v>11.11</v>
      </c>
      <c r="G28" s="12">
        <v>1</v>
      </c>
      <c r="H28" s="8">
        <v>1.92</v>
      </c>
      <c r="I28" s="12">
        <v>0</v>
      </c>
    </row>
    <row r="29" spans="2:9" ht="15" customHeight="1" x14ac:dyDescent="0.2">
      <c r="B29" t="s">
        <v>96</v>
      </c>
      <c r="C29" s="12">
        <v>8</v>
      </c>
      <c r="D29" s="8">
        <v>6.25</v>
      </c>
      <c r="E29" s="12">
        <v>8</v>
      </c>
      <c r="F29" s="8">
        <v>11.11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91</v>
      </c>
      <c r="C30" s="12">
        <v>7</v>
      </c>
      <c r="D30" s="8">
        <v>5.47</v>
      </c>
      <c r="E30" s="12">
        <v>4</v>
      </c>
      <c r="F30" s="8">
        <v>5.56</v>
      </c>
      <c r="G30" s="12">
        <v>3</v>
      </c>
      <c r="H30" s="8">
        <v>5.77</v>
      </c>
      <c r="I30" s="12">
        <v>0</v>
      </c>
    </row>
    <row r="31" spans="2:9" ht="15" customHeight="1" x14ac:dyDescent="0.2">
      <c r="B31" t="s">
        <v>110</v>
      </c>
      <c r="C31" s="12">
        <v>5</v>
      </c>
      <c r="D31" s="8">
        <v>3.91</v>
      </c>
      <c r="E31" s="12">
        <v>2</v>
      </c>
      <c r="F31" s="8">
        <v>2.78</v>
      </c>
      <c r="G31" s="12">
        <v>3</v>
      </c>
      <c r="H31" s="8">
        <v>5.77</v>
      </c>
      <c r="I31" s="12">
        <v>0</v>
      </c>
    </row>
    <row r="32" spans="2:9" ht="15" customHeight="1" x14ac:dyDescent="0.2">
      <c r="B32" t="s">
        <v>85</v>
      </c>
      <c r="C32" s="12">
        <v>4</v>
      </c>
      <c r="D32" s="8">
        <v>3.13</v>
      </c>
      <c r="E32" s="12">
        <v>2</v>
      </c>
      <c r="F32" s="8">
        <v>2.78</v>
      </c>
      <c r="G32" s="12">
        <v>2</v>
      </c>
      <c r="H32" s="8">
        <v>3.85</v>
      </c>
      <c r="I32" s="12">
        <v>0</v>
      </c>
    </row>
    <row r="33" spans="2:9" ht="15" customHeight="1" x14ac:dyDescent="0.2">
      <c r="B33" t="s">
        <v>113</v>
      </c>
      <c r="C33" s="12">
        <v>4</v>
      </c>
      <c r="D33" s="8">
        <v>3.13</v>
      </c>
      <c r="E33" s="12">
        <v>0</v>
      </c>
      <c r="F33" s="8">
        <v>0</v>
      </c>
      <c r="G33" s="12">
        <v>3</v>
      </c>
      <c r="H33" s="8">
        <v>5.77</v>
      </c>
      <c r="I33" s="12">
        <v>0</v>
      </c>
    </row>
    <row r="34" spans="2:9" ht="15" customHeight="1" x14ac:dyDescent="0.2">
      <c r="B34" t="s">
        <v>104</v>
      </c>
      <c r="C34" s="12">
        <v>3</v>
      </c>
      <c r="D34" s="8">
        <v>2.34</v>
      </c>
      <c r="E34" s="12">
        <v>0</v>
      </c>
      <c r="F34" s="8">
        <v>0</v>
      </c>
      <c r="G34" s="12">
        <v>3</v>
      </c>
      <c r="H34" s="8">
        <v>5.77</v>
      </c>
      <c r="I34" s="12">
        <v>0</v>
      </c>
    </row>
    <row r="35" spans="2:9" ht="15" customHeight="1" x14ac:dyDescent="0.2">
      <c r="B35" t="s">
        <v>112</v>
      </c>
      <c r="C35" s="12">
        <v>2</v>
      </c>
      <c r="D35" s="8">
        <v>1.56</v>
      </c>
      <c r="E35" s="12">
        <v>0</v>
      </c>
      <c r="F35" s="8">
        <v>0</v>
      </c>
      <c r="G35" s="12">
        <v>2</v>
      </c>
      <c r="H35" s="8">
        <v>3.85</v>
      </c>
      <c r="I35" s="12">
        <v>0</v>
      </c>
    </row>
    <row r="36" spans="2:9" ht="15" customHeight="1" x14ac:dyDescent="0.2">
      <c r="B36" t="s">
        <v>128</v>
      </c>
      <c r="C36" s="12">
        <v>2</v>
      </c>
      <c r="D36" s="8">
        <v>1.56</v>
      </c>
      <c r="E36" s="12">
        <v>1</v>
      </c>
      <c r="F36" s="8">
        <v>1.39</v>
      </c>
      <c r="G36" s="12">
        <v>1</v>
      </c>
      <c r="H36" s="8">
        <v>1.92</v>
      </c>
      <c r="I36" s="12">
        <v>0</v>
      </c>
    </row>
    <row r="37" spans="2:9" ht="15" customHeight="1" x14ac:dyDescent="0.2">
      <c r="B37" t="s">
        <v>106</v>
      </c>
      <c r="C37" s="12">
        <v>2</v>
      </c>
      <c r="D37" s="8">
        <v>1.56</v>
      </c>
      <c r="E37" s="12">
        <v>1</v>
      </c>
      <c r="F37" s="8">
        <v>1.39</v>
      </c>
      <c r="G37" s="12">
        <v>1</v>
      </c>
      <c r="H37" s="8">
        <v>1.92</v>
      </c>
      <c r="I37" s="12">
        <v>0</v>
      </c>
    </row>
    <row r="38" spans="2:9" ht="15" customHeight="1" x14ac:dyDescent="0.2">
      <c r="B38" t="s">
        <v>99</v>
      </c>
      <c r="C38" s="12">
        <v>2</v>
      </c>
      <c r="D38" s="8">
        <v>1.56</v>
      </c>
      <c r="E38" s="12">
        <v>1</v>
      </c>
      <c r="F38" s="8">
        <v>1.39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100</v>
      </c>
      <c r="C39" s="12">
        <v>2</v>
      </c>
      <c r="D39" s="8">
        <v>1.56</v>
      </c>
      <c r="E39" s="12">
        <v>1</v>
      </c>
      <c r="F39" s="8">
        <v>1.39</v>
      </c>
      <c r="G39" s="12">
        <v>1</v>
      </c>
      <c r="H39" s="8">
        <v>1.92</v>
      </c>
      <c r="I39" s="12">
        <v>0</v>
      </c>
    </row>
    <row r="40" spans="2:9" ht="15" customHeight="1" x14ac:dyDescent="0.2">
      <c r="B40" t="s">
        <v>101</v>
      </c>
      <c r="C40" s="12">
        <v>2</v>
      </c>
      <c r="D40" s="8">
        <v>1.56</v>
      </c>
      <c r="E40" s="12">
        <v>0</v>
      </c>
      <c r="F40" s="8">
        <v>0</v>
      </c>
      <c r="G40" s="12">
        <v>2</v>
      </c>
      <c r="H40" s="8">
        <v>3.85</v>
      </c>
      <c r="I40" s="12">
        <v>0</v>
      </c>
    </row>
    <row r="41" spans="2:9" ht="15" customHeight="1" x14ac:dyDescent="0.2">
      <c r="B41" t="s">
        <v>120</v>
      </c>
      <c r="C41" s="12">
        <v>2</v>
      </c>
      <c r="D41" s="8">
        <v>1.56</v>
      </c>
      <c r="E41" s="12">
        <v>0</v>
      </c>
      <c r="F41" s="8">
        <v>0</v>
      </c>
      <c r="G41" s="12">
        <v>2</v>
      </c>
      <c r="H41" s="8">
        <v>3.85</v>
      </c>
      <c r="I41" s="12">
        <v>0</v>
      </c>
    </row>
    <row r="42" spans="2:9" ht="15" customHeight="1" x14ac:dyDescent="0.2">
      <c r="B42" t="s">
        <v>102</v>
      </c>
      <c r="C42" s="12">
        <v>2</v>
      </c>
      <c r="D42" s="8">
        <v>1.56</v>
      </c>
      <c r="E42" s="12">
        <v>2</v>
      </c>
      <c r="F42" s="8">
        <v>2.78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131</v>
      </c>
      <c r="C43" s="12">
        <v>1</v>
      </c>
      <c r="D43" s="8">
        <v>0.78</v>
      </c>
      <c r="E43" s="12">
        <v>0</v>
      </c>
      <c r="F43" s="8">
        <v>0</v>
      </c>
      <c r="G43" s="12">
        <v>1</v>
      </c>
      <c r="H43" s="8">
        <v>1.92</v>
      </c>
      <c r="I43" s="12">
        <v>0</v>
      </c>
    </row>
    <row r="44" spans="2:9" ht="15" customHeight="1" x14ac:dyDescent="0.2">
      <c r="B44" t="s">
        <v>132</v>
      </c>
      <c r="C44" s="12">
        <v>1</v>
      </c>
      <c r="D44" s="8">
        <v>0.78</v>
      </c>
      <c r="E44" s="12">
        <v>0</v>
      </c>
      <c r="F44" s="8">
        <v>0</v>
      </c>
      <c r="G44" s="12">
        <v>1</v>
      </c>
      <c r="H44" s="8">
        <v>1.92</v>
      </c>
      <c r="I44" s="12">
        <v>0</v>
      </c>
    </row>
    <row r="45" spans="2:9" ht="15" customHeight="1" x14ac:dyDescent="0.2">
      <c r="B45" t="s">
        <v>111</v>
      </c>
      <c r="C45" s="12">
        <v>1</v>
      </c>
      <c r="D45" s="8">
        <v>0.78</v>
      </c>
      <c r="E45" s="12">
        <v>0</v>
      </c>
      <c r="F45" s="8">
        <v>0</v>
      </c>
      <c r="G45" s="12">
        <v>1</v>
      </c>
      <c r="H45" s="8">
        <v>1.92</v>
      </c>
      <c r="I45" s="12">
        <v>0</v>
      </c>
    </row>
    <row r="46" spans="2:9" ht="15" customHeight="1" x14ac:dyDescent="0.2">
      <c r="B46" t="s">
        <v>124</v>
      </c>
      <c r="C46" s="12">
        <v>1</v>
      </c>
      <c r="D46" s="8">
        <v>0.78</v>
      </c>
      <c r="E46" s="12">
        <v>0</v>
      </c>
      <c r="F46" s="8">
        <v>0</v>
      </c>
      <c r="G46" s="12">
        <v>1</v>
      </c>
      <c r="H46" s="8">
        <v>1.92</v>
      </c>
      <c r="I46" s="12">
        <v>0</v>
      </c>
    </row>
    <row r="47" spans="2:9" ht="15" customHeight="1" x14ac:dyDescent="0.2">
      <c r="B47" t="s">
        <v>116</v>
      </c>
      <c r="C47" s="12">
        <v>1</v>
      </c>
      <c r="D47" s="8">
        <v>0.78</v>
      </c>
      <c r="E47" s="12">
        <v>1</v>
      </c>
      <c r="F47" s="8">
        <v>1.39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133</v>
      </c>
      <c r="C48" s="12">
        <v>1</v>
      </c>
      <c r="D48" s="8">
        <v>0.78</v>
      </c>
      <c r="E48" s="12">
        <v>0</v>
      </c>
      <c r="F48" s="8">
        <v>0</v>
      </c>
      <c r="G48" s="12">
        <v>1</v>
      </c>
      <c r="H48" s="8">
        <v>1.92</v>
      </c>
      <c r="I48" s="12">
        <v>0</v>
      </c>
    </row>
    <row r="49" spans="2:9" ht="15" customHeight="1" x14ac:dyDescent="0.2">
      <c r="B49" t="s">
        <v>115</v>
      </c>
      <c r="C49" s="12">
        <v>1</v>
      </c>
      <c r="D49" s="8">
        <v>0.78</v>
      </c>
      <c r="E49" s="12">
        <v>0</v>
      </c>
      <c r="F49" s="8">
        <v>0</v>
      </c>
      <c r="G49" s="12">
        <v>1</v>
      </c>
      <c r="H49" s="8">
        <v>1.92</v>
      </c>
      <c r="I49" s="12">
        <v>0</v>
      </c>
    </row>
    <row r="50" spans="2:9" ht="15" customHeight="1" x14ac:dyDescent="0.2">
      <c r="B50" t="s">
        <v>127</v>
      </c>
      <c r="C50" s="12">
        <v>1</v>
      </c>
      <c r="D50" s="8">
        <v>0.78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134</v>
      </c>
      <c r="C51" s="12">
        <v>1</v>
      </c>
      <c r="D51" s="8">
        <v>0.78</v>
      </c>
      <c r="E51" s="12">
        <v>1</v>
      </c>
      <c r="F51" s="8">
        <v>1.39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135</v>
      </c>
      <c r="C52" s="12">
        <v>1</v>
      </c>
      <c r="D52" s="8">
        <v>0.78</v>
      </c>
      <c r="E52" s="12">
        <v>0</v>
      </c>
      <c r="F52" s="8">
        <v>0</v>
      </c>
      <c r="G52" s="12">
        <v>1</v>
      </c>
      <c r="H52" s="8">
        <v>1.92</v>
      </c>
      <c r="I52" s="12">
        <v>0</v>
      </c>
    </row>
    <row r="53" spans="2:9" ht="15" customHeight="1" x14ac:dyDescent="0.2">
      <c r="B53" t="s">
        <v>136</v>
      </c>
      <c r="C53" s="12">
        <v>1</v>
      </c>
      <c r="D53" s="8">
        <v>0.78</v>
      </c>
      <c r="E53" s="12">
        <v>0</v>
      </c>
      <c r="F53" s="8">
        <v>0</v>
      </c>
      <c r="G53" s="12">
        <v>1</v>
      </c>
      <c r="H53" s="8">
        <v>1.92</v>
      </c>
      <c r="I53" s="12">
        <v>0</v>
      </c>
    </row>
    <row r="54" spans="2:9" ht="15" customHeight="1" x14ac:dyDescent="0.2">
      <c r="B54" t="s">
        <v>137</v>
      </c>
      <c r="C54" s="12">
        <v>1</v>
      </c>
      <c r="D54" s="8">
        <v>0.78</v>
      </c>
      <c r="E54" s="12">
        <v>0</v>
      </c>
      <c r="F54" s="8">
        <v>0</v>
      </c>
      <c r="G54" s="12">
        <v>1</v>
      </c>
      <c r="H54" s="8">
        <v>1.92</v>
      </c>
      <c r="I54" s="12">
        <v>0</v>
      </c>
    </row>
    <row r="55" spans="2:9" ht="15" customHeight="1" x14ac:dyDescent="0.2">
      <c r="B55" t="s">
        <v>86</v>
      </c>
      <c r="C55" s="12">
        <v>1</v>
      </c>
      <c r="D55" s="8">
        <v>0.78</v>
      </c>
      <c r="E55" s="12">
        <v>1</v>
      </c>
      <c r="F55" s="8">
        <v>1.39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87</v>
      </c>
      <c r="C56" s="12">
        <v>1</v>
      </c>
      <c r="D56" s="8">
        <v>0.78</v>
      </c>
      <c r="E56" s="12">
        <v>0</v>
      </c>
      <c r="F56" s="8">
        <v>0</v>
      </c>
      <c r="G56" s="12">
        <v>1</v>
      </c>
      <c r="H56" s="8">
        <v>1.92</v>
      </c>
      <c r="I56" s="12">
        <v>0</v>
      </c>
    </row>
    <row r="57" spans="2:9" ht="15" customHeight="1" x14ac:dyDescent="0.2">
      <c r="B57" t="s">
        <v>107</v>
      </c>
      <c r="C57" s="12">
        <v>1</v>
      </c>
      <c r="D57" s="8">
        <v>0.78</v>
      </c>
      <c r="E57" s="12">
        <v>1</v>
      </c>
      <c r="F57" s="8">
        <v>1.39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88</v>
      </c>
      <c r="C58" s="12">
        <v>1</v>
      </c>
      <c r="D58" s="8">
        <v>0.78</v>
      </c>
      <c r="E58" s="12">
        <v>1</v>
      </c>
      <c r="F58" s="8">
        <v>1.39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90</v>
      </c>
      <c r="C59" s="12">
        <v>1</v>
      </c>
      <c r="D59" s="8">
        <v>0.78</v>
      </c>
      <c r="E59" s="12">
        <v>1</v>
      </c>
      <c r="F59" s="8">
        <v>1.39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129</v>
      </c>
      <c r="C60" s="12">
        <v>1</v>
      </c>
      <c r="D60" s="8">
        <v>0.78</v>
      </c>
      <c r="E60" s="12">
        <v>1</v>
      </c>
      <c r="F60" s="8">
        <v>1.39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123</v>
      </c>
      <c r="C61" s="12">
        <v>1</v>
      </c>
      <c r="D61" s="8">
        <v>0.78</v>
      </c>
      <c r="E61" s="12">
        <v>0</v>
      </c>
      <c r="F61" s="8">
        <v>0</v>
      </c>
      <c r="G61" s="12">
        <v>0</v>
      </c>
      <c r="H61" s="8">
        <v>0</v>
      </c>
      <c r="I61" s="12">
        <v>1</v>
      </c>
    </row>
    <row r="64" spans="2:9" ht="33" customHeight="1" x14ac:dyDescent="0.2">
      <c r="B64" t="s">
        <v>339</v>
      </c>
      <c r="C64" s="10" t="s">
        <v>76</v>
      </c>
      <c r="D64" s="10" t="s">
        <v>77</v>
      </c>
      <c r="E64" s="10" t="s">
        <v>78</v>
      </c>
      <c r="F64" s="10" t="s">
        <v>79</v>
      </c>
      <c r="G64" s="10" t="s">
        <v>80</v>
      </c>
      <c r="H64" s="10" t="s">
        <v>81</v>
      </c>
      <c r="I64" s="10" t="s">
        <v>82</v>
      </c>
    </row>
    <row r="65" spans="2:9" ht="15" customHeight="1" x14ac:dyDescent="0.2">
      <c r="B65" t="s">
        <v>215</v>
      </c>
      <c r="C65" s="12">
        <v>12</v>
      </c>
      <c r="D65" s="8">
        <v>9.3800000000000008</v>
      </c>
      <c r="E65" s="12">
        <v>11</v>
      </c>
      <c r="F65" s="8">
        <v>15.28</v>
      </c>
      <c r="G65" s="12">
        <v>1</v>
      </c>
      <c r="H65" s="8">
        <v>1.92</v>
      </c>
      <c r="I65" s="12">
        <v>0</v>
      </c>
    </row>
    <row r="66" spans="2:9" ht="15" customHeight="1" x14ac:dyDescent="0.2">
      <c r="B66" t="s">
        <v>159</v>
      </c>
      <c r="C66" s="12">
        <v>5</v>
      </c>
      <c r="D66" s="8">
        <v>3.91</v>
      </c>
      <c r="E66" s="12">
        <v>1</v>
      </c>
      <c r="F66" s="8">
        <v>1.39</v>
      </c>
      <c r="G66" s="12">
        <v>4</v>
      </c>
      <c r="H66" s="8">
        <v>7.69</v>
      </c>
      <c r="I66" s="12">
        <v>0</v>
      </c>
    </row>
    <row r="67" spans="2:9" ht="15" customHeight="1" x14ac:dyDescent="0.2">
      <c r="B67" t="s">
        <v>181</v>
      </c>
      <c r="C67" s="12">
        <v>5</v>
      </c>
      <c r="D67" s="8">
        <v>3.91</v>
      </c>
      <c r="E67" s="12">
        <v>5</v>
      </c>
      <c r="F67" s="8">
        <v>6.94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173</v>
      </c>
      <c r="C68" s="12">
        <v>5</v>
      </c>
      <c r="D68" s="8">
        <v>3.91</v>
      </c>
      <c r="E68" s="12">
        <v>5</v>
      </c>
      <c r="F68" s="8">
        <v>6.94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158</v>
      </c>
      <c r="C69" s="12">
        <v>4</v>
      </c>
      <c r="D69" s="8">
        <v>3.13</v>
      </c>
      <c r="E69" s="12">
        <v>0</v>
      </c>
      <c r="F69" s="8">
        <v>0</v>
      </c>
      <c r="G69" s="12">
        <v>4</v>
      </c>
      <c r="H69" s="8">
        <v>7.69</v>
      </c>
      <c r="I69" s="12">
        <v>0</v>
      </c>
    </row>
    <row r="70" spans="2:9" ht="15" customHeight="1" x14ac:dyDescent="0.2">
      <c r="B70" t="s">
        <v>160</v>
      </c>
      <c r="C70" s="12">
        <v>4</v>
      </c>
      <c r="D70" s="8">
        <v>3.13</v>
      </c>
      <c r="E70" s="12">
        <v>4</v>
      </c>
      <c r="F70" s="8">
        <v>5.56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178</v>
      </c>
      <c r="C71" s="12">
        <v>4</v>
      </c>
      <c r="D71" s="8">
        <v>3.13</v>
      </c>
      <c r="E71" s="12">
        <v>2</v>
      </c>
      <c r="F71" s="8">
        <v>2.78</v>
      </c>
      <c r="G71" s="12">
        <v>2</v>
      </c>
      <c r="H71" s="8">
        <v>3.85</v>
      </c>
      <c r="I71" s="12">
        <v>0</v>
      </c>
    </row>
    <row r="72" spans="2:9" ht="15" customHeight="1" x14ac:dyDescent="0.2">
      <c r="B72" t="s">
        <v>163</v>
      </c>
      <c r="C72" s="12">
        <v>4</v>
      </c>
      <c r="D72" s="8">
        <v>3.13</v>
      </c>
      <c r="E72" s="12">
        <v>3</v>
      </c>
      <c r="F72" s="8">
        <v>4.17</v>
      </c>
      <c r="G72" s="12">
        <v>1</v>
      </c>
      <c r="H72" s="8">
        <v>1.92</v>
      </c>
      <c r="I72" s="12">
        <v>0</v>
      </c>
    </row>
    <row r="73" spans="2:9" ht="15" customHeight="1" x14ac:dyDescent="0.2">
      <c r="B73" t="s">
        <v>186</v>
      </c>
      <c r="C73" s="12">
        <v>4</v>
      </c>
      <c r="D73" s="8">
        <v>3.13</v>
      </c>
      <c r="E73" s="12">
        <v>0</v>
      </c>
      <c r="F73" s="8">
        <v>0</v>
      </c>
      <c r="G73" s="12">
        <v>3</v>
      </c>
      <c r="H73" s="8">
        <v>5.77</v>
      </c>
      <c r="I73" s="12">
        <v>0</v>
      </c>
    </row>
    <row r="74" spans="2:9" ht="15" customHeight="1" x14ac:dyDescent="0.2">
      <c r="B74" t="s">
        <v>196</v>
      </c>
      <c r="C74" s="12">
        <v>3</v>
      </c>
      <c r="D74" s="8">
        <v>2.34</v>
      </c>
      <c r="E74" s="12">
        <v>2</v>
      </c>
      <c r="F74" s="8">
        <v>2.78</v>
      </c>
      <c r="G74" s="12">
        <v>1</v>
      </c>
      <c r="H74" s="8">
        <v>1.92</v>
      </c>
      <c r="I74" s="12">
        <v>0</v>
      </c>
    </row>
    <row r="75" spans="2:9" ht="15" customHeight="1" x14ac:dyDescent="0.2">
      <c r="B75" t="s">
        <v>199</v>
      </c>
      <c r="C75" s="12">
        <v>3</v>
      </c>
      <c r="D75" s="8">
        <v>2.34</v>
      </c>
      <c r="E75" s="12">
        <v>3</v>
      </c>
      <c r="F75" s="8">
        <v>4.17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191</v>
      </c>
      <c r="C76" s="12">
        <v>3</v>
      </c>
      <c r="D76" s="8">
        <v>2.34</v>
      </c>
      <c r="E76" s="12">
        <v>3</v>
      </c>
      <c r="F76" s="8">
        <v>4.17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165</v>
      </c>
      <c r="C77" s="12">
        <v>3</v>
      </c>
      <c r="D77" s="8">
        <v>2.34</v>
      </c>
      <c r="E77" s="12">
        <v>1</v>
      </c>
      <c r="F77" s="8">
        <v>1.39</v>
      </c>
      <c r="G77" s="12">
        <v>2</v>
      </c>
      <c r="H77" s="8">
        <v>3.85</v>
      </c>
      <c r="I77" s="12">
        <v>0</v>
      </c>
    </row>
    <row r="78" spans="2:9" ht="15" customHeight="1" x14ac:dyDescent="0.2">
      <c r="B78" t="s">
        <v>198</v>
      </c>
      <c r="C78" s="12">
        <v>2</v>
      </c>
      <c r="D78" s="8">
        <v>1.56</v>
      </c>
      <c r="E78" s="12">
        <v>1</v>
      </c>
      <c r="F78" s="8">
        <v>1.39</v>
      </c>
      <c r="G78" s="12">
        <v>1</v>
      </c>
      <c r="H78" s="8">
        <v>1.92</v>
      </c>
      <c r="I78" s="12">
        <v>0</v>
      </c>
    </row>
    <row r="79" spans="2:9" ht="15" customHeight="1" x14ac:dyDescent="0.2">
      <c r="B79" t="s">
        <v>194</v>
      </c>
      <c r="C79" s="12">
        <v>2</v>
      </c>
      <c r="D79" s="8">
        <v>1.56</v>
      </c>
      <c r="E79" s="12">
        <v>2</v>
      </c>
      <c r="F79" s="8">
        <v>2.78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187</v>
      </c>
      <c r="C80" s="12">
        <v>2</v>
      </c>
      <c r="D80" s="8">
        <v>1.56</v>
      </c>
      <c r="E80" s="12">
        <v>0</v>
      </c>
      <c r="F80" s="8">
        <v>0</v>
      </c>
      <c r="G80" s="12">
        <v>2</v>
      </c>
      <c r="H80" s="8">
        <v>3.85</v>
      </c>
      <c r="I80" s="12">
        <v>0</v>
      </c>
    </row>
    <row r="81" spans="2:9" ht="15" customHeight="1" x14ac:dyDescent="0.2">
      <c r="B81" t="s">
        <v>161</v>
      </c>
      <c r="C81" s="12">
        <v>2</v>
      </c>
      <c r="D81" s="8">
        <v>1.56</v>
      </c>
      <c r="E81" s="12">
        <v>1</v>
      </c>
      <c r="F81" s="8">
        <v>1.39</v>
      </c>
      <c r="G81" s="12">
        <v>1</v>
      </c>
      <c r="H81" s="8">
        <v>1.92</v>
      </c>
      <c r="I81" s="12">
        <v>0</v>
      </c>
    </row>
    <row r="82" spans="2:9" ht="15" customHeight="1" x14ac:dyDescent="0.2">
      <c r="B82" t="s">
        <v>162</v>
      </c>
      <c r="C82" s="12">
        <v>2</v>
      </c>
      <c r="D82" s="8">
        <v>1.56</v>
      </c>
      <c r="E82" s="12">
        <v>1</v>
      </c>
      <c r="F82" s="8">
        <v>1.39</v>
      </c>
      <c r="G82" s="12">
        <v>1</v>
      </c>
      <c r="H82" s="8">
        <v>1.92</v>
      </c>
      <c r="I82" s="12">
        <v>0</v>
      </c>
    </row>
    <row r="83" spans="2:9" ht="15" customHeight="1" x14ac:dyDescent="0.2">
      <c r="B83" t="s">
        <v>223</v>
      </c>
      <c r="C83" s="12">
        <v>2</v>
      </c>
      <c r="D83" s="8">
        <v>1.56</v>
      </c>
      <c r="E83" s="12">
        <v>1</v>
      </c>
      <c r="F83" s="8">
        <v>1.39</v>
      </c>
      <c r="G83" s="12">
        <v>1</v>
      </c>
      <c r="H83" s="8">
        <v>1.92</v>
      </c>
      <c r="I83" s="12">
        <v>0</v>
      </c>
    </row>
    <row r="84" spans="2:9" ht="15" customHeight="1" x14ac:dyDescent="0.2">
      <c r="B84" t="s">
        <v>224</v>
      </c>
      <c r="C84" s="12">
        <v>2</v>
      </c>
      <c r="D84" s="8">
        <v>1.56</v>
      </c>
      <c r="E84" s="12">
        <v>1</v>
      </c>
      <c r="F84" s="8">
        <v>1.39</v>
      </c>
      <c r="G84" s="12">
        <v>1</v>
      </c>
      <c r="H84" s="8">
        <v>1.92</v>
      </c>
      <c r="I84" s="12">
        <v>0</v>
      </c>
    </row>
    <row r="85" spans="2:9" ht="15" customHeight="1" x14ac:dyDescent="0.2">
      <c r="B85" t="s">
        <v>225</v>
      </c>
      <c r="C85" s="12">
        <v>2</v>
      </c>
      <c r="D85" s="8">
        <v>1.56</v>
      </c>
      <c r="E85" s="12">
        <v>1</v>
      </c>
      <c r="F85" s="8">
        <v>1.39</v>
      </c>
      <c r="G85" s="12">
        <v>1</v>
      </c>
      <c r="H85" s="8">
        <v>1.92</v>
      </c>
      <c r="I85" s="12">
        <v>0</v>
      </c>
    </row>
    <row r="86" spans="2:9" ht="15" customHeight="1" x14ac:dyDescent="0.2">
      <c r="B86" t="s">
        <v>212</v>
      </c>
      <c r="C86" s="12">
        <v>2</v>
      </c>
      <c r="D86" s="8">
        <v>1.56</v>
      </c>
      <c r="E86" s="12">
        <v>2</v>
      </c>
      <c r="F86" s="8">
        <v>2.78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210</v>
      </c>
      <c r="C87" s="12">
        <v>2</v>
      </c>
      <c r="D87" s="8">
        <v>1.56</v>
      </c>
      <c r="E87" s="12">
        <v>2</v>
      </c>
      <c r="F87" s="8">
        <v>2.78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183</v>
      </c>
      <c r="C88" s="12">
        <v>2</v>
      </c>
      <c r="D88" s="8">
        <v>1.56</v>
      </c>
      <c r="E88" s="12">
        <v>0</v>
      </c>
      <c r="F88" s="8">
        <v>0</v>
      </c>
      <c r="G88" s="12">
        <v>2</v>
      </c>
      <c r="H88" s="8">
        <v>3.85</v>
      </c>
      <c r="I88" s="12">
        <v>0</v>
      </c>
    </row>
    <row r="89" spans="2:9" ht="15" customHeight="1" x14ac:dyDescent="0.2">
      <c r="B89" t="s">
        <v>174</v>
      </c>
      <c r="C89" s="12">
        <v>2</v>
      </c>
      <c r="D89" s="8">
        <v>1.56</v>
      </c>
      <c r="E89" s="12">
        <v>2</v>
      </c>
      <c r="F89" s="8">
        <v>2.78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200</v>
      </c>
      <c r="C90" s="12">
        <v>2</v>
      </c>
      <c r="D90" s="8">
        <v>1.56</v>
      </c>
      <c r="E90" s="12">
        <v>0</v>
      </c>
      <c r="F90" s="8">
        <v>0</v>
      </c>
      <c r="G90" s="12">
        <v>2</v>
      </c>
      <c r="H90" s="8">
        <v>3.85</v>
      </c>
      <c r="I90" s="12">
        <v>0</v>
      </c>
    </row>
    <row r="91" spans="2:9" ht="15" customHeight="1" x14ac:dyDescent="0.2">
      <c r="B91" t="s">
        <v>206</v>
      </c>
      <c r="C91" s="12">
        <v>2</v>
      </c>
      <c r="D91" s="8">
        <v>1.56</v>
      </c>
      <c r="E91" s="12">
        <v>0</v>
      </c>
      <c r="F91" s="8">
        <v>0</v>
      </c>
      <c r="G91" s="12">
        <v>2</v>
      </c>
      <c r="H91" s="8">
        <v>3.85</v>
      </c>
      <c r="I91" s="12">
        <v>0</v>
      </c>
    </row>
    <row r="92" spans="2:9" ht="15" customHeight="1" x14ac:dyDescent="0.2">
      <c r="B92" t="s">
        <v>177</v>
      </c>
      <c r="C92" s="12">
        <v>2</v>
      </c>
      <c r="D92" s="8">
        <v>1.56</v>
      </c>
      <c r="E92" s="12">
        <v>2</v>
      </c>
      <c r="F92" s="8">
        <v>2.78</v>
      </c>
      <c r="G92" s="12">
        <v>0</v>
      </c>
      <c r="H92" s="8">
        <v>0</v>
      </c>
      <c r="I92" s="12">
        <v>0</v>
      </c>
    </row>
    <row r="94" spans="2:9" ht="15" customHeight="1" x14ac:dyDescent="0.2">
      <c r="B94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5EF3-F874-4558-9EF4-32915519EC6E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360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35</v>
      </c>
      <c r="D6" s="8">
        <v>15.09</v>
      </c>
      <c r="E6" s="12">
        <v>14</v>
      </c>
      <c r="F6" s="8">
        <v>9.59</v>
      </c>
      <c r="G6" s="12">
        <v>21</v>
      </c>
      <c r="H6" s="8">
        <v>27.63</v>
      </c>
      <c r="I6" s="12">
        <v>0</v>
      </c>
    </row>
    <row r="7" spans="2:9" ht="15" customHeight="1" x14ac:dyDescent="0.2">
      <c r="B7" t="s">
        <v>62</v>
      </c>
      <c r="C7" s="12">
        <v>11</v>
      </c>
      <c r="D7" s="8">
        <v>4.74</v>
      </c>
      <c r="E7" s="12">
        <v>8</v>
      </c>
      <c r="F7" s="8">
        <v>5.48</v>
      </c>
      <c r="G7" s="12">
        <v>3</v>
      </c>
      <c r="H7" s="8">
        <v>3.95</v>
      </c>
      <c r="I7" s="12">
        <v>0</v>
      </c>
    </row>
    <row r="8" spans="2:9" ht="15" customHeight="1" x14ac:dyDescent="0.2">
      <c r="B8" t="s">
        <v>63</v>
      </c>
      <c r="C8" s="12">
        <v>2</v>
      </c>
      <c r="D8" s="8">
        <v>0.86</v>
      </c>
      <c r="E8" s="12">
        <v>0</v>
      </c>
      <c r="F8" s="8">
        <v>0</v>
      </c>
      <c r="G8" s="12">
        <v>1</v>
      </c>
      <c r="H8" s="8">
        <v>1.32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1.72</v>
      </c>
      <c r="E10" s="12">
        <v>2</v>
      </c>
      <c r="F10" s="8">
        <v>1.37</v>
      </c>
      <c r="G10" s="12">
        <v>2</v>
      </c>
      <c r="H10" s="8">
        <v>2.63</v>
      </c>
      <c r="I10" s="12">
        <v>0</v>
      </c>
    </row>
    <row r="11" spans="2:9" ht="15" customHeight="1" x14ac:dyDescent="0.2">
      <c r="B11" t="s">
        <v>66</v>
      </c>
      <c r="C11" s="12">
        <v>73</v>
      </c>
      <c r="D11" s="8">
        <v>31.47</v>
      </c>
      <c r="E11" s="12">
        <v>51</v>
      </c>
      <c r="F11" s="8">
        <v>34.93</v>
      </c>
      <c r="G11" s="12">
        <v>22</v>
      </c>
      <c r="H11" s="8">
        <v>28.95</v>
      </c>
      <c r="I11" s="12">
        <v>0</v>
      </c>
    </row>
    <row r="12" spans="2:9" ht="15" customHeight="1" x14ac:dyDescent="0.2">
      <c r="B12" t="s">
        <v>67</v>
      </c>
      <c r="C12" s="12">
        <v>2</v>
      </c>
      <c r="D12" s="8">
        <v>0.86</v>
      </c>
      <c r="E12" s="12">
        <v>0</v>
      </c>
      <c r="F12" s="8">
        <v>0</v>
      </c>
      <c r="G12" s="12">
        <v>2</v>
      </c>
      <c r="H12" s="8">
        <v>2.63</v>
      </c>
      <c r="I12" s="12">
        <v>0</v>
      </c>
    </row>
    <row r="13" spans="2:9" ht="15" customHeight="1" x14ac:dyDescent="0.2">
      <c r="B13" t="s">
        <v>68</v>
      </c>
      <c r="C13" s="12">
        <v>4</v>
      </c>
      <c r="D13" s="8">
        <v>1.72</v>
      </c>
      <c r="E13" s="12">
        <v>2</v>
      </c>
      <c r="F13" s="8">
        <v>1.37</v>
      </c>
      <c r="G13" s="12">
        <v>1</v>
      </c>
      <c r="H13" s="8">
        <v>1.32</v>
      </c>
      <c r="I13" s="12">
        <v>0</v>
      </c>
    </row>
    <row r="14" spans="2:9" ht="15" customHeight="1" x14ac:dyDescent="0.2">
      <c r="B14" t="s">
        <v>69</v>
      </c>
      <c r="C14" s="12">
        <v>4</v>
      </c>
      <c r="D14" s="8">
        <v>1.72</v>
      </c>
      <c r="E14" s="12">
        <v>1</v>
      </c>
      <c r="F14" s="8">
        <v>0.68</v>
      </c>
      <c r="G14" s="12">
        <v>3</v>
      </c>
      <c r="H14" s="8">
        <v>3.95</v>
      </c>
      <c r="I14" s="12">
        <v>0</v>
      </c>
    </row>
    <row r="15" spans="2:9" ht="15" customHeight="1" x14ac:dyDescent="0.2">
      <c r="B15" t="s">
        <v>70</v>
      </c>
      <c r="C15" s="12">
        <v>48</v>
      </c>
      <c r="D15" s="8">
        <v>20.69</v>
      </c>
      <c r="E15" s="12">
        <v>35</v>
      </c>
      <c r="F15" s="8">
        <v>23.97</v>
      </c>
      <c r="G15" s="12">
        <v>13</v>
      </c>
      <c r="H15" s="8">
        <v>17.11</v>
      </c>
      <c r="I15" s="12">
        <v>0</v>
      </c>
    </row>
    <row r="16" spans="2:9" ht="15" customHeight="1" x14ac:dyDescent="0.2">
      <c r="B16" t="s">
        <v>71</v>
      </c>
      <c r="C16" s="12">
        <v>33</v>
      </c>
      <c r="D16" s="8">
        <v>14.22</v>
      </c>
      <c r="E16" s="12">
        <v>26</v>
      </c>
      <c r="F16" s="8">
        <v>17.809999999999999</v>
      </c>
      <c r="G16" s="12">
        <v>4</v>
      </c>
      <c r="H16" s="8">
        <v>5.26</v>
      </c>
      <c r="I16" s="12">
        <v>1</v>
      </c>
    </row>
    <row r="17" spans="2:9" ht="15" customHeight="1" x14ac:dyDescent="0.2">
      <c r="B17" t="s">
        <v>72</v>
      </c>
      <c r="C17" s="12">
        <v>3</v>
      </c>
      <c r="D17" s="8">
        <v>1.29</v>
      </c>
      <c r="E17" s="12">
        <v>1</v>
      </c>
      <c r="F17" s="8">
        <v>0.68</v>
      </c>
      <c r="G17" s="12">
        <v>1</v>
      </c>
      <c r="H17" s="8">
        <v>1.32</v>
      </c>
      <c r="I17" s="12">
        <v>0</v>
      </c>
    </row>
    <row r="18" spans="2:9" ht="15" customHeight="1" x14ac:dyDescent="0.2">
      <c r="B18" t="s">
        <v>73</v>
      </c>
      <c r="C18" s="12">
        <v>6</v>
      </c>
      <c r="D18" s="8">
        <v>2.59</v>
      </c>
      <c r="E18" s="12">
        <v>2</v>
      </c>
      <c r="F18" s="8">
        <v>1.37</v>
      </c>
      <c r="G18" s="12">
        <v>2</v>
      </c>
      <c r="H18" s="8">
        <v>2.63</v>
      </c>
      <c r="I18" s="12">
        <v>0</v>
      </c>
    </row>
    <row r="19" spans="2:9" ht="15" customHeight="1" x14ac:dyDescent="0.2">
      <c r="B19" t="s">
        <v>74</v>
      </c>
      <c r="C19" s="12">
        <v>7</v>
      </c>
      <c r="D19" s="8">
        <v>3.02</v>
      </c>
      <c r="E19" s="12">
        <v>4</v>
      </c>
      <c r="F19" s="8">
        <v>2.74</v>
      </c>
      <c r="G19" s="12">
        <v>1</v>
      </c>
      <c r="H19" s="8">
        <v>1.32</v>
      </c>
      <c r="I19" s="12">
        <v>0</v>
      </c>
    </row>
    <row r="20" spans="2:9" ht="15" customHeight="1" x14ac:dyDescent="0.2">
      <c r="B20" s="9" t="s">
        <v>337</v>
      </c>
      <c r="C20" s="12">
        <f>SUM(LTBL_07362[総数／事業所数])</f>
        <v>232</v>
      </c>
      <c r="E20" s="12">
        <f>SUBTOTAL(109,LTBL_07362[個人／事業所数])</f>
        <v>146</v>
      </c>
      <c r="G20" s="12">
        <f>SUBTOTAL(109,LTBL_07362[法人／事業所数])</f>
        <v>76</v>
      </c>
      <c r="I20" s="12">
        <f>SUBTOTAL(109,LTBL_07362[法人以外の団体／事業所数])</f>
        <v>1</v>
      </c>
    </row>
    <row r="21" spans="2:9" ht="15" customHeight="1" x14ac:dyDescent="0.2">
      <c r="E21" s="11">
        <f>LTBL_07362[[#Totals],[個人／事業所数]]/LTBL_07362[[#Totals],[総数／事業所数]]</f>
        <v>0.62931034482758619</v>
      </c>
      <c r="G21" s="11">
        <f>LTBL_07362[[#Totals],[法人／事業所数]]/LTBL_07362[[#Totals],[総数／事業所数]]</f>
        <v>0.32758620689655171</v>
      </c>
      <c r="I21" s="11">
        <f>LTBL_07362[[#Totals],[法人以外の団体／事業所数]]/LTBL_07362[[#Totals],[総数／事業所数]]</f>
        <v>4.3103448275862068E-3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91</v>
      </c>
      <c r="C24" s="12">
        <v>34</v>
      </c>
      <c r="D24" s="8">
        <v>14.66</v>
      </c>
      <c r="E24" s="12">
        <v>23</v>
      </c>
      <c r="F24" s="8">
        <v>15.75</v>
      </c>
      <c r="G24" s="12">
        <v>11</v>
      </c>
      <c r="H24" s="8">
        <v>14.47</v>
      </c>
      <c r="I24" s="12">
        <v>0</v>
      </c>
    </row>
    <row r="25" spans="2:9" ht="15" customHeight="1" x14ac:dyDescent="0.2">
      <c r="B25" t="s">
        <v>89</v>
      </c>
      <c r="C25" s="12">
        <v>27</v>
      </c>
      <c r="D25" s="8">
        <v>11.64</v>
      </c>
      <c r="E25" s="12">
        <v>19</v>
      </c>
      <c r="F25" s="8">
        <v>13.01</v>
      </c>
      <c r="G25" s="12">
        <v>8</v>
      </c>
      <c r="H25" s="8">
        <v>10.53</v>
      </c>
      <c r="I25" s="12">
        <v>0</v>
      </c>
    </row>
    <row r="26" spans="2:9" ht="15" customHeight="1" x14ac:dyDescent="0.2">
      <c r="B26" t="s">
        <v>96</v>
      </c>
      <c r="C26" s="12">
        <v>27</v>
      </c>
      <c r="D26" s="8">
        <v>11.64</v>
      </c>
      <c r="E26" s="12">
        <v>23</v>
      </c>
      <c r="F26" s="8">
        <v>15.75</v>
      </c>
      <c r="G26" s="12">
        <v>4</v>
      </c>
      <c r="H26" s="8">
        <v>5.26</v>
      </c>
      <c r="I26" s="12">
        <v>0</v>
      </c>
    </row>
    <row r="27" spans="2:9" ht="15" customHeight="1" x14ac:dyDescent="0.2">
      <c r="B27" t="s">
        <v>97</v>
      </c>
      <c r="C27" s="12">
        <v>27</v>
      </c>
      <c r="D27" s="8">
        <v>11.64</v>
      </c>
      <c r="E27" s="12">
        <v>25</v>
      </c>
      <c r="F27" s="8">
        <v>17.12</v>
      </c>
      <c r="G27" s="12">
        <v>2</v>
      </c>
      <c r="H27" s="8">
        <v>2.63</v>
      </c>
      <c r="I27" s="12">
        <v>0</v>
      </c>
    </row>
    <row r="28" spans="2:9" ht="15" customHeight="1" x14ac:dyDescent="0.2">
      <c r="B28" t="s">
        <v>83</v>
      </c>
      <c r="C28" s="12">
        <v>21</v>
      </c>
      <c r="D28" s="8">
        <v>9.0500000000000007</v>
      </c>
      <c r="E28" s="12">
        <v>7</v>
      </c>
      <c r="F28" s="8">
        <v>4.79</v>
      </c>
      <c r="G28" s="12">
        <v>14</v>
      </c>
      <c r="H28" s="8">
        <v>18.420000000000002</v>
      </c>
      <c r="I28" s="12">
        <v>0</v>
      </c>
    </row>
    <row r="29" spans="2:9" ht="15" customHeight="1" x14ac:dyDescent="0.2">
      <c r="B29" t="s">
        <v>95</v>
      </c>
      <c r="C29" s="12">
        <v>17</v>
      </c>
      <c r="D29" s="8">
        <v>7.33</v>
      </c>
      <c r="E29" s="12">
        <v>12</v>
      </c>
      <c r="F29" s="8">
        <v>8.2200000000000006</v>
      </c>
      <c r="G29" s="12">
        <v>5</v>
      </c>
      <c r="H29" s="8">
        <v>6.58</v>
      </c>
      <c r="I29" s="12">
        <v>0</v>
      </c>
    </row>
    <row r="30" spans="2:9" ht="15" customHeight="1" x14ac:dyDescent="0.2">
      <c r="B30" t="s">
        <v>84</v>
      </c>
      <c r="C30" s="12">
        <v>8</v>
      </c>
      <c r="D30" s="8">
        <v>3.45</v>
      </c>
      <c r="E30" s="12">
        <v>6</v>
      </c>
      <c r="F30" s="8">
        <v>4.1100000000000003</v>
      </c>
      <c r="G30" s="12">
        <v>2</v>
      </c>
      <c r="H30" s="8">
        <v>2.63</v>
      </c>
      <c r="I30" s="12">
        <v>0</v>
      </c>
    </row>
    <row r="31" spans="2:9" ht="15" customHeight="1" x14ac:dyDescent="0.2">
      <c r="B31" t="s">
        <v>85</v>
      </c>
      <c r="C31" s="12">
        <v>6</v>
      </c>
      <c r="D31" s="8">
        <v>2.59</v>
      </c>
      <c r="E31" s="12">
        <v>1</v>
      </c>
      <c r="F31" s="8">
        <v>0.68</v>
      </c>
      <c r="G31" s="12">
        <v>5</v>
      </c>
      <c r="H31" s="8">
        <v>6.58</v>
      </c>
      <c r="I31" s="12">
        <v>0</v>
      </c>
    </row>
    <row r="32" spans="2:9" ht="15" customHeight="1" x14ac:dyDescent="0.2">
      <c r="B32" t="s">
        <v>129</v>
      </c>
      <c r="C32" s="12">
        <v>5</v>
      </c>
      <c r="D32" s="8">
        <v>2.16</v>
      </c>
      <c r="E32" s="12">
        <v>1</v>
      </c>
      <c r="F32" s="8">
        <v>0.68</v>
      </c>
      <c r="G32" s="12">
        <v>1</v>
      </c>
      <c r="H32" s="8">
        <v>1.32</v>
      </c>
      <c r="I32" s="12">
        <v>1</v>
      </c>
    </row>
    <row r="33" spans="2:9" ht="15" customHeight="1" x14ac:dyDescent="0.2">
      <c r="B33" t="s">
        <v>110</v>
      </c>
      <c r="C33" s="12">
        <v>4</v>
      </c>
      <c r="D33" s="8">
        <v>1.72</v>
      </c>
      <c r="E33" s="12">
        <v>4</v>
      </c>
      <c r="F33" s="8">
        <v>2.74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107</v>
      </c>
      <c r="C34" s="12">
        <v>4</v>
      </c>
      <c r="D34" s="8">
        <v>1.72</v>
      </c>
      <c r="E34" s="12">
        <v>2</v>
      </c>
      <c r="F34" s="8">
        <v>1.37</v>
      </c>
      <c r="G34" s="12">
        <v>2</v>
      </c>
      <c r="H34" s="8">
        <v>2.63</v>
      </c>
      <c r="I34" s="12">
        <v>0</v>
      </c>
    </row>
    <row r="35" spans="2:9" ht="15" customHeight="1" x14ac:dyDescent="0.2">
      <c r="B35" t="s">
        <v>94</v>
      </c>
      <c r="C35" s="12">
        <v>4</v>
      </c>
      <c r="D35" s="8">
        <v>1.72</v>
      </c>
      <c r="E35" s="12">
        <v>1</v>
      </c>
      <c r="F35" s="8">
        <v>0.68</v>
      </c>
      <c r="G35" s="12">
        <v>3</v>
      </c>
      <c r="H35" s="8">
        <v>3.95</v>
      </c>
      <c r="I35" s="12">
        <v>0</v>
      </c>
    </row>
    <row r="36" spans="2:9" ht="15" customHeight="1" x14ac:dyDescent="0.2">
      <c r="B36" t="s">
        <v>113</v>
      </c>
      <c r="C36" s="12">
        <v>4</v>
      </c>
      <c r="D36" s="8">
        <v>1.72</v>
      </c>
      <c r="E36" s="12">
        <v>0</v>
      </c>
      <c r="F36" s="8">
        <v>0</v>
      </c>
      <c r="G36" s="12">
        <v>4</v>
      </c>
      <c r="H36" s="8">
        <v>5.26</v>
      </c>
      <c r="I36" s="12">
        <v>0</v>
      </c>
    </row>
    <row r="37" spans="2:9" ht="15" customHeight="1" x14ac:dyDescent="0.2">
      <c r="B37" t="s">
        <v>101</v>
      </c>
      <c r="C37" s="12">
        <v>4</v>
      </c>
      <c r="D37" s="8">
        <v>1.72</v>
      </c>
      <c r="E37" s="12">
        <v>0</v>
      </c>
      <c r="F37" s="8">
        <v>0</v>
      </c>
      <c r="G37" s="12">
        <v>2</v>
      </c>
      <c r="H37" s="8">
        <v>2.63</v>
      </c>
      <c r="I37" s="12">
        <v>0</v>
      </c>
    </row>
    <row r="38" spans="2:9" ht="15" customHeight="1" x14ac:dyDescent="0.2">
      <c r="B38" t="s">
        <v>88</v>
      </c>
      <c r="C38" s="12">
        <v>3</v>
      </c>
      <c r="D38" s="8">
        <v>1.29</v>
      </c>
      <c r="E38" s="12">
        <v>3</v>
      </c>
      <c r="F38" s="8">
        <v>2.0499999999999998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90</v>
      </c>
      <c r="C39" s="12">
        <v>3</v>
      </c>
      <c r="D39" s="8">
        <v>1.29</v>
      </c>
      <c r="E39" s="12">
        <v>2</v>
      </c>
      <c r="F39" s="8">
        <v>1.37</v>
      </c>
      <c r="G39" s="12">
        <v>1</v>
      </c>
      <c r="H39" s="8">
        <v>1.32</v>
      </c>
      <c r="I39" s="12">
        <v>0</v>
      </c>
    </row>
    <row r="40" spans="2:9" ht="15" customHeight="1" x14ac:dyDescent="0.2">
      <c r="B40" t="s">
        <v>99</v>
      </c>
      <c r="C40" s="12">
        <v>3</v>
      </c>
      <c r="D40" s="8">
        <v>1.29</v>
      </c>
      <c r="E40" s="12">
        <v>1</v>
      </c>
      <c r="F40" s="8">
        <v>0.68</v>
      </c>
      <c r="G40" s="12">
        <v>1</v>
      </c>
      <c r="H40" s="8">
        <v>1.32</v>
      </c>
      <c r="I40" s="12">
        <v>0</v>
      </c>
    </row>
    <row r="41" spans="2:9" ht="15" customHeight="1" x14ac:dyDescent="0.2">
      <c r="B41" t="s">
        <v>102</v>
      </c>
      <c r="C41" s="12">
        <v>3</v>
      </c>
      <c r="D41" s="8">
        <v>1.29</v>
      </c>
      <c r="E41" s="12">
        <v>3</v>
      </c>
      <c r="F41" s="8">
        <v>2.0499999999999998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138</v>
      </c>
      <c r="C42" s="12">
        <v>2</v>
      </c>
      <c r="D42" s="8">
        <v>0.86</v>
      </c>
      <c r="E42" s="12">
        <v>1</v>
      </c>
      <c r="F42" s="8">
        <v>0.68</v>
      </c>
      <c r="G42" s="12">
        <v>1</v>
      </c>
      <c r="H42" s="8">
        <v>1.32</v>
      </c>
      <c r="I42" s="12">
        <v>0</v>
      </c>
    </row>
    <row r="43" spans="2:9" ht="15" customHeight="1" x14ac:dyDescent="0.2">
      <c r="B43" t="s">
        <v>136</v>
      </c>
      <c r="C43" s="12">
        <v>2</v>
      </c>
      <c r="D43" s="8">
        <v>0.86</v>
      </c>
      <c r="E43" s="12">
        <v>1</v>
      </c>
      <c r="F43" s="8">
        <v>0.68</v>
      </c>
      <c r="G43" s="12">
        <v>1</v>
      </c>
      <c r="H43" s="8">
        <v>1.32</v>
      </c>
      <c r="I43" s="12">
        <v>0</v>
      </c>
    </row>
    <row r="44" spans="2:9" ht="15" customHeight="1" x14ac:dyDescent="0.2">
      <c r="B44" t="s">
        <v>117</v>
      </c>
      <c r="C44" s="12">
        <v>2</v>
      </c>
      <c r="D44" s="8">
        <v>0.86</v>
      </c>
      <c r="E44" s="12">
        <v>1</v>
      </c>
      <c r="F44" s="8">
        <v>0.68</v>
      </c>
      <c r="G44" s="12">
        <v>1</v>
      </c>
      <c r="H44" s="8">
        <v>1.32</v>
      </c>
      <c r="I44" s="12">
        <v>0</v>
      </c>
    </row>
    <row r="45" spans="2:9" ht="15" customHeight="1" x14ac:dyDescent="0.2">
      <c r="B45" t="s">
        <v>109</v>
      </c>
      <c r="C45" s="12">
        <v>2</v>
      </c>
      <c r="D45" s="8">
        <v>0.86</v>
      </c>
      <c r="E45" s="12">
        <v>0</v>
      </c>
      <c r="F45" s="8">
        <v>0</v>
      </c>
      <c r="G45" s="12">
        <v>2</v>
      </c>
      <c r="H45" s="8">
        <v>2.63</v>
      </c>
      <c r="I45" s="12">
        <v>0</v>
      </c>
    </row>
    <row r="46" spans="2:9" ht="15" customHeight="1" x14ac:dyDescent="0.2">
      <c r="B46" t="s">
        <v>92</v>
      </c>
      <c r="C46" s="12">
        <v>2</v>
      </c>
      <c r="D46" s="8">
        <v>0.86</v>
      </c>
      <c r="E46" s="12">
        <v>1</v>
      </c>
      <c r="F46" s="8">
        <v>0.68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139</v>
      </c>
      <c r="C47" s="12">
        <v>2</v>
      </c>
      <c r="D47" s="8">
        <v>0.86</v>
      </c>
      <c r="E47" s="12">
        <v>1</v>
      </c>
      <c r="F47" s="8">
        <v>0.68</v>
      </c>
      <c r="G47" s="12">
        <v>1</v>
      </c>
      <c r="H47" s="8">
        <v>1.32</v>
      </c>
      <c r="I47" s="12">
        <v>0</v>
      </c>
    </row>
    <row r="48" spans="2:9" ht="15" customHeight="1" x14ac:dyDescent="0.2">
      <c r="B48" t="s">
        <v>100</v>
      </c>
      <c r="C48" s="12">
        <v>2</v>
      </c>
      <c r="D48" s="8">
        <v>0.86</v>
      </c>
      <c r="E48" s="12">
        <v>2</v>
      </c>
      <c r="F48" s="8">
        <v>1.37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120</v>
      </c>
      <c r="C49" s="12">
        <v>2</v>
      </c>
      <c r="D49" s="8">
        <v>0.86</v>
      </c>
      <c r="E49" s="12">
        <v>1</v>
      </c>
      <c r="F49" s="8">
        <v>0.68</v>
      </c>
      <c r="G49" s="12">
        <v>1</v>
      </c>
      <c r="H49" s="8">
        <v>1.32</v>
      </c>
      <c r="I49" s="12">
        <v>0</v>
      </c>
    </row>
    <row r="50" spans="2:9" ht="15" customHeight="1" x14ac:dyDescent="0.2">
      <c r="B50" t="s">
        <v>140</v>
      </c>
      <c r="C50" s="12">
        <v>2</v>
      </c>
      <c r="D50" s="8">
        <v>0.86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339</v>
      </c>
      <c r="C53" s="10" t="s">
        <v>76</v>
      </c>
      <c r="D53" s="10" t="s">
        <v>77</v>
      </c>
      <c r="E53" s="10" t="s">
        <v>78</v>
      </c>
      <c r="F53" s="10" t="s">
        <v>79</v>
      </c>
      <c r="G53" s="10" t="s">
        <v>80</v>
      </c>
      <c r="H53" s="10" t="s">
        <v>81</v>
      </c>
      <c r="I53" s="10" t="s">
        <v>82</v>
      </c>
    </row>
    <row r="54" spans="2:9" ht="15" customHeight="1" x14ac:dyDescent="0.2">
      <c r="B54" t="s">
        <v>166</v>
      </c>
      <c r="C54" s="12">
        <v>18</v>
      </c>
      <c r="D54" s="8">
        <v>7.76</v>
      </c>
      <c r="E54" s="12">
        <v>18</v>
      </c>
      <c r="F54" s="8">
        <v>12.33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215</v>
      </c>
      <c r="C55" s="12">
        <v>17</v>
      </c>
      <c r="D55" s="8">
        <v>7.33</v>
      </c>
      <c r="E55" s="12">
        <v>12</v>
      </c>
      <c r="F55" s="8">
        <v>8.2200000000000006</v>
      </c>
      <c r="G55" s="12">
        <v>5</v>
      </c>
      <c r="H55" s="8">
        <v>6.58</v>
      </c>
      <c r="I55" s="12">
        <v>0</v>
      </c>
    </row>
    <row r="56" spans="2:9" ht="15" customHeight="1" x14ac:dyDescent="0.2">
      <c r="B56" t="s">
        <v>173</v>
      </c>
      <c r="C56" s="12">
        <v>17</v>
      </c>
      <c r="D56" s="8">
        <v>7.33</v>
      </c>
      <c r="E56" s="12">
        <v>17</v>
      </c>
      <c r="F56" s="8">
        <v>11.64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191</v>
      </c>
      <c r="C57" s="12">
        <v>11</v>
      </c>
      <c r="D57" s="8">
        <v>4.74</v>
      </c>
      <c r="E57" s="12">
        <v>9</v>
      </c>
      <c r="F57" s="8">
        <v>6.16</v>
      </c>
      <c r="G57" s="12">
        <v>2</v>
      </c>
      <c r="H57" s="8">
        <v>2.63</v>
      </c>
      <c r="I57" s="12">
        <v>0</v>
      </c>
    </row>
    <row r="58" spans="2:9" ht="15" customHeight="1" x14ac:dyDescent="0.2">
      <c r="B58" t="s">
        <v>158</v>
      </c>
      <c r="C58" s="12">
        <v>10</v>
      </c>
      <c r="D58" s="8">
        <v>4.3099999999999996</v>
      </c>
      <c r="E58" s="12">
        <v>2</v>
      </c>
      <c r="F58" s="8">
        <v>1.37</v>
      </c>
      <c r="G58" s="12">
        <v>8</v>
      </c>
      <c r="H58" s="8">
        <v>10.53</v>
      </c>
      <c r="I58" s="12">
        <v>0</v>
      </c>
    </row>
    <row r="59" spans="2:9" ht="15" customHeight="1" x14ac:dyDescent="0.2">
      <c r="B59" t="s">
        <v>185</v>
      </c>
      <c r="C59" s="12">
        <v>10</v>
      </c>
      <c r="D59" s="8">
        <v>4.3099999999999996</v>
      </c>
      <c r="E59" s="12">
        <v>0</v>
      </c>
      <c r="F59" s="8">
        <v>0</v>
      </c>
      <c r="G59" s="12">
        <v>10</v>
      </c>
      <c r="H59" s="8">
        <v>13.16</v>
      </c>
      <c r="I59" s="12">
        <v>0</v>
      </c>
    </row>
    <row r="60" spans="2:9" ht="15" customHeight="1" x14ac:dyDescent="0.2">
      <c r="B60" t="s">
        <v>174</v>
      </c>
      <c r="C60" s="12">
        <v>8</v>
      </c>
      <c r="D60" s="8">
        <v>3.45</v>
      </c>
      <c r="E60" s="12">
        <v>7</v>
      </c>
      <c r="F60" s="8">
        <v>4.79</v>
      </c>
      <c r="G60" s="12">
        <v>1</v>
      </c>
      <c r="H60" s="8">
        <v>1.32</v>
      </c>
      <c r="I60" s="12">
        <v>0</v>
      </c>
    </row>
    <row r="61" spans="2:9" ht="15" customHeight="1" x14ac:dyDescent="0.2">
      <c r="B61" t="s">
        <v>160</v>
      </c>
      <c r="C61" s="12">
        <v>7</v>
      </c>
      <c r="D61" s="8">
        <v>3.02</v>
      </c>
      <c r="E61" s="12">
        <v>5</v>
      </c>
      <c r="F61" s="8">
        <v>3.42</v>
      </c>
      <c r="G61" s="12">
        <v>2</v>
      </c>
      <c r="H61" s="8">
        <v>2.63</v>
      </c>
      <c r="I61" s="12">
        <v>0</v>
      </c>
    </row>
    <row r="62" spans="2:9" ht="15" customHeight="1" x14ac:dyDescent="0.2">
      <c r="B62" t="s">
        <v>163</v>
      </c>
      <c r="C62" s="12">
        <v>7</v>
      </c>
      <c r="D62" s="8">
        <v>3.02</v>
      </c>
      <c r="E62" s="12">
        <v>4</v>
      </c>
      <c r="F62" s="8">
        <v>2.74</v>
      </c>
      <c r="G62" s="12">
        <v>3</v>
      </c>
      <c r="H62" s="8">
        <v>3.95</v>
      </c>
      <c r="I62" s="12">
        <v>0</v>
      </c>
    </row>
    <row r="63" spans="2:9" ht="15" customHeight="1" x14ac:dyDescent="0.2">
      <c r="B63" t="s">
        <v>170</v>
      </c>
      <c r="C63" s="12">
        <v>7</v>
      </c>
      <c r="D63" s="8">
        <v>3.02</v>
      </c>
      <c r="E63" s="12">
        <v>6</v>
      </c>
      <c r="F63" s="8">
        <v>4.1100000000000003</v>
      </c>
      <c r="G63" s="12">
        <v>1</v>
      </c>
      <c r="H63" s="8">
        <v>1.32</v>
      </c>
      <c r="I63" s="12">
        <v>0</v>
      </c>
    </row>
    <row r="64" spans="2:9" ht="15" customHeight="1" x14ac:dyDescent="0.2">
      <c r="B64" t="s">
        <v>178</v>
      </c>
      <c r="C64" s="12">
        <v>5</v>
      </c>
      <c r="D64" s="8">
        <v>2.16</v>
      </c>
      <c r="E64" s="12">
        <v>4</v>
      </c>
      <c r="F64" s="8">
        <v>2.74</v>
      </c>
      <c r="G64" s="12">
        <v>1</v>
      </c>
      <c r="H64" s="8">
        <v>1.32</v>
      </c>
      <c r="I64" s="12">
        <v>0</v>
      </c>
    </row>
    <row r="65" spans="2:9" ht="15" customHeight="1" x14ac:dyDescent="0.2">
      <c r="B65" t="s">
        <v>181</v>
      </c>
      <c r="C65" s="12">
        <v>5</v>
      </c>
      <c r="D65" s="8">
        <v>2.16</v>
      </c>
      <c r="E65" s="12">
        <v>3</v>
      </c>
      <c r="F65" s="8">
        <v>2.0499999999999998</v>
      </c>
      <c r="G65" s="12">
        <v>2</v>
      </c>
      <c r="H65" s="8">
        <v>2.63</v>
      </c>
      <c r="I65" s="12">
        <v>0</v>
      </c>
    </row>
    <row r="66" spans="2:9" ht="15" customHeight="1" x14ac:dyDescent="0.2">
      <c r="B66" t="s">
        <v>216</v>
      </c>
      <c r="C66" s="12">
        <v>5</v>
      </c>
      <c r="D66" s="8">
        <v>2.16</v>
      </c>
      <c r="E66" s="12">
        <v>5</v>
      </c>
      <c r="F66" s="8">
        <v>3.42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171</v>
      </c>
      <c r="C67" s="12">
        <v>5</v>
      </c>
      <c r="D67" s="8">
        <v>2.16</v>
      </c>
      <c r="E67" s="12">
        <v>4</v>
      </c>
      <c r="F67" s="8">
        <v>2.74</v>
      </c>
      <c r="G67" s="12">
        <v>1</v>
      </c>
      <c r="H67" s="8">
        <v>1.32</v>
      </c>
      <c r="I67" s="12">
        <v>0</v>
      </c>
    </row>
    <row r="68" spans="2:9" ht="15" customHeight="1" x14ac:dyDescent="0.2">
      <c r="B68" t="s">
        <v>159</v>
      </c>
      <c r="C68" s="12">
        <v>4</v>
      </c>
      <c r="D68" s="8">
        <v>1.72</v>
      </c>
      <c r="E68" s="12">
        <v>0</v>
      </c>
      <c r="F68" s="8">
        <v>0</v>
      </c>
      <c r="G68" s="12">
        <v>4</v>
      </c>
      <c r="H68" s="8">
        <v>5.26</v>
      </c>
      <c r="I68" s="12">
        <v>0</v>
      </c>
    </row>
    <row r="69" spans="2:9" ht="15" customHeight="1" x14ac:dyDescent="0.2">
      <c r="B69" t="s">
        <v>161</v>
      </c>
      <c r="C69" s="12">
        <v>4</v>
      </c>
      <c r="D69" s="8">
        <v>1.72</v>
      </c>
      <c r="E69" s="12">
        <v>1</v>
      </c>
      <c r="F69" s="8">
        <v>0.68</v>
      </c>
      <c r="G69" s="12">
        <v>3</v>
      </c>
      <c r="H69" s="8">
        <v>3.95</v>
      </c>
      <c r="I69" s="12">
        <v>0</v>
      </c>
    </row>
    <row r="70" spans="2:9" ht="15" customHeight="1" x14ac:dyDescent="0.2">
      <c r="B70" t="s">
        <v>227</v>
      </c>
      <c r="C70" s="12">
        <v>4</v>
      </c>
      <c r="D70" s="8">
        <v>1.72</v>
      </c>
      <c r="E70" s="12">
        <v>4</v>
      </c>
      <c r="F70" s="8">
        <v>2.74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186</v>
      </c>
      <c r="C71" s="12">
        <v>4</v>
      </c>
      <c r="D71" s="8">
        <v>1.72</v>
      </c>
      <c r="E71" s="12">
        <v>0</v>
      </c>
      <c r="F71" s="8">
        <v>0</v>
      </c>
      <c r="G71" s="12">
        <v>4</v>
      </c>
      <c r="H71" s="8">
        <v>5.26</v>
      </c>
      <c r="I71" s="12">
        <v>0</v>
      </c>
    </row>
    <row r="72" spans="2:9" ht="15" customHeight="1" x14ac:dyDescent="0.2">
      <c r="B72" t="s">
        <v>226</v>
      </c>
      <c r="C72" s="12">
        <v>3</v>
      </c>
      <c r="D72" s="8">
        <v>1.29</v>
      </c>
      <c r="E72" s="12">
        <v>2</v>
      </c>
      <c r="F72" s="8">
        <v>1.37</v>
      </c>
      <c r="G72" s="12">
        <v>1</v>
      </c>
      <c r="H72" s="8">
        <v>1.32</v>
      </c>
      <c r="I72" s="12">
        <v>0</v>
      </c>
    </row>
    <row r="73" spans="2:9" ht="15" customHeight="1" x14ac:dyDescent="0.2">
      <c r="B73" t="s">
        <v>169</v>
      </c>
      <c r="C73" s="12">
        <v>3</v>
      </c>
      <c r="D73" s="8">
        <v>1.29</v>
      </c>
      <c r="E73" s="12">
        <v>0</v>
      </c>
      <c r="F73" s="8">
        <v>0</v>
      </c>
      <c r="G73" s="12">
        <v>3</v>
      </c>
      <c r="H73" s="8">
        <v>3.95</v>
      </c>
      <c r="I73" s="12">
        <v>0</v>
      </c>
    </row>
    <row r="74" spans="2:9" ht="15" customHeight="1" x14ac:dyDescent="0.2">
      <c r="B74" t="s">
        <v>228</v>
      </c>
      <c r="C74" s="12">
        <v>3</v>
      </c>
      <c r="D74" s="8">
        <v>1.29</v>
      </c>
      <c r="E74" s="12">
        <v>0</v>
      </c>
      <c r="F74" s="8">
        <v>0</v>
      </c>
      <c r="G74" s="12">
        <v>1</v>
      </c>
      <c r="H74" s="8">
        <v>1.32</v>
      </c>
      <c r="I74" s="12">
        <v>1</v>
      </c>
    </row>
    <row r="75" spans="2:9" ht="15" customHeight="1" x14ac:dyDescent="0.2">
      <c r="B75" t="s">
        <v>177</v>
      </c>
      <c r="C75" s="12">
        <v>3</v>
      </c>
      <c r="D75" s="8">
        <v>1.29</v>
      </c>
      <c r="E75" s="12">
        <v>3</v>
      </c>
      <c r="F75" s="8">
        <v>2.0499999999999998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ACBC-4294-452E-A5DD-E70855FBE71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</v>
      </c>
      <c r="D6" s="8">
        <v>5.63</v>
      </c>
      <c r="E6" s="12">
        <v>1</v>
      </c>
      <c r="F6" s="8">
        <v>1.92</v>
      </c>
      <c r="G6" s="12">
        <v>3</v>
      </c>
      <c r="H6" s="8">
        <v>27.27</v>
      </c>
      <c r="I6" s="12">
        <v>0</v>
      </c>
    </row>
    <row r="7" spans="2:9" ht="15" customHeight="1" x14ac:dyDescent="0.2">
      <c r="B7" t="s">
        <v>62</v>
      </c>
      <c r="C7" s="12">
        <v>1</v>
      </c>
      <c r="D7" s="8">
        <v>1.41</v>
      </c>
      <c r="E7" s="12">
        <v>0</v>
      </c>
      <c r="F7" s="8">
        <v>0</v>
      </c>
      <c r="G7" s="12">
        <v>1</v>
      </c>
      <c r="H7" s="8">
        <v>9.09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2.82</v>
      </c>
      <c r="E10" s="12">
        <v>1</v>
      </c>
      <c r="F10" s="8">
        <v>1.92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66</v>
      </c>
      <c r="C11" s="12">
        <v>7</v>
      </c>
      <c r="D11" s="8">
        <v>9.86</v>
      </c>
      <c r="E11" s="12">
        <v>4</v>
      </c>
      <c r="F11" s="8">
        <v>7.69</v>
      </c>
      <c r="G11" s="12">
        <v>1</v>
      </c>
      <c r="H11" s="8">
        <v>9.09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47</v>
      </c>
      <c r="D15" s="8">
        <v>66.2</v>
      </c>
      <c r="E15" s="12">
        <v>40</v>
      </c>
      <c r="F15" s="8">
        <v>76.92</v>
      </c>
      <c r="G15" s="12">
        <v>6</v>
      </c>
      <c r="H15" s="8">
        <v>54.55</v>
      </c>
      <c r="I15" s="12">
        <v>0</v>
      </c>
    </row>
    <row r="16" spans="2:9" ht="15" customHeight="1" x14ac:dyDescent="0.2">
      <c r="B16" t="s">
        <v>71</v>
      </c>
      <c r="C16" s="12">
        <v>6</v>
      </c>
      <c r="D16" s="8">
        <v>8.4499999999999993</v>
      </c>
      <c r="E16" s="12">
        <v>4</v>
      </c>
      <c r="F16" s="8">
        <v>7.69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2.82</v>
      </c>
      <c r="E17" s="12">
        <v>1</v>
      </c>
      <c r="F17" s="8">
        <v>1.92</v>
      </c>
      <c r="G17" s="12">
        <v>0</v>
      </c>
      <c r="H17" s="8">
        <v>0</v>
      </c>
      <c r="I17" s="12">
        <v>1</v>
      </c>
    </row>
    <row r="18" spans="2:9" ht="15" customHeight="1" x14ac:dyDescent="0.2">
      <c r="B18" t="s">
        <v>73</v>
      </c>
      <c r="C18" s="12">
        <v>2</v>
      </c>
      <c r="D18" s="8">
        <v>2.82</v>
      </c>
      <c r="E18" s="12">
        <v>1</v>
      </c>
      <c r="F18" s="8">
        <v>1.92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SUM(LTBL_07364[総数／事業所数])</f>
        <v>71</v>
      </c>
      <c r="E20" s="12">
        <f>SUBTOTAL(109,LTBL_07364[個人／事業所数])</f>
        <v>52</v>
      </c>
      <c r="G20" s="12">
        <f>SUBTOTAL(109,LTBL_07364[法人／事業所数])</f>
        <v>11</v>
      </c>
      <c r="I20" s="12">
        <f>SUBTOTAL(109,LTBL_07364[法人以外の団体／事業所数])</f>
        <v>2</v>
      </c>
    </row>
    <row r="21" spans="2:9" ht="15" customHeight="1" x14ac:dyDescent="0.2">
      <c r="E21" s="11">
        <f>LTBL_07364[[#Totals],[個人／事業所数]]/LTBL_07364[[#Totals],[総数／事業所数]]</f>
        <v>0.73239436619718312</v>
      </c>
      <c r="G21" s="11">
        <f>LTBL_07364[[#Totals],[法人／事業所数]]/LTBL_07364[[#Totals],[総数／事業所数]]</f>
        <v>0.15492957746478872</v>
      </c>
      <c r="I21" s="11">
        <f>LTBL_07364[[#Totals],[法人以外の団体／事業所数]]/LTBL_07364[[#Totals],[総数／事業所数]]</f>
        <v>2.8169014084507043E-2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95</v>
      </c>
      <c r="C24" s="12">
        <v>41</v>
      </c>
      <c r="D24" s="8">
        <v>57.75</v>
      </c>
      <c r="E24" s="12">
        <v>34</v>
      </c>
      <c r="F24" s="8">
        <v>65.38</v>
      </c>
      <c r="G24" s="12">
        <v>6</v>
      </c>
      <c r="H24" s="8">
        <v>54.55</v>
      </c>
      <c r="I24" s="12">
        <v>0</v>
      </c>
    </row>
    <row r="25" spans="2:9" ht="15" customHeight="1" x14ac:dyDescent="0.2">
      <c r="B25" t="s">
        <v>96</v>
      </c>
      <c r="C25" s="12">
        <v>6</v>
      </c>
      <c r="D25" s="8">
        <v>8.4499999999999993</v>
      </c>
      <c r="E25" s="12">
        <v>6</v>
      </c>
      <c r="F25" s="8">
        <v>11.54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89</v>
      </c>
      <c r="C26" s="12">
        <v>5</v>
      </c>
      <c r="D26" s="8">
        <v>7.04</v>
      </c>
      <c r="E26" s="12">
        <v>4</v>
      </c>
      <c r="F26" s="8">
        <v>7.69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129</v>
      </c>
      <c r="C27" s="12">
        <v>4</v>
      </c>
      <c r="D27" s="8">
        <v>5.63</v>
      </c>
      <c r="E27" s="12">
        <v>2</v>
      </c>
      <c r="F27" s="8">
        <v>3.85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83</v>
      </c>
      <c r="C28" s="12">
        <v>3</v>
      </c>
      <c r="D28" s="8">
        <v>4.2300000000000004</v>
      </c>
      <c r="E28" s="12">
        <v>1</v>
      </c>
      <c r="F28" s="8">
        <v>1.92</v>
      </c>
      <c r="G28" s="12">
        <v>2</v>
      </c>
      <c r="H28" s="8">
        <v>18.18</v>
      </c>
      <c r="I28" s="12">
        <v>0</v>
      </c>
    </row>
    <row r="29" spans="2:9" ht="15" customHeight="1" x14ac:dyDescent="0.2">
      <c r="B29" t="s">
        <v>91</v>
      </c>
      <c r="C29" s="12">
        <v>2</v>
      </c>
      <c r="D29" s="8">
        <v>2.82</v>
      </c>
      <c r="E29" s="12">
        <v>0</v>
      </c>
      <c r="F29" s="8">
        <v>0</v>
      </c>
      <c r="G29" s="12">
        <v>1</v>
      </c>
      <c r="H29" s="8">
        <v>9.09</v>
      </c>
      <c r="I29" s="12">
        <v>0</v>
      </c>
    </row>
    <row r="30" spans="2:9" ht="15" customHeight="1" x14ac:dyDescent="0.2">
      <c r="B30" t="s">
        <v>97</v>
      </c>
      <c r="C30" s="12">
        <v>2</v>
      </c>
      <c r="D30" s="8">
        <v>2.82</v>
      </c>
      <c r="E30" s="12">
        <v>2</v>
      </c>
      <c r="F30" s="8">
        <v>3.85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99</v>
      </c>
      <c r="C31" s="12">
        <v>2</v>
      </c>
      <c r="D31" s="8">
        <v>2.82</v>
      </c>
      <c r="E31" s="12">
        <v>1</v>
      </c>
      <c r="F31" s="8">
        <v>1.92</v>
      </c>
      <c r="G31" s="12">
        <v>0</v>
      </c>
      <c r="H31" s="8">
        <v>0</v>
      </c>
      <c r="I31" s="12">
        <v>1</v>
      </c>
    </row>
    <row r="32" spans="2:9" ht="15" customHeight="1" x14ac:dyDescent="0.2">
      <c r="B32" t="s">
        <v>85</v>
      </c>
      <c r="C32" s="12">
        <v>1</v>
      </c>
      <c r="D32" s="8">
        <v>1.41</v>
      </c>
      <c r="E32" s="12">
        <v>0</v>
      </c>
      <c r="F32" s="8">
        <v>0</v>
      </c>
      <c r="G32" s="12">
        <v>1</v>
      </c>
      <c r="H32" s="8">
        <v>9.09</v>
      </c>
      <c r="I32" s="12">
        <v>0</v>
      </c>
    </row>
    <row r="33" spans="2:9" ht="15" customHeight="1" x14ac:dyDescent="0.2">
      <c r="B33" t="s">
        <v>110</v>
      </c>
      <c r="C33" s="12">
        <v>1</v>
      </c>
      <c r="D33" s="8">
        <v>1.41</v>
      </c>
      <c r="E33" s="12">
        <v>0</v>
      </c>
      <c r="F33" s="8">
        <v>0</v>
      </c>
      <c r="G33" s="12">
        <v>1</v>
      </c>
      <c r="H33" s="8">
        <v>9.09</v>
      </c>
      <c r="I33" s="12">
        <v>0</v>
      </c>
    </row>
    <row r="34" spans="2:9" ht="15" customHeight="1" x14ac:dyDescent="0.2">
      <c r="B34" t="s">
        <v>117</v>
      </c>
      <c r="C34" s="12">
        <v>1</v>
      </c>
      <c r="D34" s="8">
        <v>1.41</v>
      </c>
      <c r="E34" s="12">
        <v>1</v>
      </c>
      <c r="F34" s="8">
        <v>1.92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141</v>
      </c>
      <c r="C35" s="12">
        <v>1</v>
      </c>
      <c r="D35" s="8">
        <v>1.41</v>
      </c>
      <c r="E35" s="12">
        <v>0</v>
      </c>
      <c r="F35" s="8">
        <v>0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100</v>
      </c>
      <c r="C36" s="12">
        <v>1</v>
      </c>
      <c r="D36" s="8">
        <v>1.41</v>
      </c>
      <c r="E36" s="12">
        <v>1</v>
      </c>
      <c r="F36" s="8">
        <v>1.92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101</v>
      </c>
      <c r="C37" s="12">
        <v>1</v>
      </c>
      <c r="D37" s="8">
        <v>1.41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40" spans="2:9" ht="33" customHeight="1" x14ac:dyDescent="0.2">
      <c r="B40" t="s">
        <v>339</v>
      </c>
      <c r="C40" s="10" t="s">
        <v>76</v>
      </c>
      <c r="D40" s="10" t="s">
        <v>77</v>
      </c>
      <c r="E40" s="10" t="s">
        <v>78</v>
      </c>
      <c r="F40" s="10" t="s">
        <v>79</v>
      </c>
      <c r="G40" s="10" t="s">
        <v>80</v>
      </c>
      <c r="H40" s="10" t="s">
        <v>81</v>
      </c>
      <c r="I40" s="10" t="s">
        <v>82</v>
      </c>
    </row>
    <row r="41" spans="2:9" ht="15" customHeight="1" x14ac:dyDescent="0.2">
      <c r="B41" t="s">
        <v>215</v>
      </c>
      <c r="C41" s="12">
        <v>28</v>
      </c>
      <c r="D41" s="8">
        <v>39.44</v>
      </c>
      <c r="E41" s="12">
        <v>27</v>
      </c>
      <c r="F41" s="8">
        <v>51.92</v>
      </c>
      <c r="G41" s="12">
        <v>1</v>
      </c>
      <c r="H41" s="8">
        <v>9.09</v>
      </c>
      <c r="I41" s="12">
        <v>0</v>
      </c>
    </row>
    <row r="42" spans="2:9" ht="15" customHeight="1" x14ac:dyDescent="0.2">
      <c r="B42" t="s">
        <v>232</v>
      </c>
      <c r="C42" s="12">
        <v>7</v>
      </c>
      <c r="D42" s="8">
        <v>9.86</v>
      </c>
      <c r="E42" s="12">
        <v>1</v>
      </c>
      <c r="F42" s="8">
        <v>1.92</v>
      </c>
      <c r="G42" s="12">
        <v>5</v>
      </c>
      <c r="H42" s="8">
        <v>45.45</v>
      </c>
      <c r="I42" s="12">
        <v>0</v>
      </c>
    </row>
    <row r="43" spans="2:9" ht="15" customHeight="1" x14ac:dyDescent="0.2">
      <c r="B43" t="s">
        <v>233</v>
      </c>
      <c r="C43" s="12">
        <v>6</v>
      </c>
      <c r="D43" s="8">
        <v>8.4499999999999993</v>
      </c>
      <c r="E43" s="12">
        <v>6</v>
      </c>
      <c r="F43" s="8">
        <v>11.54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171</v>
      </c>
      <c r="C44" s="12">
        <v>4</v>
      </c>
      <c r="D44" s="8">
        <v>5.63</v>
      </c>
      <c r="E44" s="12">
        <v>4</v>
      </c>
      <c r="F44" s="8">
        <v>7.69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158</v>
      </c>
      <c r="C45" s="12">
        <v>2</v>
      </c>
      <c r="D45" s="8">
        <v>2.82</v>
      </c>
      <c r="E45" s="12">
        <v>0</v>
      </c>
      <c r="F45" s="8">
        <v>0</v>
      </c>
      <c r="G45" s="12">
        <v>2</v>
      </c>
      <c r="H45" s="8">
        <v>18.18</v>
      </c>
      <c r="I45" s="12">
        <v>0</v>
      </c>
    </row>
    <row r="46" spans="2:9" ht="15" customHeight="1" x14ac:dyDescent="0.2">
      <c r="B46" t="s">
        <v>191</v>
      </c>
      <c r="C46" s="12">
        <v>2</v>
      </c>
      <c r="D46" s="8">
        <v>2.82</v>
      </c>
      <c r="E46" s="12">
        <v>2</v>
      </c>
      <c r="F46" s="8">
        <v>3.85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228</v>
      </c>
      <c r="C47" s="12">
        <v>2</v>
      </c>
      <c r="D47" s="8">
        <v>2.82</v>
      </c>
      <c r="E47" s="12">
        <v>2</v>
      </c>
      <c r="F47" s="8">
        <v>3.85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160</v>
      </c>
      <c r="C48" s="12">
        <v>1</v>
      </c>
      <c r="D48" s="8">
        <v>1.41</v>
      </c>
      <c r="E48" s="12">
        <v>1</v>
      </c>
      <c r="F48" s="8">
        <v>1.92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161</v>
      </c>
      <c r="C49" s="12">
        <v>1</v>
      </c>
      <c r="D49" s="8">
        <v>1.41</v>
      </c>
      <c r="E49" s="12">
        <v>0</v>
      </c>
      <c r="F49" s="8">
        <v>0</v>
      </c>
      <c r="G49" s="12">
        <v>1</v>
      </c>
      <c r="H49" s="8">
        <v>9.09</v>
      </c>
      <c r="I49" s="12">
        <v>0</v>
      </c>
    </row>
    <row r="50" spans="2:9" ht="15" customHeight="1" x14ac:dyDescent="0.2">
      <c r="B50" t="s">
        <v>229</v>
      </c>
      <c r="C50" s="12">
        <v>1</v>
      </c>
      <c r="D50" s="8">
        <v>1.41</v>
      </c>
      <c r="E50" s="12">
        <v>0</v>
      </c>
      <c r="F50" s="8">
        <v>0</v>
      </c>
      <c r="G50" s="12">
        <v>1</v>
      </c>
      <c r="H50" s="8">
        <v>9.09</v>
      </c>
      <c r="I50" s="12">
        <v>0</v>
      </c>
    </row>
    <row r="51" spans="2:9" ht="15" customHeight="1" x14ac:dyDescent="0.2">
      <c r="B51" t="s">
        <v>230</v>
      </c>
      <c r="C51" s="12">
        <v>1</v>
      </c>
      <c r="D51" s="8">
        <v>1.41</v>
      </c>
      <c r="E51" s="12">
        <v>1</v>
      </c>
      <c r="F51" s="8">
        <v>1.92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231</v>
      </c>
      <c r="C52" s="12">
        <v>1</v>
      </c>
      <c r="D52" s="8">
        <v>1.41</v>
      </c>
      <c r="E52" s="12">
        <v>0</v>
      </c>
      <c r="F52" s="8">
        <v>0</v>
      </c>
      <c r="G52" s="12">
        <v>0</v>
      </c>
      <c r="H52" s="8">
        <v>0</v>
      </c>
      <c r="I52" s="12">
        <v>1</v>
      </c>
    </row>
    <row r="53" spans="2:9" ht="15" customHeight="1" x14ac:dyDescent="0.2">
      <c r="B53" t="s">
        <v>212</v>
      </c>
      <c r="C53" s="12">
        <v>1</v>
      </c>
      <c r="D53" s="8">
        <v>1.41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207</v>
      </c>
      <c r="C54" s="12">
        <v>1</v>
      </c>
      <c r="D54" s="8">
        <v>1.41</v>
      </c>
      <c r="E54" s="12">
        <v>1</v>
      </c>
      <c r="F54" s="8">
        <v>1.92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163</v>
      </c>
      <c r="C55" s="12">
        <v>1</v>
      </c>
      <c r="D55" s="8">
        <v>1.41</v>
      </c>
      <c r="E55" s="12">
        <v>1</v>
      </c>
      <c r="F55" s="8">
        <v>1.92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185</v>
      </c>
      <c r="C56" s="12">
        <v>1</v>
      </c>
      <c r="D56" s="8">
        <v>1.41</v>
      </c>
      <c r="E56" s="12">
        <v>0</v>
      </c>
      <c r="F56" s="8">
        <v>0</v>
      </c>
      <c r="G56" s="12">
        <v>1</v>
      </c>
      <c r="H56" s="8">
        <v>9.09</v>
      </c>
      <c r="I56" s="12">
        <v>0</v>
      </c>
    </row>
    <row r="57" spans="2:9" ht="15" customHeight="1" x14ac:dyDescent="0.2">
      <c r="B57" t="s">
        <v>166</v>
      </c>
      <c r="C57" s="12">
        <v>1</v>
      </c>
      <c r="D57" s="8">
        <v>1.41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181</v>
      </c>
      <c r="C58" s="12">
        <v>1</v>
      </c>
      <c r="D58" s="8">
        <v>1.41</v>
      </c>
      <c r="E58" s="12">
        <v>1</v>
      </c>
      <c r="F58" s="8">
        <v>1.92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170</v>
      </c>
      <c r="C59" s="12">
        <v>1</v>
      </c>
      <c r="D59" s="8">
        <v>1.41</v>
      </c>
      <c r="E59" s="12">
        <v>1</v>
      </c>
      <c r="F59" s="8">
        <v>1.92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173</v>
      </c>
      <c r="C60" s="12">
        <v>1</v>
      </c>
      <c r="D60" s="8">
        <v>1.41</v>
      </c>
      <c r="E60" s="12">
        <v>1</v>
      </c>
      <c r="F60" s="8">
        <v>1.92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174</v>
      </c>
      <c r="C61" s="12">
        <v>1</v>
      </c>
      <c r="D61" s="8">
        <v>1.41</v>
      </c>
      <c r="E61" s="12">
        <v>1</v>
      </c>
      <c r="F61" s="8">
        <v>1.92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234</v>
      </c>
      <c r="C62" s="12">
        <v>1</v>
      </c>
      <c r="D62" s="8">
        <v>1.41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235</v>
      </c>
      <c r="C63" s="12">
        <v>1</v>
      </c>
      <c r="D63" s="8">
        <v>1.41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236</v>
      </c>
      <c r="C64" s="12">
        <v>1</v>
      </c>
      <c r="D64" s="8">
        <v>1.41</v>
      </c>
      <c r="E64" s="12">
        <v>1</v>
      </c>
      <c r="F64" s="8">
        <v>1.92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175</v>
      </c>
      <c r="C65" s="12">
        <v>1</v>
      </c>
      <c r="D65" s="8">
        <v>1.41</v>
      </c>
      <c r="E65" s="12">
        <v>0</v>
      </c>
      <c r="F65" s="8">
        <v>0</v>
      </c>
      <c r="G65" s="12">
        <v>0</v>
      </c>
      <c r="H65" s="8">
        <v>0</v>
      </c>
      <c r="I65" s="12">
        <v>1</v>
      </c>
    </row>
    <row r="66" spans="2:9" ht="15" customHeight="1" x14ac:dyDescent="0.2">
      <c r="B66" t="s">
        <v>176</v>
      </c>
      <c r="C66" s="12">
        <v>1</v>
      </c>
      <c r="D66" s="8">
        <v>1.41</v>
      </c>
      <c r="E66" s="12">
        <v>1</v>
      </c>
      <c r="F66" s="8">
        <v>1.92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200</v>
      </c>
      <c r="C67" s="12">
        <v>1</v>
      </c>
      <c r="D67" s="8">
        <v>1.41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E362-A782-4E8D-ACC3-B59B76E6C5C3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33</v>
      </c>
      <c r="D6" s="8">
        <v>17.28</v>
      </c>
      <c r="E6" s="12">
        <v>22</v>
      </c>
      <c r="F6" s="8">
        <v>16.3</v>
      </c>
      <c r="G6" s="12">
        <v>11</v>
      </c>
      <c r="H6" s="8">
        <v>21.57</v>
      </c>
      <c r="I6" s="12">
        <v>0</v>
      </c>
    </row>
    <row r="7" spans="2:9" ht="15" customHeight="1" x14ac:dyDescent="0.2">
      <c r="B7" t="s">
        <v>62</v>
      </c>
      <c r="C7" s="12">
        <v>20</v>
      </c>
      <c r="D7" s="8">
        <v>10.47</v>
      </c>
      <c r="E7" s="12">
        <v>9</v>
      </c>
      <c r="F7" s="8">
        <v>6.67</v>
      </c>
      <c r="G7" s="12">
        <v>11</v>
      </c>
      <c r="H7" s="8">
        <v>21.57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0.52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1.05</v>
      </c>
      <c r="E10" s="12">
        <v>1</v>
      </c>
      <c r="F10" s="8">
        <v>0.74</v>
      </c>
      <c r="G10" s="12">
        <v>1</v>
      </c>
      <c r="H10" s="8">
        <v>1.96</v>
      </c>
      <c r="I10" s="12">
        <v>0</v>
      </c>
    </row>
    <row r="11" spans="2:9" ht="15" customHeight="1" x14ac:dyDescent="0.2">
      <c r="B11" t="s">
        <v>66</v>
      </c>
      <c r="C11" s="12">
        <v>37</v>
      </c>
      <c r="D11" s="8">
        <v>19.37</v>
      </c>
      <c r="E11" s="12">
        <v>26</v>
      </c>
      <c r="F11" s="8">
        <v>19.260000000000002</v>
      </c>
      <c r="G11" s="12">
        <v>11</v>
      </c>
      <c r="H11" s="8">
        <v>21.57</v>
      </c>
      <c r="I11" s="12">
        <v>0</v>
      </c>
    </row>
    <row r="12" spans="2:9" ht="15" customHeight="1" x14ac:dyDescent="0.2">
      <c r="B12" t="s">
        <v>67</v>
      </c>
      <c r="C12" s="12">
        <v>2</v>
      </c>
      <c r="D12" s="8">
        <v>1.05</v>
      </c>
      <c r="E12" s="12">
        <v>0</v>
      </c>
      <c r="F12" s="8">
        <v>0</v>
      </c>
      <c r="G12" s="12">
        <v>2</v>
      </c>
      <c r="H12" s="8">
        <v>3.92</v>
      </c>
      <c r="I12" s="12">
        <v>0</v>
      </c>
    </row>
    <row r="13" spans="2:9" ht="15" customHeight="1" x14ac:dyDescent="0.2">
      <c r="B13" t="s">
        <v>68</v>
      </c>
      <c r="C13" s="12">
        <v>4</v>
      </c>
      <c r="D13" s="8">
        <v>2.09</v>
      </c>
      <c r="E13" s="12">
        <v>1</v>
      </c>
      <c r="F13" s="8">
        <v>0.74</v>
      </c>
      <c r="G13" s="12">
        <v>3</v>
      </c>
      <c r="H13" s="8">
        <v>5.88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2.62</v>
      </c>
      <c r="E14" s="12">
        <v>3</v>
      </c>
      <c r="F14" s="8">
        <v>2.2200000000000002</v>
      </c>
      <c r="G14" s="12">
        <v>2</v>
      </c>
      <c r="H14" s="8">
        <v>3.92</v>
      </c>
      <c r="I14" s="12">
        <v>0</v>
      </c>
    </row>
    <row r="15" spans="2:9" ht="15" customHeight="1" x14ac:dyDescent="0.2">
      <c r="B15" t="s">
        <v>70</v>
      </c>
      <c r="C15" s="12">
        <v>48</v>
      </c>
      <c r="D15" s="8">
        <v>25.13</v>
      </c>
      <c r="E15" s="12">
        <v>41</v>
      </c>
      <c r="F15" s="8">
        <v>30.37</v>
      </c>
      <c r="G15" s="12">
        <v>7</v>
      </c>
      <c r="H15" s="8">
        <v>13.73</v>
      </c>
      <c r="I15" s="12">
        <v>0</v>
      </c>
    </row>
    <row r="16" spans="2:9" ht="15" customHeight="1" x14ac:dyDescent="0.2">
      <c r="B16" t="s">
        <v>71</v>
      </c>
      <c r="C16" s="12">
        <v>24</v>
      </c>
      <c r="D16" s="8">
        <v>12.57</v>
      </c>
      <c r="E16" s="12">
        <v>24</v>
      </c>
      <c r="F16" s="8">
        <v>17.78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1.05</v>
      </c>
      <c r="E17" s="12">
        <v>1</v>
      </c>
      <c r="F17" s="8">
        <v>0.74</v>
      </c>
      <c r="G17" s="12">
        <v>1</v>
      </c>
      <c r="H17" s="8">
        <v>1.96</v>
      </c>
      <c r="I17" s="12">
        <v>0</v>
      </c>
    </row>
    <row r="18" spans="2:9" ht="15" customHeight="1" x14ac:dyDescent="0.2">
      <c r="B18" t="s">
        <v>73</v>
      </c>
      <c r="C18" s="12">
        <v>9</v>
      </c>
      <c r="D18" s="8">
        <v>4.71</v>
      </c>
      <c r="E18" s="12">
        <v>6</v>
      </c>
      <c r="F18" s="8">
        <v>4.4400000000000004</v>
      </c>
      <c r="G18" s="12">
        <v>2</v>
      </c>
      <c r="H18" s="8">
        <v>3.92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2.09</v>
      </c>
      <c r="E19" s="12">
        <v>1</v>
      </c>
      <c r="F19" s="8">
        <v>0.74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SUM(LTBL_07367[総数／事業所数])</f>
        <v>191</v>
      </c>
      <c r="E20" s="12">
        <f>SUBTOTAL(109,LTBL_07367[個人／事業所数])</f>
        <v>135</v>
      </c>
      <c r="G20" s="12">
        <f>SUBTOTAL(109,LTBL_07367[法人／事業所数])</f>
        <v>51</v>
      </c>
      <c r="I20" s="12">
        <f>SUBTOTAL(109,LTBL_07367[法人以外の団体／事業所数])</f>
        <v>0</v>
      </c>
    </row>
    <row r="21" spans="2:9" ht="15" customHeight="1" x14ac:dyDescent="0.2">
      <c r="E21" s="11">
        <f>LTBL_07367[[#Totals],[個人／事業所数]]/LTBL_07367[[#Totals],[総数／事業所数]]</f>
        <v>0.70680628272251311</v>
      </c>
      <c r="G21" s="11">
        <f>LTBL_07367[[#Totals],[法人／事業所数]]/LTBL_07367[[#Totals],[総数／事業所数]]</f>
        <v>0.26701570680628273</v>
      </c>
      <c r="I21" s="11">
        <f>LTBL_07367[[#Totals],[法人以外の団体／事業所数]]/LTBL_07367[[#Totals],[総数／事業所数]]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95</v>
      </c>
      <c r="C24" s="12">
        <v>31</v>
      </c>
      <c r="D24" s="8">
        <v>16.23</v>
      </c>
      <c r="E24" s="12">
        <v>29</v>
      </c>
      <c r="F24" s="8">
        <v>21.48</v>
      </c>
      <c r="G24" s="12">
        <v>2</v>
      </c>
      <c r="H24" s="8">
        <v>3.92</v>
      </c>
      <c r="I24" s="12">
        <v>0</v>
      </c>
    </row>
    <row r="25" spans="2:9" ht="15" customHeight="1" x14ac:dyDescent="0.2">
      <c r="B25" t="s">
        <v>97</v>
      </c>
      <c r="C25" s="12">
        <v>22</v>
      </c>
      <c r="D25" s="8">
        <v>11.52</v>
      </c>
      <c r="E25" s="12">
        <v>22</v>
      </c>
      <c r="F25" s="8">
        <v>16.3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89</v>
      </c>
      <c r="C26" s="12">
        <v>19</v>
      </c>
      <c r="D26" s="8">
        <v>9.9499999999999993</v>
      </c>
      <c r="E26" s="12">
        <v>16</v>
      </c>
      <c r="F26" s="8">
        <v>11.85</v>
      </c>
      <c r="G26" s="12">
        <v>3</v>
      </c>
      <c r="H26" s="8">
        <v>5.88</v>
      </c>
      <c r="I26" s="12">
        <v>0</v>
      </c>
    </row>
    <row r="27" spans="2:9" ht="15" customHeight="1" x14ac:dyDescent="0.2">
      <c r="B27" t="s">
        <v>84</v>
      </c>
      <c r="C27" s="12">
        <v>15</v>
      </c>
      <c r="D27" s="8">
        <v>7.85</v>
      </c>
      <c r="E27" s="12">
        <v>12</v>
      </c>
      <c r="F27" s="8">
        <v>8.89</v>
      </c>
      <c r="G27" s="12">
        <v>3</v>
      </c>
      <c r="H27" s="8">
        <v>5.88</v>
      </c>
      <c r="I27" s="12">
        <v>0</v>
      </c>
    </row>
    <row r="28" spans="2:9" ht="15" customHeight="1" x14ac:dyDescent="0.2">
      <c r="B28" t="s">
        <v>96</v>
      </c>
      <c r="C28" s="12">
        <v>13</v>
      </c>
      <c r="D28" s="8">
        <v>6.81</v>
      </c>
      <c r="E28" s="12">
        <v>12</v>
      </c>
      <c r="F28" s="8">
        <v>8.89</v>
      </c>
      <c r="G28" s="12">
        <v>1</v>
      </c>
      <c r="H28" s="8">
        <v>1.96</v>
      </c>
      <c r="I28" s="12">
        <v>0</v>
      </c>
    </row>
    <row r="29" spans="2:9" ht="15" customHeight="1" x14ac:dyDescent="0.2">
      <c r="B29" t="s">
        <v>83</v>
      </c>
      <c r="C29" s="12">
        <v>12</v>
      </c>
      <c r="D29" s="8">
        <v>6.28</v>
      </c>
      <c r="E29" s="12">
        <v>4</v>
      </c>
      <c r="F29" s="8">
        <v>2.96</v>
      </c>
      <c r="G29" s="12">
        <v>8</v>
      </c>
      <c r="H29" s="8">
        <v>15.69</v>
      </c>
      <c r="I29" s="12">
        <v>0</v>
      </c>
    </row>
    <row r="30" spans="2:9" ht="15" customHeight="1" x14ac:dyDescent="0.2">
      <c r="B30" t="s">
        <v>91</v>
      </c>
      <c r="C30" s="12">
        <v>10</v>
      </c>
      <c r="D30" s="8">
        <v>5.24</v>
      </c>
      <c r="E30" s="12">
        <v>4</v>
      </c>
      <c r="F30" s="8">
        <v>2.96</v>
      </c>
      <c r="G30" s="12">
        <v>6</v>
      </c>
      <c r="H30" s="8">
        <v>11.76</v>
      </c>
      <c r="I30" s="12">
        <v>0</v>
      </c>
    </row>
    <row r="31" spans="2:9" ht="15" customHeight="1" x14ac:dyDescent="0.2">
      <c r="B31" t="s">
        <v>110</v>
      </c>
      <c r="C31" s="12">
        <v>8</v>
      </c>
      <c r="D31" s="8">
        <v>4.1900000000000004</v>
      </c>
      <c r="E31" s="12">
        <v>3</v>
      </c>
      <c r="F31" s="8">
        <v>2.2200000000000002</v>
      </c>
      <c r="G31" s="12">
        <v>5</v>
      </c>
      <c r="H31" s="8">
        <v>9.8000000000000007</v>
      </c>
      <c r="I31" s="12">
        <v>0</v>
      </c>
    </row>
    <row r="32" spans="2:9" ht="15" customHeight="1" x14ac:dyDescent="0.2">
      <c r="B32" t="s">
        <v>85</v>
      </c>
      <c r="C32" s="12">
        <v>6</v>
      </c>
      <c r="D32" s="8">
        <v>3.14</v>
      </c>
      <c r="E32" s="12">
        <v>6</v>
      </c>
      <c r="F32" s="8">
        <v>4.4400000000000004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100</v>
      </c>
      <c r="C33" s="12">
        <v>6</v>
      </c>
      <c r="D33" s="8">
        <v>3.14</v>
      </c>
      <c r="E33" s="12">
        <v>6</v>
      </c>
      <c r="F33" s="8">
        <v>4.4400000000000004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90</v>
      </c>
      <c r="C34" s="12">
        <v>4</v>
      </c>
      <c r="D34" s="8">
        <v>2.09</v>
      </c>
      <c r="E34" s="12">
        <v>3</v>
      </c>
      <c r="F34" s="8">
        <v>2.2200000000000002</v>
      </c>
      <c r="G34" s="12">
        <v>1</v>
      </c>
      <c r="H34" s="8">
        <v>1.96</v>
      </c>
      <c r="I34" s="12">
        <v>0</v>
      </c>
    </row>
    <row r="35" spans="2:9" ht="15" customHeight="1" x14ac:dyDescent="0.2">
      <c r="B35" t="s">
        <v>113</v>
      </c>
      <c r="C35" s="12">
        <v>4</v>
      </c>
      <c r="D35" s="8">
        <v>2.09</v>
      </c>
      <c r="E35" s="12">
        <v>0</v>
      </c>
      <c r="F35" s="8">
        <v>0</v>
      </c>
      <c r="G35" s="12">
        <v>4</v>
      </c>
      <c r="H35" s="8">
        <v>7.84</v>
      </c>
      <c r="I35" s="12">
        <v>0</v>
      </c>
    </row>
    <row r="36" spans="2:9" ht="15" customHeight="1" x14ac:dyDescent="0.2">
      <c r="B36" t="s">
        <v>124</v>
      </c>
      <c r="C36" s="12">
        <v>3</v>
      </c>
      <c r="D36" s="8">
        <v>1.57</v>
      </c>
      <c r="E36" s="12">
        <v>1</v>
      </c>
      <c r="F36" s="8">
        <v>0.74</v>
      </c>
      <c r="G36" s="12">
        <v>2</v>
      </c>
      <c r="H36" s="8">
        <v>3.92</v>
      </c>
      <c r="I36" s="12">
        <v>0</v>
      </c>
    </row>
    <row r="37" spans="2:9" ht="15" customHeight="1" x14ac:dyDescent="0.2">
      <c r="B37" t="s">
        <v>142</v>
      </c>
      <c r="C37" s="12">
        <v>3</v>
      </c>
      <c r="D37" s="8">
        <v>1.57</v>
      </c>
      <c r="E37" s="12">
        <v>2</v>
      </c>
      <c r="F37" s="8">
        <v>1.48</v>
      </c>
      <c r="G37" s="12">
        <v>1</v>
      </c>
      <c r="H37" s="8">
        <v>1.96</v>
      </c>
      <c r="I37" s="12">
        <v>0</v>
      </c>
    </row>
    <row r="38" spans="2:9" ht="15" customHeight="1" x14ac:dyDescent="0.2">
      <c r="B38" t="s">
        <v>139</v>
      </c>
      <c r="C38" s="12">
        <v>3</v>
      </c>
      <c r="D38" s="8">
        <v>1.57</v>
      </c>
      <c r="E38" s="12">
        <v>1</v>
      </c>
      <c r="F38" s="8">
        <v>0.74</v>
      </c>
      <c r="G38" s="12">
        <v>2</v>
      </c>
      <c r="H38" s="8">
        <v>3.92</v>
      </c>
      <c r="I38" s="12">
        <v>0</v>
      </c>
    </row>
    <row r="39" spans="2:9" ht="15" customHeight="1" x14ac:dyDescent="0.2">
      <c r="B39" t="s">
        <v>94</v>
      </c>
      <c r="C39" s="12">
        <v>3</v>
      </c>
      <c r="D39" s="8">
        <v>1.57</v>
      </c>
      <c r="E39" s="12">
        <v>1</v>
      </c>
      <c r="F39" s="8">
        <v>0.74</v>
      </c>
      <c r="G39" s="12">
        <v>2</v>
      </c>
      <c r="H39" s="8">
        <v>3.92</v>
      </c>
      <c r="I39" s="12">
        <v>0</v>
      </c>
    </row>
    <row r="40" spans="2:9" ht="15" customHeight="1" x14ac:dyDescent="0.2">
      <c r="B40" t="s">
        <v>101</v>
      </c>
      <c r="C40" s="12">
        <v>3</v>
      </c>
      <c r="D40" s="8">
        <v>1.57</v>
      </c>
      <c r="E40" s="12">
        <v>0</v>
      </c>
      <c r="F40" s="8">
        <v>0</v>
      </c>
      <c r="G40" s="12">
        <v>2</v>
      </c>
      <c r="H40" s="8">
        <v>3.92</v>
      </c>
      <c r="I40" s="12">
        <v>0</v>
      </c>
    </row>
    <row r="41" spans="2:9" ht="15" customHeight="1" x14ac:dyDescent="0.2">
      <c r="B41" t="s">
        <v>140</v>
      </c>
      <c r="C41" s="12">
        <v>3</v>
      </c>
      <c r="D41" s="8">
        <v>1.57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88</v>
      </c>
      <c r="C42" s="12">
        <v>2</v>
      </c>
      <c r="D42" s="8">
        <v>1.05</v>
      </c>
      <c r="E42" s="12">
        <v>2</v>
      </c>
      <c r="F42" s="8">
        <v>1.48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109</v>
      </c>
      <c r="C43" s="12">
        <v>2</v>
      </c>
      <c r="D43" s="8">
        <v>1.05</v>
      </c>
      <c r="E43" s="12">
        <v>0</v>
      </c>
      <c r="F43" s="8">
        <v>0</v>
      </c>
      <c r="G43" s="12">
        <v>2</v>
      </c>
      <c r="H43" s="8">
        <v>3.92</v>
      </c>
      <c r="I43" s="12">
        <v>0</v>
      </c>
    </row>
    <row r="44" spans="2:9" ht="15" customHeight="1" x14ac:dyDescent="0.2">
      <c r="B44" t="s">
        <v>93</v>
      </c>
      <c r="C44" s="12">
        <v>2</v>
      </c>
      <c r="D44" s="8">
        <v>1.05</v>
      </c>
      <c r="E44" s="12">
        <v>2</v>
      </c>
      <c r="F44" s="8">
        <v>1.48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98</v>
      </c>
      <c r="C45" s="12">
        <v>2</v>
      </c>
      <c r="D45" s="8">
        <v>1.05</v>
      </c>
      <c r="E45" s="12">
        <v>2</v>
      </c>
      <c r="F45" s="8">
        <v>1.48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99</v>
      </c>
      <c r="C46" s="12">
        <v>2</v>
      </c>
      <c r="D46" s="8">
        <v>1.05</v>
      </c>
      <c r="E46" s="12">
        <v>1</v>
      </c>
      <c r="F46" s="8">
        <v>0.74</v>
      </c>
      <c r="G46" s="12">
        <v>1</v>
      </c>
      <c r="H46" s="8">
        <v>1.96</v>
      </c>
      <c r="I46" s="12">
        <v>0</v>
      </c>
    </row>
    <row r="49" spans="2:9" ht="33" customHeight="1" x14ac:dyDescent="0.2">
      <c r="B49" t="s">
        <v>339</v>
      </c>
      <c r="C49" s="10" t="s">
        <v>76</v>
      </c>
      <c r="D49" s="10" t="s">
        <v>77</v>
      </c>
      <c r="E49" s="10" t="s">
        <v>78</v>
      </c>
      <c r="F49" s="10" t="s">
        <v>79</v>
      </c>
      <c r="G49" s="10" t="s">
        <v>80</v>
      </c>
      <c r="H49" s="10" t="s">
        <v>81</v>
      </c>
      <c r="I49" s="10" t="s">
        <v>82</v>
      </c>
    </row>
    <row r="50" spans="2:9" ht="15" customHeight="1" x14ac:dyDescent="0.2">
      <c r="B50" t="s">
        <v>215</v>
      </c>
      <c r="C50" s="12">
        <v>11</v>
      </c>
      <c r="D50" s="8">
        <v>5.76</v>
      </c>
      <c r="E50" s="12">
        <v>10</v>
      </c>
      <c r="F50" s="8">
        <v>7.41</v>
      </c>
      <c r="G50" s="12">
        <v>1</v>
      </c>
      <c r="H50" s="8">
        <v>1.96</v>
      </c>
      <c r="I50" s="12">
        <v>0</v>
      </c>
    </row>
    <row r="51" spans="2:9" ht="15" customHeight="1" x14ac:dyDescent="0.2">
      <c r="B51" t="s">
        <v>233</v>
      </c>
      <c r="C51" s="12">
        <v>11</v>
      </c>
      <c r="D51" s="8">
        <v>5.76</v>
      </c>
      <c r="E51" s="12">
        <v>11</v>
      </c>
      <c r="F51" s="8">
        <v>8.15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173</v>
      </c>
      <c r="C52" s="12">
        <v>11</v>
      </c>
      <c r="D52" s="8">
        <v>5.76</v>
      </c>
      <c r="E52" s="12">
        <v>11</v>
      </c>
      <c r="F52" s="8">
        <v>8.15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174</v>
      </c>
      <c r="C53" s="12">
        <v>10</v>
      </c>
      <c r="D53" s="8">
        <v>5.24</v>
      </c>
      <c r="E53" s="12">
        <v>10</v>
      </c>
      <c r="F53" s="8">
        <v>7.41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191</v>
      </c>
      <c r="C54" s="12">
        <v>8</v>
      </c>
      <c r="D54" s="8">
        <v>4.1900000000000004</v>
      </c>
      <c r="E54" s="12">
        <v>8</v>
      </c>
      <c r="F54" s="8">
        <v>5.93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232</v>
      </c>
      <c r="C55" s="12">
        <v>8</v>
      </c>
      <c r="D55" s="8">
        <v>4.1900000000000004</v>
      </c>
      <c r="E55" s="12">
        <v>8</v>
      </c>
      <c r="F55" s="8">
        <v>5.93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194</v>
      </c>
      <c r="C56" s="12">
        <v>6</v>
      </c>
      <c r="D56" s="8">
        <v>3.14</v>
      </c>
      <c r="E56" s="12">
        <v>6</v>
      </c>
      <c r="F56" s="8">
        <v>4.4400000000000004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158</v>
      </c>
      <c r="C57" s="12">
        <v>5</v>
      </c>
      <c r="D57" s="8">
        <v>2.62</v>
      </c>
      <c r="E57" s="12">
        <v>0</v>
      </c>
      <c r="F57" s="8">
        <v>0</v>
      </c>
      <c r="G57" s="12">
        <v>5</v>
      </c>
      <c r="H57" s="8">
        <v>9.8000000000000007</v>
      </c>
      <c r="I57" s="12">
        <v>0</v>
      </c>
    </row>
    <row r="58" spans="2:9" ht="15" customHeight="1" x14ac:dyDescent="0.2">
      <c r="B58" t="s">
        <v>163</v>
      </c>
      <c r="C58" s="12">
        <v>5</v>
      </c>
      <c r="D58" s="8">
        <v>2.62</v>
      </c>
      <c r="E58" s="12">
        <v>3</v>
      </c>
      <c r="F58" s="8">
        <v>2.2200000000000002</v>
      </c>
      <c r="G58" s="12">
        <v>2</v>
      </c>
      <c r="H58" s="8">
        <v>3.92</v>
      </c>
      <c r="I58" s="12">
        <v>0</v>
      </c>
    </row>
    <row r="59" spans="2:9" ht="15" customHeight="1" x14ac:dyDescent="0.2">
      <c r="B59" t="s">
        <v>160</v>
      </c>
      <c r="C59" s="12">
        <v>4</v>
      </c>
      <c r="D59" s="8">
        <v>2.09</v>
      </c>
      <c r="E59" s="12">
        <v>3</v>
      </c>
      <c r="F59" s="8">
        <v>2.2200000000000002</v>
      </c>
      <c r="G59" s="12">
        <v>1</v>
      </c>
      <c r="H59" s="8">
        <v>1.96</v>
      </c>
      <c r="I59" s="12">
        <v>0</v>
      </c>
    </row>
    <row r="60" spans="2:9" ht="15" customHeight="1" x14ac:dyDescent="0.2">
      <c r="B60" t="s">
        <v>162</v>
      </c>
      <c r="C60" s="12">
        <v>4</v>
      </c>
      <c r="D60" s="8">
        <v>2.09</v>
      </c>
      <c r="E60" s="12">
        <v>4</v>
      </c>
      <c r="F60" s="8">
        <v>2.96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186</v>
      </c>
      <c r="C61" s="12">
        <v>4</v>
      </c>
      <c r="D61" s="8">
        <v>2.09</v>
      </c>
      <c r="E61" s="12">
        <v>0</v>
      </c>
      <c r="F61" s="8">
        <v>0</v>
      </c>
      <c r="G61" s="12">
        <v>4</v>
      </c>
      <c r="H61" s="8">
        <v>7.84</v>
      </c>
      <c r="I61" s="12">
        <v>0</v>
      </c>
    </row>
    <row r="62" spans="2:9" ht="15" customHeight="1" x14ac:dyDescent="0.2">
      <c r="B62" t="s">
        <v>201</v>
      </c>
      <c r="C62" s="12">
        <v>3</v>
      </c>
      <c r="D62" s="8">
        <v>1.57</v>
      </c>
      <c r="E62" s="12">
        <v>1</v>
      </c>
      <c r="F62" s="8">
        <v>0.74</v>
      </c>
      <c r="G62" s="12">
        <v>2</v>
      </c>
      <c r="H62" s="8">
        <v>3.92</v>
      </c>
      <c r="I62" s="12">
        <v>0</v>
      </c>
    </row>
    <row r="63" spans="2:9" ht="15" customHeight="1" x14ac:dyDescent="0.2">
      <c r="B63" t="s">
        <v>237</v>
      </c>
      <c r="C63" s="12">
        <v>3</v>
      </c>
      <c r="D63" s="8">
        <v>1.57</v>
      </c>
      <c r="E63" s="12">
        <v>2</v>
      </c>
      <c r="F63" s="8">
        <v>1.48</v>
      </c>
      <c r="G63" s="12">
        <v>1</v>
      </c>
      <c r="H63" s="8">
        <v>1.96</v>
      </c>
      <c r="I63" s="12">
        <v>0</v>
      </c>
    </row>
    <row r="64" spans="2:9" ht="15" customHeight="1" x14ac:dyDescent="0.2">
      <c r="B64" t="s">
        <v>238</v>
      </c>
      <c r="C64" s="12">
        <v>3</v>
      </c>
      <c r="D64" s="8">
        <v>1.57</v>
      </c>
      <c r="E64" s="12">
        <v>2</v>
      </c>
      <c r="F64" s="8">
        <v>1.48</v>
      </c>
      <c r="G64" s="12">
        <v>1</v>
      </c>
      <c r="H64" s="8">
        <v>1.96</v>
      </c>
      <c r="I64" s="12">
        <v>0</v>
      </c>
    </row>
    <row r="65" spans="2:9" ht="15" customHeight="1" x14ac:dyDescent="0.2">
      <c r="B65" t="s">
        <v>193</v>
      </c>
      <c r="C65" s="12">
        <v>3</v>
      </c>
      <c r="D65" s="8">
        <v>1.57</v>
      </c>
      <c r="E65" s="12">
        <v>2</v>
      </c>
      <c r="F65" s="8">
        <v>1.48</v>
      </c>
      <c r="G65" s="12">
        <v>1</v>
      </c>
      <c r="H65" s="8">
        <v>1.96</v>
      </c>
      <c r="I65" s="12">
        <v>0</v>
      </c>
    </row>
    <row r="66" spans="2:9" ht="15" customHeight="1" x14ac:dyDescent="0.2">
      <c r="B66" t="s">
        <v>185</v>
      </c>
      <c r="C66" s="12">
        <v>3</v>
      </c>
      <c r="D66" s="8">
        <v>1.57</v>
      </c>
      <c r="E66" s="12">
        <v>1</v>
      </c>
      <c r="F66" s="8">
        <v>0.74</v>
      </c>
      <c r="G66" s="12">
        <v>2</v>
      </c>
      <c r="H66" s="8">
        <v>3.92</v>
      </c>
      <c r="I66" s="12">
        <v>0</v>
      </c>
    </row>
    <row r="67" spans="2:9" ht="15" customHeight="1" x14ac:dyDescent="0.2">
      <c r="B67" t="s">
        <v>181</v>
      </c>
      <c r="C67" s="12">
        <v>3</v>
      </c>
      <c r="D67" s="8">
        <v>1.57</v>
      </c>
      <c r="E67" s="12">
        <v>2</v>
      </c>
      <c r="F67" s="8">
        <v>1.48</v>
      </c>
      <c r="G67" s="12">
        <v>1</v>
      </c>
      <c r="H67" s="8">
        <v>1.96</v>
      </c>
      <c r="I67" s="12">
        <v>0</v>
      </c>
    </row>
    <row r="68" spans="2:9" ht="15" customHeight="1" x14ac:dyDescent="0.2">
      <c r="B68" t="s">
        <v>170</v>
      </c>
      <c r="C68" s="12">
        <v>3</v>
      </c>
      <c r="D68" s="8">
        <v>1.57</v>
      </c>
      <c r="E68" s="12">
        <v>3</v>
      </c>
      <c r="F68" s="8">
        <v>2.2200000000000002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171</v>
      </c>
      <c r="C69" s="12">
        <v>3</v>
      </c>
      <c r="D69" s="8">
        <v>1.57</v>
      </c>
      <c r="E69" s="12">
        <v>3</v>
      </c>
      <c r="F69" s="8">
        <v>2.2200000000000002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239</v>
      </c>
      <c r="C70" s="12">
        <v>3</v>
      </c>
      <c r="D70" s="8">
        <v>1.57</v>
      </c>
      <c r="E70" s="12">
        <v>3</v>
      </c>
      <c r="F70" s="8">
        <v>2.2200000000000002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240</v>
      </c>
      <c r="C71" s="12">
        <v>3</v>
      </c>
      <c r="D71" s="8">
        <v>1.57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C721-BD06-41FC-A01F-FB1602FB83D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95</v>
      </c>
      <c r="D6" s="8">
        <v>14.46</v>
      </c>
      <c r="E6" s="12">
        <v>54</v>
      </c>
      <c r="F6" s="8">
        <v>12.41</v>
      </c>
      <c r="G6" s="12">
        <v>41</v>
      </c>
      <c r="H6" s="8">
        <v>19.07</v>
      </c>
      <c r="I6" s="12">
        <v>0</v>
      </c>
    </row>
    <row r="7" spans="2:9" ht="15" customHeight="1" x14ac:dyDescent="0.2">
      <c r="B7" t="s">
        <v>62</v>
      </c>
      <c r="C7" s="12">
        <v>49</v>
      </c>
      <c r="D7" s="8">
        <v>7.46</v>
      </c>
      <c r="E7" s="12">
        <v>23</v>
      </c>
      <c r="F7" s="8">
        <v>5.29</v>
      </c>
      <c r="G7" s="12">
        <v>26</v>
      </c>
      <c r="H7" s="8">
        <v>12.09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0.15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3</v>
      </c>
      <c r="D9" s="8">
        <v>0.46</v>
      </c>
      <c r="E9" s="12">
        <v>0</v>
      </c>
      <c r="F9" s="8">
        <v>0</v>
      </c>
      <c r="G9" s="12">
        <v>3</v>
      </c>
      <c r="H9" s="8">
        <v>1.4</v>
      </c>
      <c r="I9" s="12">
        <v>0</v>
      </c>
    </row>
    <row r="10" spans="2:9" ht="15" customHeight="1" x14ac:dyDescent="0.2">
      <c r="B10" t="s">
        <v>65</v>
      </c>
      <c r="C10" s="12">
        <v>6</v>
      </c>
      <c r="D10" s="8">
        <v>0.91</v>
      </c>
      <c r="E10" s="12">
        <v>1</v>
      </c>
      <c r="F10" s="8">
        <v>0.23</v>
      </c>
      <c r="G10" s="12">
        <v>5</v>
      </c>
      <c r="H10" s="8">
        <v>2.33</v>
      </c>
      <c r="I10" s="12">
        <v>0</v>
      </c>
    </row>
    <row r="11" spans="2:9" ht="15" customHeight="1" x14ac:dyDescent="0.2">
      <c r="B11" t="s">
        <v>66</v>
      </c>
      <c r="C11" s="12">
        <v>175</v>
      </c>
      <c r="D11" s="8">
        <v>26.64</v>
      </c>
      <c r="E11" s="12">
        <v>105</v>
      </c>
      <c r="F11" s="8">
        <v>24.14</v>
      </c>
      <c r="G11" s="12">
        <v>70</v>
      </c>
      <c r="H11" s="8">
        <v>32.56</v>
      </c>
      <c r="I11" s="12">
        <v>0</v>
      </c>
    </row>
    <row r="12" spans="2:9" ht="15" customHeight="1" x14ac:dyDescent="0.2">
      <c r="B12" t="s">
        <v>67</v>
      </c>
      <c r="C12" s="12">
        <v>2</v>
      </c>
      <c r="D12" s="8">
        <v>0.3</v>
      </c>
      <c r="E12" s="12">
        <v>0</v>
      </c>
      <c r="F12" s="8">
        <v>0</v>
      </c>
      <c r="G12" s="12">
        <v>2</v>
      </c>
      <c r="H12" s="8">
        <v>0.93</v>
      </c>
      <c r="I12" s="12">
        <v>0</v>
      </c>
    </row>
    <row r="13" spans="2:9" ht="15" customHeight="1" x14ac:dyDescent="0.2">
      <c r="B13" t="s">
        <v>68</v>
      </c>
      <c r="C13" s="12">
        <v>21</v>
      </c>
      <c r="D13" s="8">
        <v>3.2</v>
      </c>
      <c r="E13" s="12">
        <v>15</v>
      </c>
      <c r="F13" s="8">
        <v>3.45</v>
      </c>
      <c r="G13" s="12">
        <v>6</v>
      </c>
      <c r="H13" s="8">
        <v>2.79</v>
      </c>
      <c r="I13" s="12">
        <v>0</v>
      </c>
    </row>
    <row r="14" spans="2:9" ht="15" customHeight="1" x14ac:dyDescent="0.2">
      <c r="B14" t="s">
        <v>69</v>
      </c>
      <c r="C14" s="12">
        <v>21</v>
      </c>
      <c r="D14" s="8">
        <v>3.2</v>
      </c>
      <c r="E14" s="12">
        <v>12</v>
      </c>
      <c r="F14" s="8">
        <v>2.76</v>
      </c>
      <c r="G14" s="12">
        <v>9</v>
      </c>
      <c r="H14" s="8">
        <v>4.1900000000000004</v>
      </c>
      <c r="I14" s="12">
        <v>0</v>
      </c>
    </row>
    <row r="15" spans="2:9" ht="15" customHeight="1" x14ac:dyDescent="0.2">
      <c r="B15" t="s">
        <v>70</v>
      </c>
      <c r="C15" s="12">
        <v>138</v>
      </c>
      <c r="D15" s="8">
        <v>21</v>
      </c>
      <c r="E15" s="12">
        <v>127</v>
      </c>
      <c r="F15" s="8">
        <v>29.2</v>
      </c>
      <c r="G15" s="12">
        <v>10</v>
      </c>
      <c r="H15" s="8">
        <v>4.6500000000000004</v>
      </c>
      <c r="I15" s="12">
        <v>1</v>
      </c>
    </row>
    <row r="16" spans="2:9" ht="15" customHeight="1" x14ac:dyDescent="0.2">
      <c r="B16" t="s">
        <v>71</v>
      </c>
      <c r="C16" s="12">
        <v>91</v>
      </c>
      <c r="D16" s="8">
        <v>13.85</v>
      </c>
      <c r="E16" s="12">
        <v>79</v>
      </c>
      <c r="F16" s="8">
        <v>18.16</v>
      </c>
      <c r="G16" s="12">
        <v>12</v>
      </c>
      <c r="H16" s="8">
        <v>5.58</v>
      </c>
      <c r="I16" s="12">
        <v>0</v>
      </c>
    </row>
    <row r="17" spans="2:9" ht="15" customHeight="1" x14ac:dyDescent="0.2">
      <c r="B17" t="s">
        <v>72</v>
      </c>
      <c r="C17" s="12">
        <v>10</v>
      </c>
      <c r="D17" s="8">
        <v>1.52</v>
      </c>
      <c r="E17" s="12">
        <v>7</v>
      </c>
      <c r="F17" s="8">
        <v>1.61</v>
      </c>
      <c r="G17" s="12">
        <v>2</v>
      </c>
      <c r="H17" s="8">
        <v>0.93</v>
      </c>
      <c r="I17" s="12">
        <v>0</v>
      </c>
    </row>
    <row r="18" spans="2:9" ht="15" customHeight="1" x14ac:dyDescent="0.2">
      <c r="B18" t="s">
        <v>73</v>
      </c>
      <c r="C18" s="12">
        <v>18</v>
      </c>
      <c r="D18" s="8">
        <v>2.74</v>
      </c>
      <c r="E18" s="12">
        <v>7</v>
      </c>
      <c r="F18" s="8">
        <v>1.61</v>
      </c>
      <c r="G18" s="12">
        <v>9</v>
      </c>
      <c r="H18" s="8">
        <v>4.1900000000000004</v>
      </c>
      <c r="I18" s="12">
        <v>0</v>
      </c>
    </row>
    <row r="19" spans="2:9" ht="15" customHeight="1" x14ac:dyDescent="0.2">
      <c r="B19" t="s">
        <v>74</v>
      </c>
      <c r="C19" s="12">
        <v>27</v>
      </c>
      <c r="D19" s="8">
        <v>4.1100000000000003</v>
      </c>
      <c r="E19" s="12">
        <v>5</v>
      </c>
      <c r="F19" s="8">
        <v>1.1499999999999999</v>
      </c>
      <c r="G19" s="12">
        <v>20</v>
      </c>
      <c r="H19" s="8">
        <v>9.3000000000000007</v>
      </c>
      <c r="I19" s="12">
        <v>1</v>
      </c>
    </row>
    <row r="20" spans="2:9" ht="15" customHeight="1" x14ac:dyDescent="0.2">
      <c r="B20" s="9" t="s">
        <v>337</v>
      </c>
      <c r="C20" s="12">
        <f>SUM(LTBL_07368[総数／事業所数])</f>
        <v>657</v>
      </c>
      <c r="E20" s="12">
        <f>SUBTOTAL(109,LTBL_07368[個人／事業所数])</f>
        <v>435</v>
      </c>
      <c r="G20" s="12">
        <f>SUBTOTAL(109,LTBL_07368[法人／事業所数])</f>
        <v>215</v>
      </c>
      <c r="I20" s="12">
        <f>SUBTOTAL(109,LTBL_07368[法人以外の団体／事業所数])</f>
        <v>2</v>
      </c>
    </row>
    <row r="21" spans="2:9" ht="15" customHeight="1" x14ac:dyDescent="0.2">
      <c r="E21" s="11">
        <f>LTBL_07368[[#Totals],[個人／事業所数]]/LTBL_07368[[#Totals],[総数／事業所数]]</f>
        <v>0.66210045662100458</v>
      </c>
      <c r="G21" s="11">
        <f>LTBL_07368[[#Totals],[法人／事業所数]]/LTBL_07368[[#Totals],[総数／事業所数]]</f>
        <v>0.32724505327245051</v>
      </c>
      <c r="I21" s="11">
        <f>LTBL_07368[[#Totals],[法人以外の団体／事業所数]]/LTBL_07368[[#Totals],[総数／事業所数]]</f>
        <v>3.0441400304414001E-3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77</v>
      </c>
      <c r="D24" s="8">
        <v>11.72</v>
      </c>
      <c r="E24" s="12">
        <v>73</v>
      </c>
      <c r="F24" s="8">
        <v>16.78</v>
      </c>
      <c r="G24" s="12">
        <v>4</v>
      </c>
      <c r="H24" s="8">
        <v>1.86</v>
      </c>
      <c r="I24" s="12">
        <v>0</v>
      </c>
    </row>
    <row r="25" spans="2:9" ht="15" customHeight="1" x14ac:dyDescent="0.2">
      <c r="B25" t="s">
        <v>95</v>
      </c>
      <c r="C25" s="12">
        <v>74</v>
      </c>
      <c r="D25" s="8">
        <v>11.26</v>
      </c>
      <c r="E25" s="12">
        <v>66</v>
      </c>
      <c r="F25" s="8">
        <v>15.17</v>
      </c>
      <c r="G25" s="12">
        <v>7</v>
      </c>
      <c r="H25" s="8">
        <v>3.26</v>
      </c>
      <c r="I25" s="12">
        <v>1</v>
      </c>
    </row>
    <row r="26" spans="2:9" ht="15" customHeight="1" x14ac:dyDescent="0.2">
      <c r="B26" t="s">
        <v>89</v>
      </c>
      <c r="C26" s="12">
        <v>66</v>
      </c>
      <c r="D26" s="8">
        <v>10.050000000000001</v>
      </c>
      <c r="E26" s="12">
        <v>47</v>
      </c>
      <c r="F26" s="8">
        <v>10.8</v>
      </c>
      <c r="G26" s="12">
        <v>19</v>
      </c>
      <c r="H26" s="8">
        <v>8.84</v>
      </c>
      <c r="I26" s="12">
        <v>0</v>
      </c>
    </row>
    <row r="27" spans="2:9" ht="15" customHeight="1" x14ac:dyDescent="0.2">
      <c r="B27" t="s">
        <v>96</v>
      </c>
      <c r="C27" s="12">
        <v>61</v>
      </c>
      <c r="D27" s="8">
        <v>9.2799999999999994</v>
      </c>
      <c r="E27" s="12">
        <v>59</v>
      </c>
      <c r="F27" s="8">
        <v>13.56</v>
      </c>
      <c r="G27" s="12">
        <v>2</v>
      </c>
      <c r="H27" s="8">
        <v>0.93</v>
      </c>
      <c r="I27" s="12">
        <v>0</v>
      </c>
    </row>
    <row r="28" spans="2:9" ht="15" customHeight="1" x14ac:dyDescent="0.2">
      <c r="B28" t="s">
        <v>91</v>
      </c>
      <c r="C28" s="12">
        <v>58</v>
      </c>
      <c r="D28" s="8">
        <v>8.83</v>
      </c>
      <c r="E28" s="12">
        <v>29</v>
      </c>
      <c r="F28" s="8">
        <v>6.67</v>
      </c>
      <c r="G28" s="12">
        <v>29</v>
      </c>
      <c r="H28" s="8">
        <v>13.49</v>
      </c>
      <c r="I28" s="12">
        <v>0</v>
      </c>
    </row>
    <row r="29" spans="2:9" ht="15" customHeight="1" x14ac:dyDescent="0.2">
      <c r="B29" t="s">
        <v>83</v>
      </c>
      <c r="C29" s="12">
        <v>44</v>
      </c>
      <c r="D29" s="8">
        <v>6.7</v>
      </c>
      <c r="E29" s="12">
        <v>19</v>
      </c>
      <c r="F29" s="8">
        <v>4.37</v>
      </c>
      <c r="G29" s="12">
        <v>25</v>
      </c>
      <c r="H29" s="8">
        <v>11.63</v>
      </c>
      <c r="I29" s="12">
        <v>0</v>
      </c>
    </row>
    <row r="30" spans="2:9" ht="15" customHeight="1" x14ac:dyDescent="0.2">
      <c r="B30" t="s">
        <v>84</v>
      </c>
      <c r="C30" s="12">
        <v>31</v>
      </c>
      <c r="D30" s="8">
        <v>4.72</v>
      </c>
      <c r="E30" s="12">
        <v>24</v>
      </c>
      <c r="F30" s="8">
        <v>5.52</v>
      </c>
      <c r="G30" s="12">
        <v>7</v>
      </c>
      <c r="H30" s="8">
        <v>3.26</v>
      </c>
      <c r="I30" s="12">
        <v>0</v>
      </c>
    </row>
    <row r="31" spans="2:9" ht="15" customHeight="1" x14ac:dyDescent="0.2">
      <c r="B31" t="s">
        <v>90</v>
      </c>
      <c r="C31" s="12">
        <v>21</v>
      </c>
      <c r="D31" s="8">
        <v>3.2</v>
      </c>
      <c r="E31" s="12">
        <v>13</v>
      </c>
      <c r="F31" s="8">
        <v>2.99</v>
      </c>
      <c r="G31" s="12">
        <v>8</v>
      </c>
      <c r="H31" s="8">
        <v>3.72</v>
      </c>
      <c r="I31" s="12">
        <v>0</v>
      </c>
    </row>
    <row r="32" spans="2:9" ht="15" customHeight="1" x14ac:dyDescent="0.2">
      <c r="B32" t="s">
        <v>85</v>
      </c>
      <c r="C32" s="12">
        <v>20</v>
      </c>
      <c r="D32" s="8">
        <v>3.04</v>
      </c>
      <c r="E32" s="12">
        <v>11</v>
      </c>
      <c r="F32" s="8">
        <v>2.5299999999999998</v>
      </c>
      <c r="G32" s="12">
        <v>9</v>
      </c>
      <c r="H32" s="8">
        <v>4.1900000000000004</v>
      </c>
      <c r="I32" s="12">
        <v>0</v>
      </c>
    </row>
    <row r="33" spans="2:9" ht="15" customHeight="1" x14ac:dyDescent="0.2">
      <c r="B33" t="s">
        <v>92</v>
      </c>
      <c r="C33" s="12">
        <v>17</v>
      </c>
      <c r="D33" s="8">
        <v>2.59</v>
      </c>
      <c r="E33" s="12">
        <v>14</v>
      </c>
      <c r="F33" s="8">
        <v>3.22</v>
      </c>
      <c r="G33" s="12">
        <v>3</v>
      </c>
      <c r="H33" s="8">
        <v>1.4</v>
      </c>
      <c r="I33" s="12">
        <v>0</v>
      </c>
    </row>
    <row r="34" spans="2:9" ht="15" customHeight="1" x14ac:dyDescent="0.2">
      <c r="B34" t="s">
        <v>93</v>
      </c>
      <c r="C34" s="12">
        <v>11</v>
      </c>
      <c r="D34" s="8">
        <v>1.67</v>
      </c>
      <c r="E34" s="12">
        <v>8</v>
      </c>
      <c r="F34" s="8">
        <v>1.84</v>
      </c>
      <c r="G34" s="12">
        <v>3</v>
      </c>
      <c r="H34" s="8">
        <v>1.4</v>
      </c>
      <c r="I34" s="12">
        <v>0</v>
      </c>
    </row>
    <row r="35" spans="2:9" ht="15" customHeight="1" x14ac:dyDescent="0.2">
      <c r="B35" t="s">
        <v>108</v>
      </c>
      <c r="C35" s="12">
        <v>11</v>
      </c>
      <c r="D35" s="8">
        <v>1.67</v>
      </c>
      <c r="E35" s="12">
        <v>0</v>
      </c>
      <c r="F35" s="8">
        <v>0</v>
      </c>
      <c r="G35" s="12">
        <v>9</v>
      </c>
      <c r="H35" s="8">
        <v>4.1900000000000004</v>
      </c>
      <c r="I35" s="12">
        <v>1</v>
      </c>
    </row>
    <row r="36" spans="2:9" ht="15" customHeight="1" x14ac:dyDescent="0.2">
      <c r="B36" t="s">
        <v>94</v>
      </c>
      <c r="C36" s="12">
        <v>10</v>
      </c>
      <c r="D36" s="8">
        <v>1.52</v>
      </c>
      <c r="E36" s="12">
        <v>4</v>
      </c>
      <c r="F36" s="8">
        <v>0.92</v>
      </c>
      <c r="G36" s="12">
        <v>6</v>
      </c>
      <c r="H36" s="8">
        <v>2.79</v>
      </c>
      <c r="I36" s="12">
        <v>0</v>
      </c>
    </row>
    <row r="37" spans="2:9" ht="15" customHeight="1" x14ac:dyDescent="0.2">
      <c r="B37" t="s">
        <v>99</v>
      </c>
      <c r="C37" s="12">
        <v>10</v>
      </c>
      <c r="D37" s="8">
        <v>1.52</v>
      </c>
      <c r="E37" s="12">
        <v>7</v>
      </c>
      <c r="F37" s="8">
        <v>1.61</v>
      </c>
      <c r="G37" s="12">
        <v>2</v>
      </c>
      <c r="H37" s="8">
        <v>0.93</v>
      </c>
      <c r="I37" s="12">
        <v>0</v>
      </c>
    </row>
    <row r="38" spans="2:9" ht="15" customHeight="1" x14ac:dyDescent="0.2">
      <c r="B38" t="s">
        <v>101</v>
      </c>
      <c r="C38" s="12">
        <v>10</v>
      </c>
      <c r="D38" s="8">
        <v>1.52</v>
      </c>
      <c r="E38" s="12">
        <v>0</v>
      </c>
      <c r="F38" s="8">
        <v>0</v>
      </c>
      <c r="G38" s="12">
        <v>8</v>
      </c>
      <c r="H38" s="8">
        <v>3.72</v>
      </c>
      <c r="I38" s="12">
        <v>0</v>
      </c>
    </row>
    <row r="39" spans="2:9" ht="15" customHeight="1" x14ac:dyDescent="0.2">
      <c r="B39" t="s">
        <v>102</v>
      </c>
      <c r="C39" s="12">
        <v>9</v>
      </c>
      <c r="D39" s="8">
        <v>1.37</v>
      </c>
      <c r="E39" s="12">
        <v>4</v>
      </c>
      <c r="F39" s="8">
        <v>0.92</v>
      </c>
      <c r="G39" s="12">
        <v>5</v>
      </c>
      <c r="H39" s="8">
        <v>2.33</v>
      </c>
      <c r="I39" s="12">
        <v>0</v>
      </c>
    </row>
    <row r="40" spans="2:9" ht="15" customHeight="1" x14ac:dyDescent="0.2">
      <c r="B40" t="s">
        <v>88</v>
      </c>
      <c r="C40" s="12">
        <v>8</v>
      </c>
      <c r="D40" s="8">
        <v>1.22</v>
      </c>
      <c r="E40" s="12">
        <v>7</v>
      </c>
      <c r="F40" s="8">
        <v>1.61</v>
      </c>
      <c r="G40" s="12">
        <v>1</v>
      </c>
      <c r="H40" s="8">
        <v>0.47</v>
      </c>
      <c r="I40" s="12">
        <v>0</v>
      </c>
    </row>
    <row r="41" spans="2:9" ht="15" customHeight="1" x14ac:dyDescent="0.2">
      <c r="B41" t="s">
        <v>129</v>
      </c>
      <c r="C41" s="12">
        <v>8</v>
      </c>
      <c r="D41" s="8">
        <v>1.22</v>
      </c>
      <c r="E41" s="12">
        <v>4</v>
      </c>
      <c r="F41" s="8">
        <v>0.92</v>
      </c>
      <c r="G41" s="12">
        <v>4</v>
      </c>
      <c r="H41" s="8">
        <v>1.86</v>
      </c>
      <c r="I41" s="12">
        <v>0</v>
      </c>
    </row>
    <row r="42" spans="2:9" ht="15" customHeight="1" x14ac:dyDescent="0.2">
      <c r="B42" t="s">
        <v>100</v>
      </c>
      <c r="C42" s="12">
        <v>8</v>
      </c>
      <c r="D42" s="8">
        <v>1.22</v>
      </c>
      <c r="E42" s="12">
        <v>7</v>
      </c>
      <c r="F42" s="8">
        <v>1.61</v>
      </c>
      <c r="G42" s="12">
        <v>1</v>
      </c>
      <c r="H42" s="8">
        <v>0.47</v>
      </c>
      <c r="I42" s="12">
        <v>0</v>
      </c>
    </row>
    <row r="43" spans="2:9" ht="15" customHeight="1" x14ac:dyDescent="0.2">
      <c r="B43" t="s">
        <v>86</v>
      </c>
      <c r="C43" s="12">
        <v>7</v>
      </c>
      <c r="D43" s="8">
        <v>1.07</v>
      </c>
      <c r="E43" s="12">
        <v>1</v>
      </c>
      <c r="F43" s="8">
        <v>0.23</v>
      </c>
      <c r="G43" s="12">
        <v>6</v>
      </c>
      <c r="H43" s="8">
        <v>2.79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215</v>
      </c>
      <c r="C47" s="12">
        <v>68</v>
      </c>
      <c r="D47" s="8">
        <v>10.35</v>
      </c>
      <c r="E47" s="12">
        <v>63</v>
      </c>
      <c r="F47" s="8">
        <v>14.48</v>
      </c>
      <c r="G47" s="12">
        <v>5</v>
      </c>
      <c r="H47" s="8">
        <v>2.33</v>
      </c>
      <c r="I47" s="12">
        <v>0</v>
      </c>
    </row>
    <row r="48" spans="2:9" ht="15" customHeight="1" x14ac:dyDescent="0.2">
      <c r="B48" t="s">
        <v>173</v>
      </c>
      <c r="C48" s="12">
        <v>40</v>
      </c>
      <c r="D48" s="8">
        <v>6.09</v>
      </c>
      <c r="E48" s="12">
        <v>40</v>
      </c>
      <c r="F48" s="8">
        <v>9.1999999999999993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174</v>
      </c>
      <c r="C49" s="12">
        <v>32</v>
      </c>
      <c r="D49" s="8">
        <v>4.87</v>
      </c>
      <c r="E49" s="12">
        <v>32</v>
      </c>
      <c r="F49" s="8">
        <v>7.36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163</v>
      </c>
      <c r="C50" s="12">
        <v>23</v>
      </c>
      <c r="D50" s="8">
        <v>3.5</v>
      </c>
      <c r="E50" s="12">
        <v>16</v>
      </c>
      <c r="F50" s="8">
        <v>3.68</v>
      </c>
      <c r="G50" s="12">
        <v>7</v>
      </c>
      <c r="H50" s="8">
        <v>3.26</v>
      </c>
      <c r="I50" s="12">
        <v>0</v>
      </c>
    </row>
    <row r="51" spans="2:9" ht="15" customHeight="1" x14ac:dyDescent="0.2">
      <c r="B51" t="s">
        <v>191</v>
      </c>
      <c r="C51" s="12">
        <v>21</v>
      </c>
      <c r="D51" s="8">
        <v>3.2</v>
      </c>
      <c r="E51" s="12">
        <v>17</v>
      </c>
      <c r="F51" s="8">
        <v>3.91</v>
      </c>
      <c r="G51" s="12">
        <v>4</v>
      </c>
      <c r="H51" s="8">
        <v>1.86</v>
      </c>
      <c r="I51" s="12">
        <v>0</v>
      </c>
    </row>
    <row r="52" spans="2:9" ht="15" customHeight="1" x14ac:dyDescent="0.2">
      <c r="B52" t="s">
        <v>160</v>
      </c>
      <c r="C52" s="12">
        <v>17</v>
      </c>
      <c r="D52" s="8">
        <v>2.59</v>
      </c>
      <c r="E52" s="12">
        <v>12</v>
      </c>
      <c r="F52" s="8">
        <v>2.76</v>
      </c>
      <c r="G52" s="12">
        <v>5</v>
      </c>
      <c r="H52" s="8">
        <v>2.33</v>
      </c>
      <c r="I52" s="12">
        <v>0</v>
      </c>
    </row>
    <row r="53" spans="2:9" ht="15" customHeight="1" x14ac:dyDescent="0.2">
      <c r="B53" t="s">
        <v>185</v>
      </c>
      <c r="C53" s="12">
        <v>16</v>
      </c>
      <c r="D53" s="8">
        <v>2.44</v>
      </c>
      <c r="E53" s="12">
        <v>5</v>
      </c>
      <c r="F53" s="8">
        <v>1.1499999999999999</v>
      </c>
      <c r="G53" s="12">
        <v>11</v>
      </c>
      <c r="H53" s="8">
        <v>5.12</v>
      </c>
      <c r="I53" s="12">
        <v>0</v>
      </c>
    </row>
    <row r="54" spans="2:9" ht="15" customHeight="1" x14ac:dyDescent="0.2">
      <c r="B54" t="s">
        <v>170</v>
      </c>
      <c r="C54" s="12">
        <v>15</v>
      </c>
      <c r="D54" s="8">
        <v>2.2799999999999998</v>
      </c>
      <c r="E54" s="12">
        <v>14</v>
      </c>
      <c r="F54" s="8">
        <v>3.22</v>
      </c>
      <c r="G54" s="12">
        <v>1</v>
      </c>
      <c r="H54" s="8">
        <v>0.47</v>
      </c>
      <c r="I54" s="12">
        <v>0</v>
      </c>
    </row>
    <row r="55" spans="2:9" ht="15" customHeight="1" x14ac:dyDescent="0.2">
      <c r="B55" t="s">
        <v>168</v>
      </c>
      <c r="C55" s="12">
        <v>14</v>
      </c>
      <c r="D55" s="8">
        <v>2.13</v>
      </c>
      <c r="E55" s="12">
        <v>12</v>
      </c>
      <c r="F55" s="8">
        <v>2.76</v>
      </c>
      <c r="G55" s="12">
        <v>2</v>
      </c>
      <c r="H55" s="8">
        <v>0.93</v>
      </c>
      <c r="I55" s="12">
        <v>0</v>
      </c>
    </row>
    <row r="56" spans="2:9" ht="15" customHeight="1" x14ac:dyDescent="0.2">
      <c r="B56" t="s">
        <v>159</v>
      </c>
      <c r="C56" s="12">
        <v>13</v>
      </c>
      <c r="D56" s="8">
        <v>1.98</v>
      </c>
      <c r="E56" s="12">
        <v>4</v>
      </c>
      <c r="F56" s="8">
        <v>0.92</v>
      </c>
      <c r="G56" s="12">
        <v>9</v>
      </c>
      <c r="H56" s="8">
        <v>4.1900000000000004</v>
      </c>
      <c r="I56" s="12">
        <v>0</v>
      </c>
    </row>
    <row r="57" spans="2:9" ht="15" customHeight="1" x14ac:dyDescent="0.2">
      <c r="B57" t="s">
        <v>161</v>
      </c>
      <c r="C57" s="12">
        <v>12</v>
      </c>
      <c r="D57" s="8">
        <v>1.83</v>
      </c>
      <c r="E57" s="12">
        <v>6</v>
      </c>
      <c r="F57" s="8">
        <v>1.38</v>
      </c>
      <c r="G57" s="12">
        <v>6</v>
      </c>
      <c r="H57" s="8">
        <v>2.79</v>
      </c>
      <c r="I57" s="12">
        <v>0</v>
      </c>
    </row>
    <row r="58" spans="2:9" ht="15" customHeight="1" x14ac:dyDescent="0.2">
      <c r="B58" t="s">
        <v>193</v>
      </c>
      <c r="C58" s="12">
        <v>12</v>
      </c>
      <c r="D58" s="8">
        <v>1.83</v>
      </c>
      <c r="E58" s="12">
        <v>8</v>
      </c>
      <c r="F58" s="8">
        <v>1.84</v>
      </c>
      <c r="G58" s="12">
        <v>4</v>
      </c>
      <c r="H58" s="8">
        <v>1.86</v>
      </c>
      <c r="I58" s="12">
        <v>0</v>
      </c>
    </row>
    <row r="59" spans="2:9" ht="15" customHeight="1" x14ac:dyDescent="0.2">
      <c r="B59" t="s">
        <v>181</v>
      </c>
      <c r="C59" s="12">
        <v>12</v>
      </c>
      <c r="D59" s="8">
        <v>1.83</v>
      </c>
      <c r="E59" s="12">
        <v>11</v>
      </c>
      <c r="F59" s="8">
        <v>2.5299999999999998</v>
      </c>
      <c r="G59" s="12">
        <v>1</v>
      </c>
      <c r="H59" s="8">
        <v>0.47</v>
      </c>
      <c r="I59" s="12">
        <v>0</v>
      </c>
    </row>
    <row r="60" spans="2:9" ht="15" customHeight="1" x14ac:dyDescent="0.2">
      <c r="B60" t="s">
        <v>212</v>
      </c>
      <c r="C60" s="12">
        <v>11</v>
      </c>
      <c r="D60" s="8">
        <v>1.67</v>
      </c>
      <c r="E60" s="12">
        <v>4</v>
      </c>
      <c r="F60" s="8">
        <v>0.92</v>
      </c>
      <c r="G60" s="12">
        <v>7</v>
      </c>
      <c r="H60" s="8">
        <v>3.26</v>
      </c>
      <c r="I60" s="12">
        <v>0</v>
      </c>
    </row>
    <row r="61" spans="2:9" ht="15" customHeight="1" x14ac:dyDescent="0.2">
      <c r="B61" t="s">
        <v>158</v>
      </c>
      <c r="C61" s="12">
        <v>10</v>
      </c>
      <c r="D61" s="8">
        <v>1.52</v>
      </c>
      <c r="E61" s="12">
        <v>3</v>
      </c>
      <c r="F61" s="8">
        <v>0.69</v>
      </c>
      <c r="G61" s="12">
        <v>7</v>
      </c>
      <c r="H61" s="8">
        <v>3.26</v>
      </c>
      <c r="I61" s="12">
        <v>0</v>
      </c>
    </row>
    <row r="62" spans="2:9" ht="15" customHeight="1" x14ac:dyDescent="0.2">
      <c r="B62" t="s">
        <v>166</v>
      </c>
      <c r="C62" s="12">
        <v>10</v>
      </c>
      <c r="D62" s="8">
        <v>1.52</v>
      </c>
      <c r="E62" s="12">
        <v>7</v>
      </c>
      <c r="F62" s="8">
        <v>1.61</v>
      </c>
      <c r="G62" s="12">
        <v>3</v>
      </c>
      <c r="H62" s="8">
        <v>1.4</v>
      </c>
      <c r="I62" s="12">
        <v>0</v>
      </c>
    </row>
    <row r="63" spans="2:9" ht="15" customHeight="1" x14ac:dyDescent="0.2">
      <c r="B63" t="s">
        <v>171</v>
      </c>
      <c r="C63" s="12">
        <v>10</v>
      </c>
      <c r="D63" s="8">
        <v>1.52</v>
      </c>
      <c r="E63" s="12">
        <v>10</v>
      </c>
      <c r="F63" s="8">
        <v>2.2999999999999998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202</v>
      </c>
      <c r="C64" s="12">
        <v>9</v>
      </c>
      <c r="D64" s="8">
        <v>1.37</v>
      </c>
      <c r="E64" s="12">
        <v>5</v>
      </c>
      <c r="F64" s="8">
        <v>1.1499999999999999</v>
      </c>
      <c r="G64" s="12">
        <v>4</v>
      </c>
      <c r="H64" s="8">
        <v>1.86</v>
      </c>
      <c r="I64" s="12">
        <v>0</v>
      </c>
    </row>
    <row r="65" spans="2:9" ht="15" customHeight="1" x14ac:dyDescent="0.2">
      <c r="B65" t="s">
        <v>164</v>
      </c>
      <c r="C65" s="12">
        <v>9</v>
      </c>
      <c r="D65" s="8">
        <v>1.37</v>
      </c>
      <c r="E65" s="12">
        <v>5</v>
      </c>
      <c r="F65" s="8">
        <v>1.1499999999999999</v>
      </c>
      <c r="G65" s="12">
        <v>4</v>
      </c>
      <c r="H65" s="8">
        <v>1.86</v>
      </c>
      <c r="I65" s="12">
        <v>0</v>
      </c>
    </row>
    <row r="66" spans="2:9" ht="15" customHeight="1" x14ac:dyDescent="0.2">
      <c r="B66" t="s">
        <v>210</v>
      </c>
      <c r="C66" s="12">
        <v>9</v>
      </c>
      <c r="D66" s="8">
        <v>1.37</v>
      </c>
      <c r="E66" s="12">
        <v>5</v>
      </c>
      <c r="F66" s="8">
        <v>1.1499999999999999</v>
      </c>
      <c r="G66" s="12">
        <v>4</v>
      </c>
      <c r="H66" s="8">
        <v>1.86</v>
      </c>
      <c r="I66" s="12">
        <v>0</v>
      </c>
    </row>
    <row r="67" spans="2:9" ht="15" customHeight="1" x14ac:dyDescent="0.2">
      <c r="B67" t="s">
        <v>177</v>
      </c>
      <c r="C67" s="12">
        <v>9</v>
      </c>
      <c r="D67" s="8">
        <v>1.37</v>
      </c>
      <c r="E67" s="12">
        <v>4</v>
      </c>
      <c r="F67" s="8">
        <v>0.92</v>
      </c>
      <c r="G67" s="12">
        <v>5</v>
      </c>
      <c r="H67" s="8">
        <v>2.33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93E6-9E3A-438C-8E26-3C91246D7391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14</v>
      </c>
      <c r="D6" s="8">
        <v>7.82</v>
      </c>
      <c r="E6" s="12">
        <v>7</v>
      </c>
      <c r="F6" s="8">
        <v>5.98</v>
      </c>
      <c r="G6" s="12">
        <v>7</v>
      </c>
      <c r="H6" s="8">
        <v>12.5</v>
      </c>
      <c r="I6" s="12">
        <v>0</v>
      </c>
    </row>
    <row r="7" spans="2:9" ht="15" customHeight="1" x14ac:dyDescent="0.2">
      <c r="B7" t="s">
        <v>62</v>
      </c>
      <c r="C7" s="12">
        <v>6</v>
      </c>
      <c r="D7" s="8">
        <v>3.35</v>
      </c>
      <c r="E7" s="12">
        <v>3</v>
      </c>
      <c r="F7" s="8">
        <v>2.56</v>
      </c>
      <c r="G7" s="12">
        <v>3</v>
      </c>
      <c r="H7" s="8">
        <v>5.36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0.56000000000000005</v>
      </c>
      <c r="E9" s="12">
        <v>0</v>
      </c>
      <c r="F9" s="8">
        <v>0</v>
      </c>
      <c r="G9" s="12">
        <v>1</v>
      </c>
      <c r="H9" s="8">
        <v>1.79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1.1200000000000001</v>
      </c>
      <c r="E10" s="12">
        <v>0</v>
      </c>
      <c r="F10" s="8">
        <v>0</v>
      </c>
      <c r="G10" s="12">
        <v>1</v>
      </c>
      <c r="H10" s="8">
        <v>1.79</v>
      </c>
      <c r="I10" s="12">
        <v>1</v>
      </c>
    </row>
    <row r="11" spans="2:9" ht="15" customHeight="1" x14ac:dyDescent="0.2">
      <c r="B11" t="s">
        <v>66</v>
      </c>
      <c r="C11" s="12">
        <v>21</v>
      </c>
      <c r="D11" s="8">
        <v>11.73</v>
      </c>
      <c r="E11" s="12">
        <v>9</v>
      </c>
      <c r="F11" s="8">
        <v>7.69</v>
      </c>
      <c r="G11" s="12">
        <v>12</v>
      </c>
      <c r="H11" s="8">
        <v>21.43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4</v>
      </c>
      <c r="D13" s="8">
        <v>2.23</v>
      </c>
      <c r="E13" s="12">
        <v>3</v>
      </c>
      <c r="F13" s="8">
        <v>2.56</v>
      </c>
      <c r="G13" s="12">
        <v>1</v>
      </c>
      <c r="H13" s="8">
        <v>1.79</v>
      </c>
      <c r="I13" s="12">
        <v>0</v>
      </c>
    </row>
    <row r="14" spans="2:9" ht="15" customHeight="1" x14ac:dyDescent="0.2">
      <c r="B14" t="s">
        <v>69</v>
      </c>
      <c r="C14" s="12">
        <v>3</v>
      </c>
      <c r="D14" s="8">
        <v>1.68</v>
      </c>
      <c r="E14" s="12">
        <v>2</v>
      </c>
      <c r="F14" s="8">
        <v>1.71</v>
      </c>
      <c r="G14" s="12">
        <v>1</v>
      </c>
      <c r="H14" s="8">
        <v>1.79</v>
      </c>
      <c r="I14" s="12">
        <v>0</v>
      </c>
    </row>
    <row r="15" spans="2:9" ht="15" customHeight="1" x14ac:dyDescent="0.2">
      <c r="B15" t="s">
        <v>70</v>
      </c>
      <c r="C15" s="12">
        <v>106</v>
      </c>
      <c r="D15" s="8">
        <v>59.22</v>
      </c>
      <c r="E15" s="12">
        <v>83</v>
      </c>
      <c r="F15" s="8">
        <v>70.94</v>
      </c>
      <c r="G15" s="12">
        <v>20</v>
      </c>
      <c r="H15" s="8">
        <v>35.71</v>
      </c>
      <c r="I15" s="12">
        <v>1</v>
      </c>
    </row>
    <row r="16" spans="2:9" ht="15" customHeight="1" x14ac:dyDescent="0.2">
      <c r="B16" t="s">
        <v>71</v>
      </c>
      <c r="C16" s="12">
        <v>13</v>
      </c>
      <c r="D16" s="8">
        <v>7.26</v>
      </c>
      <c r="E16" s="12">
        <v>9</v>
      </c>
      <c r="F16" s="8">
        <v>7.69</v>
      </c>
      <c r="G16" s="12">
        <v>4</v>
      </c>
      <c r="H16" s="8">
        <v>7.14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1.1200000000000001</v>
      </c>
      <c r="E17" s="12">
        <v>0</v>
      </c>
      <c r="F17" s="8">
        <v>0</v>
      </c>
      <c r="G17" s="12">
        <v>2</v>
      </c>
      <c r="H17" s="8">
        <v>3.57</v>
      </c>
      <c r="I17" s="12">
        <v>0</v>
      </c>
    </row>
    <row r="18" spans="2:9" ht="15" customHeight="1" x14ac:dyDescent="0.2">
      <c r="B18" t="s">
        <v>73</v>
      </c>
      <c r="C18" s="12">
        <v>2</v>
      </c>
      <c r="D18" s="8">
        <v>1.1200000000000001</v>
      </c>
      <c r="E18" s="12">
        <v>1</v>
      </c>
      <c r="F18" s="8">
        <v>0.85</v>
      </c>
      <c r="G18" s="12">
        <v>1</v>
      </c>
      <c r="H18" s="8">
        <v>1.79</v>
      </c>
      <c r="I18" s="12">
        <v>0</v>
      </c>
    </row>
    <row r="19" spans="2:9" ht="15" customHeight="1" x14ac:dyDescent="0.2">
      <c r="B19" t="s">
        <v>74</v>
      </c>
      <c r="C19" s="12">
        <v>5</v>
      </c>
      <c r="D19" s="8">
        <v>2.79</v>
      </c>
      <c r="E19" s="12">
        <v>0</v>
      </c>
      <c r="F19" s="8">
        <v>0</v>
      </c>
      <c r="G19" s="12">
        <v>3</v>
      </c>
      <c r="H19" s="8">
        <v>5.36</v>
      </c>
      <c r="I19" s="12">
        <v>1</v>
      </c>
    </row>
    <row r="20" spans="2:9" ht="15" customHeight="1" x14ac:dyDescent="0.2">
      <c r="B20" s="9" t="s">
        <v>337</v>
      </c>
      <c r="C20" s="12">
        <f>SUM(LTBL_07402[総数／事業所数])</f>
        <v>179</v>
      </c>
      <c r="E20" s="12">
        <f>SUBTOTAL(109,LTBL_07402[個人／事業所数])</f>
        <v>117</v>
      </c>
      <c r="G20" s="12">
        <f>SUBTOTAL(109,LTBL_07402[法人／事業所数])</f>
        <v>56</v>
      </c>
      <c r="I20" s="12">
        <f>SUBTOTAL(109,LTBL_07402[法人以外の団体／事業所数])</f>
        <v>3</v>
      </c>
    </row>
    <row r="21" spans="2:9" ht="15" customHeight="1" x14ac:dyDescent="0.2">
      <c r="E21" s="11">
        <f>LTBL_07402[[#Totals],[個人／事業所数]]/LTBL_07402[[#Totals],[総数／事業所数]]</f>
        <v>0.65363128491620115</v>
      </c>
      <c r="G21" s="11">
        <f>LTBL_07402[[#Totals],[法人／事業所数]]/LTBL_07402[[#Totals],[総数／事業所数]]</f>
        <v>0.31284916201117319</v>
      </c>
      <c r="I21" s="11">
        <f>LTBL_07402[[#Totals],[法人以外の団体／事業所数]]/LTBL_07402[[#Totals],[総数／事業所数]]</f>
        <v>1.6759776536312849E-2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95</v>
      </c>
      <c r="C24" s="12">
        <v>89</v>
      </c>
      <c r="D24" s="8">
        <v>49.72</v>
      </c>
      <c r="E24" s="12">
        <v>72</v>
      </c>
      <c r="F24" s="8">
        <v>61.54</v>
      </c>
      <c r="G24" s="12">
        <v>17</v>
      </c>
      <c r="H24" s="8">
        <v>30.36</v>
      </c>
      <c r="I24" s="12">
        <v>0</v>
      </c>
    </row>
    <row r="25" spans="2:9" ht="15" customHeight="1" x14ac:dyDescent="0.2">
      <c r="B25" t="s">
        <v>96</v>
      </c>
      <c r="C25" s="12">
        <v>13</v>
      </c>
      <c r="D25" s="8">
        <v>7.26</v>
      </c>
      <c r="E25" s="12">
        <v>11</v>
      </c>
      <c r="F25" s="8">
        <v>9.4</v>
      </c>
      <c r="G25" s="12">
        <v>1</v>
      </c>
      <c r="H25" s="8">
        <v>1.79</v>
      </c>
      <c r="I25" s="12">
        <v>1</v>
      </c>
    </row>
    <row r="26" spans="2:9" ht="15" customHeight="1" x14ac:dyDescent="0.2">
      <c r="B26" t="s">
        <v>83</v>
      </c>
      <c r="C26" s="12">
        <v>8</v>
      </c>
      <c r="D26" s="8">
        <v>4.47</v>
      </c>
      <c r="E26" s="12">
        <v>4</v>
      </c>
      <c r="F26" s="8">
        <v>3.42</v>
      </c>
      <c r="G26" s="12">
        <v>4</v>
      </c>
      <c r="H26" s="8">
        <v>7.14</v>
      </c>
      <c r="I26" s="12">
        <v>0</v>
      </c>
    </row>
    <row r="27" spans="2:9" ht="15" customHeight="1" x14ac:dyDescent="0.2">
      <c r="B27" t="s">
        <v>89</v>
      </c>
      <c r="C27" s="12">
        <v>8</v>
      </c>
      <c r="D27" s="8">
        <v>4.47</v>
      </c>
      <c r="E27" s="12">
        <v>3</v>
      </c>
      <c r="F27" s="8">
        <v>2.56</v>
      </c>
      <c r="G27" s="12">
        <v>5</v>
      </c>
      <c r="H27" s="8">
        <v>8.93</v>
      </c>
      <c r="I27" s="12">
        <v>0</v>
      </c>
    </row>
    <row r="28" spans="2:9" ht="15" customHeight="1" x14ac:dyDescent="0.2">
      <c r="B28" t="s">
        <v>91</v>
      </c>
      <c r="C28" s="12">
        <v>8</v>
      </c>
      <c r="D28" s="8">
        <v>4.47</v>
      </c>
      <c r="E28" s="12">
        <v>4</v>
      </c>
      <c r="F28" s="8">
        <v>3.42</v>
      </c>
      <c r="G28" s="12">
        <v>4</v>
      </c>
      <c r="H28" s="8">
        <v>7.14</v>
      </c>
      <c r="I28" s="12">
        <v>0</v>
      </c>
    </row>
    <row r="29" spans="2:9" ht="15" customHeight="1" x14ac:dyDescent="0.2">
      <c r="B29" t="s">
        <v>97</v>
      </c>
      <c r="C29" s="12">
        <v>7</v>
      </c>
      <c r="D29" s="8">
        <v>3.91</v>
      </c>
      <c r="E29" s="12">
        <v>7</v>
      </c>
      <c r="F29" s="8">
        <v>5.98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129</v>
      </c>
      <c r="C30" s="12">
        <v>5</v>
      </c>
      <c r="D30" s="8">
        <v>2.79</v>
      </c>
      <c r="E30" s="12">
        <v>2</v>
      </c>
      <c r="F30" s="8">
        <v>1.71</v>
      </c>
      <c r="G30" s="12">
        <v>3</v>
      </c>
      <c r="H30" s="8">
        <v>5.36</v>
      </c>
      <c r="I30" s="12">
        <v>0</v>
      </c>
    </row>
    <row r="31" spans="2:9" ht="15" customHeight="1" x14ac:dyDescent="0.2">
      <c r="B31" t="s">
        <v>84</v>
      </c>
      <c r="C31" s="12">
        <v>4</v>
      </c>
      <c r="D31" s="8">
        <v>2.23</v>
      </c>
      <c r="E31" s="12">
        <v>2</v>
      </c>
      <c r="F31" s="8">
        <v>1.71</v>
      </c>
      <c r="G31" s="12">
        <v>2</v>
      </c>
      <c r="H31" s="8">
        <v>3.57</v>
      </c>
      <c r="I31" s="12">
        <v>0</v>
      </c>
    </row>
    <row r="32" spans="2:9" ht="15" customHeight="1" x14ac:dyDescent="0.2">
      <c r="B32" t="s">
        <v>106</v>
      </c>
      <c r="C32" s="12">
        <v>4</v>
      </c>
      <c r="D32" s="8">
        <v>2.23</v>
      </c>
      <c r="E32" s="12">
        <v>2</v>
      </c>
      <c r="F32" s="8">
        <v>1.71</v>
      </c>
      <c r="G32" s="12">
        <v>2</v>
      </c>
      <c r="H32" s="8">
        <v>3.57</v>
      </c>
      <c r="I32" s="12">
        <v>0</v>
      </c>
    </row>
    <row r="33" spans="2:9" ht="15" customHeight="1" x14ac:dyDescent="0.2">
      <c r="B33" t="s">
        <v>113</v>
      </c>
      <c r="C33" s="12">
        <v>4</v>
      </c>
      <c r="D33" s="8">
        <v>2.23</v>
      </c>
      <c r="E33" s="12">
        <v>0</v>
      </c>
      <c r="F33" s="8">
        <v>0</v>
      </c>
      <c r="G33" s="12">
        <v>2</v>
      </c>
      <c r="H33" s="8">
        <v>3.57</v>
      </c>
      <c r="I33" s="12">
        <v>0</v>
      </c>
    </row>
    <row r="34" spans="2:9" ht="15" customHeight="1" x14ac:dyDescent="0.2">
      <c r="B34" t="s">
        <v>92</v>
      </c>
      <c r="C34" s="12">
        <v>3</v>
      </c>
      <c r="D34" s="8">
        <v>1.68</v>
      </c>
      <c r="E34" s="12">
        <v>2</v>
      </c>
      <c r="F34" s="8">
        <v>1.71</v>
      </c>
      <c r="G34" s="12">
        <v>1</v>
      </c>
      <c r="H34" s="8">
        <v>1.79</v>
      </c>
      <c r="I34" s="12">
        <v>0</v>
      </c>
    </row>
    <row r="35" spans="2:9" ht="15" customHeight="1" x14ac:dyDescent="0.2">
      <c r="B35" t="s">
        <v>85</v>
      </c>
      <c r="C35" s="12">
        <v>2</v>
      </c>
      <c r="D35" s="8">
        <v>1.1200000000000001</v>
      </c>
      <c r="E35" s="12">
        <v>1</v>
      </c>
      <c r="F35" s="8">
        <v>0.85</v>
      </c>
      <c r="G35" s="12">
        <v>1</v>
      </c>
      <c r="H35" s="8">
        <v>1.79</v>
      </c>
      <c r="I35" s="12">
        <v>0</v>
      </c>
    </row>
    <row r="36" spans="2:9" ht="15" customHeight="1" x14ac:dyDescent="0.2">
      <c r="B36" t="s">
        <v>94</v>
      </c>
      <c r="C36" s="12">
        <v>2</v>
      </c>
      <c r="D36" s="8">
        <v>1.1200000000000001</v>
      </c>
      <c r="E36" s="12">
        <v>1</v>
      </c>
      <c r="F36" s="8">
        <v>0.85</v>
      </c>
      <c r="G36" s="12">
        <v>1</v>
      </c>
      <c r="H36" s="8">
        <v>1.79</v>
      </c>
      <c r="I36" s="12">
        <v>0</v>
      </c>
    </row>
    <row r="37" spans="2:9" ht="15" customHeight="1" x14ac:dyDescent="0.2">
      <c r="B37" t="s">
        <v>99</v>
      </c>
      <c r="C37" s="12">
        <v>2</v>
      </c>
      <c r="D37" s="8">
        <v>1.1200000000000001</v>
      </c>
      <c r="E37" s="12">
        <v>0</v>
      </c>
      <c r="F37" s="8">
        <v>0</v>
      </c>
      <c r="G37" s="12">
        <v>2</v>
      </c>
      <c r="H37" s="8">
        <v>3.57</v>
      </c>
      <c r="I37" s="12">
        <v>0</v>
      </c>
    </row>
    <row r="38" spans="2:9" ht="15" customHeight="1" x14ac:dyDescent="0.2">
      <c r="B38" t="s">
        <v>108</v>
      </c>
      <c r="C38" s="12">
        <v>2</v>
      </c>
      <c r="D38" s="8">
        <v>1.1200000000000001</v>
      </c>
      <c r="E38" s="12">
        <v>0</v>
      </c>
      <c r="F38" s="8">
        <v>0</v>
      </c>
      <c r="G38" s="12">
        <v>1</v>
      </c>
      <c r="H38" s="8">
        <v>1.79</v>
      </c>
      <c r="I38" s="12">
        <v>1</v>
      </c>
    </row>
    <row r="39" spans="2:9" ht="15" customHeight="1" x14ac:dyDescent="0.2">
      <c r="B39" t="s">
        <v>132</v>
      </c>
      <c r="C39" s="12">
        <v>1</v>
      </c>
      <c r="D39" s="8">
        <v>0.56000000000000005</v>
      </c>
      <c r="E39" s="12">
        <v>0</v>
      </c>
      <c r="F39" s="8">
        <v>0</v>
      </c>
      <c r="G39" s="12">
        <v>1</v>
      </c>
      <c r="H39" s="8">
        <v>1.79</v>
      </c>
      <c r="I39" s="12">
        <v>0</v>
      </c>
    </row>
    <row r="40" spans="2:9" ht="15" customHeight="1" x14ac:dyDescent="0.2">
      <c r="B40" t="s">
        <v>124</v>
      </c>
      <c r="C40" s="12">
        <v>1</v>
      </c>
      <c r="D40" s="8">
        <v>0.56000000000000005</v>
      </c>
      <c r="E40" s="12">
        <v>0</v>
      </c>
      <c r="F40" s="8">
        <v>0</v>
      </c>
      <c r="G40" s="12">
        <v>1</v>
      </c>
      <c r="H40" s="8">
        <v>1.79</v>
      </c>
      <c r="I40" s="12">
        <v>0</v>
      </c>
    </row>
    <row r="41" spans="2:9" ht="15" customHeight="1" x14ac:dyDescent="0.2">
      <c r="B41" t="s">
        <v>116</v>
      </c>
      <c r="C41" s="12">
        <v>1</v>
      </c>
      <c r="D41" s="8">
        <v>0.56000000000000005</v>
      </c>
      <c r="E41" s="12">
        <v>1</v>
      </c>
      <c r="F41" s="8">
        <v>0.85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143</v>
      </c>
      <c r="C42" s="12">
        <v>1</v>
      </c>
      <c r="D42" s="8">
        <v>0.56000000000000005</v>
      </c>
      <c r="E42" s="12">
        <v>0</v>
      </c>
      <c r="F42" s="8">
        <v>0</v>
      </c>
      <c r="G42" s="12">
        <v>1</v>
      </c>
      <c r="H42" s="8">
        <v>1.79</v>
      </c>
      <c r="I42" s="12">
        <v>0</v>
      </c>
    </row>
    <row r="43" spans="2:9" ht="15" customHeight="1" x14ac:dyDescent="0.2">
      <c r="B43" t="s">
        <v>112</v>
      </c>
      <c r="C43" s="12">
        <v>1</v>
      </c>
      <c r="D43" s="8">
        <v>0.56000000000000005</v>
      </c>
      <c r="E43" s="12">
        <v>1</v>
      </c>
      <c r="F43" s="8">
        <v>0.85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126</v>
      </c>
      <c r="C44" s="12">
        <v>1</v>
      </c>
      <c r="D44" s="8">
        <v>0.56000000000000005</v>
      </c>
      <c r="E44" s="12">
        <v>1</v>
      </c>
      <c r="F44" s="8">
        <v>0.85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134</v>
      </c>
      <c r="C45" s="12">
        <v>1</v>
      </c>
      <c r="D45" s="8">
        <v>0.56000000000000005</v>
      </c>
      <c r="E45" s="12">
        <v>0</v>
      </c>
      <c r="F45" s="8">
        <v>0</v>
      </c>
      <c r="G45" s="12">
        <v>1</v>
      </c>
      <c r="H45" s="8">
        <v>1.79</v>
      </c>
      <c r="I45" s="12">
        <v>0</v>
      </c>
    </row>
    <row r="46" spans="2:9" ht="15" customHeight="1" x14ac:dyDescent="0.2">
      <c r="B46" t="s">
        <v>136</v>
      </c>
      <c r="C46" s="12">
        <v>1</v>
      </c>
      <c r="D46" s="8">
        <v>0.56000000000000005</v>
      </c>
      <c r="E46" s="12">
        <v>0</v>
      </c>
      <c r="F46" s="8">
        <v>0</v>
      </c>
      <c r="G46" s="12">
        <v>1</v>
      </c>
      <c r="H46" s="8">
        <v>1.79</v>
      </c>
      <c r="I46" s="12">
        <v>0</v>
      </c>
    </row>
    <row r="47" spans="2:9" ht="15" customHeight="1" x14ac:dyDescent="0.2">
      <c r="B47" t="s">
        <v>141</v>
      </c>
      <c r="C47" s="12">
        <v>1</v>
      </c>
      <c r="D47" s="8">
        <v>0.56000000000000005</v>
      </c>
      <c r="E47" s="12">
        <v>0</v>
      </c>
      <c r="F47" s="8">
        <v>0</v>
      </c>
      <c r="G47" s="12">
        <v>0</v>
      </c>
      <c r="H47" s="8">
        <v>0</v>
      </c>
      <c r="I47" s="12">
        <v>1</v>
      </c>
    </row>
    <row r="48" spans="2:9" ht="15" customHeight="1" x14ac:dyDescent="0.2">
      <c r="B48" t="s">
        <v>90</v>
      </c>
      <c r="C48" s="12">
        <v>1</v>
      </c>
      <c r="D48" s="8">
        <v>0.56000000000000005</v>
      </c>
      <c r="E48" s="12">
        <v>0</v>
      </c>
      <c r="F48" s="8">
        <v>0</v>
      </c>
      <c r="G48" s="12">
        <v>1</v>
      </c>
      <c r="H48" s="8">
        <v>1.79</v>
      </c>
      <c r="I48" s="12">
        <v>0</v>
      </c>
    </row>
    <row r="49" spans="2:9" ht="15" customHeight="1" x14ac:dyDescent="0.2">
      <c r="B49" t="s">
        <v>139</v>
      </c>
      <c r="C49" s="12">
        <v>1</v>
      </c>
      <c r="D49" s="8">
        <v>0.56000000000000005</v>
      </c>
      <c r="E49" s="12">
        <v>1</v>
      </c>
      <c r="F49" s="8">
        <v>0.85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93</v>
      </c>
      <c r="C50" s="12">
        <v>1</v>
      </c>
      <c r="D50" s="8">
        <v>0.56000000000000005</v>
      </c>
      <c r="E50" s="12">
        <v>1</v>
      </c>
      <c r="F50" s="8">
        <v>0.85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98</v>
      </c>
      <c r="C51" s="12">
        <v>1</v>
      </c>
      <c r="D51" s="8">
        <v>0.56000000000000005</v>
      </c>
      <c r="E51" s="12">
        <v>0</v>
      </c>
      <c r="F51" s="8">
        <v>0</v>
      </c>
      <c r="G51" s="12">
        <v>1</v>
      </c>
      <c r="H51" s="8">
        <v>1.79</v>
      </c>
      <c r="I51" s="12">
        <v>0</v>
      </c>
    </row>
    <row r="52" spans="2:9" ht="15" customHeight="1" x14ac:dyDescent="0.2">
      <c r="B52" t="s">
        <v>100</v>
      </c>
      <c r="C52" s="12">
        <v>1</v>
      </c>
      <c r="D52" s="8">
        <v>0.56000000000000005</v>
      </c>
      <c r="E52" s="12">
        <v>1</v>
      </c>
      <c r="F52" s="8">
        <v>0.85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101</v>
      </c>
      <c r="C53" s="12">
        <v>1</v>
      </c>
      <c r="D53" s="8">
        <v>0.56000000000000005</v>
      </c>
      <c r="E53" s="12">
        <v>0</v>
      </c>
      <c r="F53" s="8">
        <v>0</v>
      </c>
      <c r="G53" s="12">
        <v>1</v>
      </c>
      <c r="H53" s="8">
        <v>1.79</v>
      </c>
      <c r="I53" s="12">
        <v>0</v>
      </c>
    </row>
    <row r="54" spans="2:9" ht="15" customHeight="1" x14ac:dyDescent="0.2">
      <c r="B54" t="s">
        <v>120</v>
      </c>
      <c r="C54" s="12">
        <v>1</v>
      </c>
      <c r="D54" s="8">
        <v>0.56000000000000005</v>
      </c>
      <c r="E54" s="12">
        <v>0</v>
      </c>
      <c r="F54" s="8">
        <v>0</v>
      </c>
      <c r="G54" s="12">
        <v>1</v>
      </c>
      <c r="H54" s="8">
        <v>1.79</v>
      </c>
      <c r="I54" s="12">
        <v>0</v>
      </c>
    </row>
    <row r="55" spans="2:9" ht="15" customHeight="1" x14ac:dyDescent="0.2">
      <c r="B55" t="s">
        <v>102</v>
      </c>
      <c r="C55" s="12">
        <v>1</v>
      </c>
      <c r="D55" s="8">
        <v>0.56000000000000005</v>
      </c>
      <c r="E55" s="12">
        <v>0</v>
      </c>
      <c r="F55" s="8">
        <v>0</v>
      </c>
      <c r="G55" s="12">
        <v>1</v>
      </c>
      <c r="H55" s="8">
        <v>1.79</v>
      </c>
      <c r="I55" s="12">
        <v>0</v>
      </c>
    </row>
    <row r="56" spans="2:9" ht="15" customHeight="1" x14ac:dyDescent="0.2">
      <c r="B56" t="s">
        <v>140</v>
      </c>
      <c r="C56" s="12">
        <v>1</v>
      </c>
      <c r="D56" s="8">
        <v>0.56000000000000005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9" spans="2:9" ht="33" customHeight="1" x14ac:dyDescent="0.2">
      <c r="B59" t="s">
        <v>339</v>
      </c>
      <c r="C59" s="10" t="s">
        <v>76</v>
      </c>
      <c r="D59" s="10" t="s">
        <v>77</v>
      </c>
      <c r="E59" s="10" t="s">
        <v>78</v>
      </c>
      <c r="F59" s="10" t="s">
        <v>79</v>
      </c>
      <c r="G59" s="10" t="s">
        <v>80</v>
      </c>
      <c r="H59" s="10" t="s">
        <v>81</v>
      </c>
      <c r="I59" s="10" t="s">
        <v>82</v>
      </c>
    </row>
    <row r="60" spans="2:9" ht="15" customHeight="1" x14ac:dyDescent="0.2">
      <c r="B60" t="s">
        <v>215</v>
      </c>
      <c r="C60" s="12">
        <v>82</v>
      </c>
      <c r="D60" s="8">
        <v>45.81</v>
      </c>
      <c r="E60" s="12">
        <v>66</v>
      </c>
      <c r="F60" s="8">
        <v>56.41</v>
      </c>
      <c r="G60" s="12">
        <v>16</v>
      </c>
      <c r="H60" s="8">
        <v>28.57</v>
      </c>
      <c r="I60" s="12">
        <v>0</v>
      </c>
    </row>
    <row r="61" spans="2:9" ht="15" customHeight="1" x14ac:dyDescent="0.2">
      <c r="B61" t="s">
        <v>181</v>
      </c>
      <c r="C61" s="12">
        <v>6</v>
      </c>
      <c r="D61" s="8">
        <v>3.35</v>
      </c>
      <c r="E61" s="12">
        <v>6</v>
      </c>
      <c r="F61" s="8">
        <v>5.13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233</v>
      </c>
      <c r="C62" s="12">
        <v>5</v>
      </c>
      <c r="D62" s="8">
        <v>2.79</v>
      </c>
      <c r="E62" s="12">
        <v>4</v>
      </c>
      <c r="F62" s="8">
        <v>3.42</v>
      </c>
      <c r="G62" s="12">
        <v>1</v>
      </c>
      <c r="H62" s="8">
        <v>1.79</v>
      </c>
      <c r="I62" s="12">
        <v>0</v>
      </c>
    </row>
    <row r="63" spans="2:9" ht="15" customHeight="1" x14ac:dyDescent="0.2">
      <c r="B63" t="s">
        <v>228</v>
      </c>
      <c r="C63" s="12">
        <v>5</v>
      </c>
      <c r="D63" s="8">
        <v>2.79</v>
      </c>
      <c r="E63" s="12">
        <v>2</v>
      </c>
      <c r="F63" s="8">
        <v>1.71</v>
      </c>
      <c r="G63" s="12">
        <v>3</v>
      </c>
      <c r="H63" s="8">
        <v>5.36</v>
      </c>
      <c r="I63" s="12">
        <v>0</v>
      </c>
    </row>
    <row r="64" spans="2:9" ht="15" customHeight="1" x14ac:dyDescent="0.2">
      <c r="B64" t="s">
        <v>160</v>
      </c>
      <c r="C64" s="12">
        <v>4</v>
      </c>
      <c r="D64" s="8">
        <v>2.23</v>
      </c>
      <c r="E64" s="12">
        <v>3</v>
      </c>
      <c r="F64" s="8">
        <v>2.56</v>
      </c>
      <c r="G64" s="12">
        <v>1</v>
      </c>
      <c r="H64" s="8">
        <v>1.79</v>
      </c>
      <c r="I64" s="12">
        <v>0</v>
      </c>
    </row>
    <row r="65" spans="2:9" ht="15" customHeight="1" x14ac:dyDescent="0.2">
      <c r="B65" t="s">
        <v>241</v>
      </c>
      <c r="C65" s="12">
        <v>4</v>
      </c>
      <c r="D65" s="8">
        <v>2.23</v>
      </c>
      <c r="E65" s="12">
        <v>2</v>
      </c>
      <c r="F65" s="8">
        <v>1.71</v>
      </c>
      <c r="G65" s="12">
        <v>2</v>
      </c>
      <c r="H65" s="8">
        <v>3.57</v>
      </c>
      <c r="I65" s="12">
        <v>0</v>
      </c>
    </row>
    <row r="66" spans="2:9" ht="15" customHeight="1" x14ac:dyDescent="0.2">
      <c r="B66" t="s">
        <v>163</v>
      </c>
      <c r="C66" s="12">
        <v>4</v>
      </c>
      <c r="D66" s="8">
        <v>2.23</v>
      </c>
      <c r="E66" s="12">
        <v>2</v>
      </c>
      <c r="F66" s="8">
        <v>1.71</v>
      </c>
      <c r="G66" s="12">
        <v>2</v>
      </c>
      <c r="H66" s="8">
        <v>3.57</v>
      </c>
      <c r="I66" s="12">
        <v>0</v>
      </c>
    </row>
    <row r="67" spans="2:9" ht="15" customHeight="1" x14ac:dyDescent="0.2">
      <c r="B67" t="s">
        <v>186</v>
      </c>
      <c r="C67" s="12">
        <v>4</v>
      </c>
      <c r="D67" s="8">
        <v>2.23</v>
      </c>
      <c r="E67" s="12">
        <v>0</v>
      </c>
      <c r="F67" s="8">
        <v>0</v>
      </c>
      <c r="G67" s="12">
        <v>2</v>
      </c>
      <c r="H67" s="8">
        <v>3.57</v>
      </c>
      <c r="I67" s="12">
        <v>0</v>
      </c>
    </row>
    <row r="68" spans="2:9" ht="15" customHeight="1" x14ac:dyDescent="0.2">
      <c r="B68" t="s">
        <v>174</v>
      </c>
      <c r="C68" s="12">
        <v>4</v>
      </c>
      <c r="D68" s="8">
        <v>2.23</v>
      </c>
      <c r="E68" s="12">
        <v>4</v>
      </c>
      <c r="F68" s="8">
        <v>3.42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191</v>
      </c>
      <c r="C69" s="12">
        <v>3</v>
      </c>
      <c r="D69" s="8">
        <v>1.68</v>
      </c>
      <c r="E69" s="12">
        <v>1</v>
      </c>
      <c r="F69" s="8">
        <v>0.85</v>
      </c>
      <c r="G69" s="12">
        <v>2</v>
      </c>
      <c r="H69" s="8">
        <v>3.57</v>
      </c>
      <c r="I69" s="12">
        <v>0</v>
      </c>
    </row>
    <row r="70" spans="2:9" ht="15" customHeight="1" x14ac:dyDescent="0.2">
      <c r="B70" t="s">
        <v>226</v>
      </c>
      <c r="C70" s="12">
        <v>3</v>
      </c>
      <c r="D70" s="8">
        <v>1.68</v>
      </c>
      <c r="E70" s="12">
        <v>1</v>
      </c>
      <c r="F70" s="8">
        <v>0.85</v>
      </c>
      <c r="G70" s="12">
        <v>2</v>
      </c>
      <c r="H70" s="8">
        <v>3.57</v>
      </c>
      <c r="I70" s="12">
        <v>0</v>
      </c>
    </row>
    <row r="71" spans="2:9" ht="15" customHeight="1" x14ac:dyDescent="0.2">
      <c r="B71" t="s">
        <v>168</v>
      </c>
      <c r="C71" s="12">
        <v>3</v>
      </c>
      <c r="D71" s="8">
        <v>1.68</v>
      </c>
      <c r="E71" s="12">
        <v>2</v>
      </c>
      <c r="F71" s="8">
        <v>1.71</v>
      </c>
      <c r="G71" s="12">
        <v>1</v>
      </c>
      <c r="H71" s="8">
        <v>1.79</v>
      </c>
      <c r="I71" s="12">
        <v>0</v>
      </c>
    </row>
    <row r="72" spans="2:9" ht="15" customHeight="1" x14ac:dyDescent="0.2">
      <c r="B72" t="s">
        <v>227</v>
      </c>
      <c r="C72" s="12">
        <v>3</v>
      </c>
      <c r="D72" s="8">
        <v>1.68</v>
      </c>
      <c r="E72" s="12">
        <v>2</v>
      </c>
      <c r="F72" s="8">
        <v>1.71</v>
      </c>
      <c r="G72" s="12">
        <v>1</v>
      </c>
      <c r="H72" s="8">
        <v>1.79</v>
      </c>
      <c r="I72" s="12">
        <v>0</v>
      </c>
    </row>
    <row r="73" spans="2:9" ht="15" customHeight="1" x14ac:dyDescent="0.2">
      <c r="B73" t="s">
        <v>159</v>
      </c>
      <c r="C73" s="12">
        <v>2</v>
      </c>
      <c r="D73" s="8">
        <v>1.1200000000000001</v>
      </c>
      <c r="E73" s="12">
        <v>0</v>
      </c>
      <c r="F73" s="8">
        <v>0</v>
      </c>
      <c r="G73" s="12">
        <v>2</v>
      </c>
      <c r="H73" s="8">
        <v>3.57</v>
      </c>
      <c r="I73" s="12">
        <v>0</v>
      </c>
    </row>
    <row r="74" spans="2:9" ht="15" customHeight="1" x14ac:dyDescent="0.2">
      <c r="B74" t="s">
        <v>198</v>
      </c>
      <c r="C74" s="12">
        <v>2</v>
      </c>
      <c r="D74" s="8">
        <v>1.1200000000000001</v>
      </c>
      <c r="E74" s="12">
        <v>1</v>
      </c>
      <c r="F74" s="8">
        <v>0.85</v>
      </c>
      <c r="G74" s="12">
        <v>1</v>
      </c>
      <c r="H74" s="8">
        <v>1.79</v>
      </c>
      <c r="I74" s="12">
        <v>0</v>
      </c>
    </row>
    <row r="75" spans="2:9" ht="15" customHeight="1" x14ac:dyDescent="0.2">
      <c r="B75" t="s">
        <v>194</v>
      </c>
      <c r="C75" s="12">
        <v>2</v>
      </c>
      <c r="D75" s="8">
        <v>1.1200000000000001</v>
      </c>
      <c r="E75" s="12">
        <v>2</v>
      </c>
      <c r="F75" s="8">
        <v>1.71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185</v>
      </c>
      <c r="C76" s="12">
        <v>2</v>
      </c>
      <c r="D76" s="8">
        <v>1.1200000000000001</v>
      </c>
      <c r="E76" s="12">
        <v>1</v>
      </c>
      <c r="F76" s="8">
        <v>0.85</v>
      </c>
      <c r="G76" s="12">
        <v>1</v>
      </c>
      <c r="H76" s="8">
        <v>1.79</v>
      </c>
      <c r="I76" s="12">
        <v>0</v>
      </c>
    </row>
    <row r="77" spans="2:9" ht="15" customHeight="1" x14ac:dyDescent="0.2">
      <c r="B77" t="s">
        <v>166</v>
      </c>
      <c r="C77" s="12">
        <v>2</v>
      </c>
      <c r="D77" s="8">
        <v>1.1200000000000001</v>
      </c>
      <c r="E77" s="12">
        <v>2</v>
      </c>
      <c r="F77" s="8">
        <v>1.71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232</v>
      </c>
      <c r="C78" s="12">
        <v>2</v>
      </c>
      <c r="D78" s="8">
        <v>1.1200000000000001</v>
      </c>
      <c r="E78" s="12">
        <v>2</v>
      </c>
      <c r="F78" s="8">
        <v>1.71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170</v>
      </c>
      <c r="C79" s="12">
        <v>2</v>
      </c>
      <c r="D79" s="8">
        <v>1.1200000000000001</v>
      </c>
      <c r="E79" s="12">
        <v>1</v>
      </c>
      <c r="F79" s="8">
        <v>0.85</v>
      </c>
      <c r="G79" s="12">
        <v>0</v>
      </c>
      <c r="H79" s="8">
        <v>0</v>
      </c>
      <c r="I79" s="12">
        <v>1</v>
      </c>
    </row>
    <row r="80" spans="2:9" ht="15" customHeight="1" x14ac:dyDescent="0.2">
      <c r="B80" t="s">
        <v>173</v>
      </c>
      <c r="C80" s="12">
        <v>2</v>
      </c>
      <c r="D80" s="8">
        <v>1.1200000000000001</v>
      </c>
      <c r="E80" s="12">
        <v>2</v>
      </c>
      <c r="F80" s="8">
        <v>1.71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211</v>
      </c>
      <c r="C81" s="12">
        <v>2</v>
      </c>
      <c r="D81" s="8">
        <v>1.1200000000000001</v>
      </c>
      <c r="E81" s="12">
        <v>0</v>
      </c>
      <c r="F81" s="8">
        <v>0</v>
      </c>
      <c r="G81" s="12">
        <v>1</v>
      </c>
      <c r="H81" s="8">
        <v>1.79</v>
      </c>
      <c r="I81" s="12">
        <v>1</v>
      </c>
    </row>
    <row r="83" spans="2:9" ht="15" customHeight="1" x14ac:dyDescent="0.2">
      <c r="B8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F077-F6A3-4AA2-88F7-6B3AB9A449ED}">
  <sheetPr>
    <pageSetUpPr fitToPage="1"/>
  </sheetPr>
  <dimension ref="A1:I147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156</v>
      </c>
      <c r="B1" s="3" t="s">
        <v>157</v>
      </c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97</v>
      </c>
      <c r="C3" s="4">
        <v>5414</v>
      </c>
      <c r="D3" s="8">
        <v>11.37</v>
      </c>
      <c r="E3" s="4">
        <v>4700</v>
      </c>
      <c r="F3" s="8">
        <v>19.32</v>
      </c>
      <c r="G3" s="4">
        <v>711</v>
      </c>
      <c r="H3" s="8">
        <v>3.12</v>
      </c>
      <c r="I3" s="4">
        <v>0</v>
      </c>
    </row>
    <row r="4" spans="1:9" x14ac:dyDescent="0.2">
      <c r="A4" s="2">
        <v>2</v>
      </c>
      <c r="B4" s="1" t="s">
        <v>96</v>
      </c>
      <c r="C4" s="4">
        <v>4394</v>
      </c>
      <c r="D4" s="8">
        <v>9.23</v>
      </c>
      <c r="E4" s="4">
        <v>3660</v>
      </c>
      <c r="F4" s="8">
        <v>15.05</v>
      </c>
      <c r="G4" s="4">
        <v>732</v>
      </c>
      <c r="H4" s="8">
        <v>3.21</v>
      </c>
      <c r="I4" s="4">
        <v>2</v>
      </c>
    </row>
    <row r="5" spans="1:9" x14ac:dyDescent="0.2">
      <c r="A5" s="2">
        <v>3</v>
      </c>
      <c r="B5" s="1" t="s">
        <v>91</v>
      </c>
      <c r="C5" s="4">
        <v>3545</v>
      </c>
      <c r="D5" s="8">
        <v>7.44</v>
      </c>
      <c r="E5" s="4">
        <v>1714</v>
      </c>
      <c r="F5" s="8">
        <v>7.05</v>
      </c>
      <c r="G5" s="4">
        <v>1819</v>
      </c>
      <c r="H5" s="8">
        <v>7.98</v>
      </c>
      <c r="I5" s="4">
        <v>11</v>
      </c>
    </row>
    <row r="6" spans="1:9" x14ac:dyDescent="0.2">
      <c r="A6" s="2">
        <v>4</v>
      </c>
      <c r="B6" s="1" t="s">
        <v>92</v>
      </c>
      <c r="C6" s="4">
        <v>3310</v>
      </c>
      <c r="D6" s="8">
        <v>6.95</v>
      </c>
      <c r="E6" s="4">
        <v>1798</v>
      </c>
      <c r="F6" s="8">
        <v>7.39</v>
      </c>
      <c r="G6" s="4">
        <v>1501</v>
      </c>
      <c r="H6" s="8">
        <v>6.59</v>
      </c>
      <c r="I6" s="4">
        <v>5</v>
      </c>
    </row>
    <row r="7" spans="1:9" x14ac:dyDescent="0.2">
      <c r="A7" s="2">
        <v>5</v>
      </c>
      <c r="B7" s="1" t="s">
        <v>83</v>
      </c>
      <c r="C7" s="4">
        <v>3250</v>
      </c>
      <c r="D7" s="8">
        <v>6.82</v>
      </c>
      <c r="E7" s="4">
        <v>940</v>
      </c>
      <c r="F7" s="8">
        <v>3.86</v>
      </c>
      <c r="G7" s="4">
        <v>2309</v>
      </c>
      <c r="H7" s="8">
        <v>10.130000000000001</v>
      </c>
      <c r="I7" s="4">
        <v>1</v>
      </c>
    </row>
    <row r="8" spans="1:9" x14ac:dyDescent="0.2">
      <c r="A8" s="2">
        <v>6</v>
      </c>
      <c r="B8" s="1" t="s">
        <v>84</v>
      </c>
      <c r="C8" s="4">
        <v>2603</v>
      </c>
      <c r="D8" s="8">
        <v>5.47</v>
      </c>
      <c r="E8" s="4">
        <v>1192</v>
      </c>
      <c r="F8" s="8">
        <v>4.9000000000000004</v>
      </c>
      <c r="G8" s="4">
        <v>1411</v>
      </c>
      <c r="H8" s="8">
        <v>6.19</v>
      </c>
      <c r="I8" s="4">
        <v>0</v>
      </c>
    </row>
    <row r="9" spans="1:9" x14ac:dyDescent="0.2">
      <c r="A9" s="2">
        <v>7</v>
      </c>
      <c r="B9" s="1" t="s">
        <v>89</v>
      </c>
      <c r="C9" s="4">
        <v>2445</v>
      </c>
      <c r="D9" s="8">
        <v>5.13</v>
      </c>
      <c r="E9" s="4">
        <v>1694</v>
      </c>
      <c r="F9" s="8">
        <v>6.96</v>
      </c>
      <c r="G9" s="4">
        <v>728</v>
      </c>
      <c r="H9" s="8">
        <v>3.2</v>
      </c>
      <c r="I9" s="4">
        <v>22</v>
      </c>
    </row>
    <row r="10" spans="1:9" x14ac:dyDescent="0.2">
      <c r="A10" s="2">
        <v>8</v>
      </c>
      <c r="B10" s="1" t="s">
        <v>85</v>
      </c>
      <c r="C10" s="4">
        <v>1810</v>
      </c>
      <c r="D10" s="8">
        <v>3.8</v>
      </c>
      <c r="E10" s="4">
        <v>400</v>
      </c>
      <c r="F10" s="8">
        <v>1.64</v>
      </c>
      <c r="G10" s="4">
        <v>1410</v>
      </c>
      <c r="H10" s="8">
        <v>6.19</v>
      </c>
      <c r="I10" s="4">
        <v>0</v>
      </c>
    </row>
    <row r="11" spans="1:9" x14ac:dyDescent="0.2">
      <c r="A11" s="2">
        <v>9</v>
      </c>
      <c r="B11" s="1" t="s">
        <v>99</v>
      </c>
      <c r="C11" s="4">
        <v>1525</v>
      </c>
      <c r="D11" s="8">
        <v>3.2</v>
      </c>
      <c r="E11" s="4">
        <v>971</v>
      </c>
      <c r="F11" s="8">
        <v>3.99</v>
      </c>
      <c r="G11" s="4">
        <v>381</v>
      </c>
      <c r="H11" s="8">
        <v>1.67</v>
      </c>
      <c r="I11" s="4">
        <v>9</v>
      </c>
    </row>
    <row r="12" spans="1:9" x14ac:dyDescent="0.2">
      <c r="A12" s="2">
        <v>10</v>
      </c>
      <c r="B12" s="1" t="s">
        <v>100</v>
      </c>
      <c r="C12" s="4">
        <v>1456</v>
      </c>
      <c r="D12" s="8">
        <v>3.06</v>
      </c>
      <c r="E12" s="4">
        <v>1251</v>
      </c>
      <c r="F12" s="8">
        <v>5.14</v>
      </c>
      <c r="G12" s="4">
        <v>203</v>
      </c>
      <c r="H12" s="8">
        <v>0.89</v>
      </c>
      <c r="I12" s="4">
        <v>0</v>
      </c>
    </row>
    <row r="13" spans="1:9" x14ac:dyDescent="0.2">
      <c r="A13" s="2">
        <v>11</v>
      </c>
      <c r="B13" s="1" t="s">
        <v>90</v>
      </c>
      <c r="C13" s="4">
        <v>1448</v>
      </c>
      <c r="D13" s="8">
        <v>3.04</v>
      </c>
      <c r="E13" s="4">
        <v>766</v>
      </c>
      <c r="F13" s="8">
        <v>3.15</v>
      </c>
      <c r="G13" s="4">
        <v>681</v>
      </c>
      <c r="H13" s="8">
        <v>2.99</v>
      </c>
      <c r="I13" s="4">
        <v>1</v>
      </c>
    </row>
    <row r="14" spans="1:9" x14ac:dyDescent="0.2">
      <c r="A14" s="2">
        <v>12</v>
      </c>
      <c r="B14" s="1" t="s">
        <v>88</v>
      </c>
      <c r="C14" s="4">
        <v>1145</v>
      </c>
      <c r="D14" s="8">
        <v>2.4</v>
      </c>
      <c r="E14" s="4">
        <v>577</v>
      </c>
      <c r="F14" s="8">
        <v>2.37</v>
      </c>
      <c r="G14" s="4">
        <v>567</v>
      </c>
      <c r="H14" s="8">
        <v>2.4900000000000002</v>
      </c>
      <c r="I14" s="4">
        <v>1</v>
      </c>
    </row>
    <row r="15" spans="1:9" x14ac:dyDescent="0.2">
      <c r="A15" s="2">
        <v>13</v>
      </c>
      <c r="B15" s="1" t="s">
        <v>94</v>
      </c>
      <c r="C15" s="4">
        <v>1064</v>
      </c>
      <c r="D15" s="8">
        <v>2.23</v>
      </c>
      <c r="E15" s="4">
        <v>361</v>
      </c>
      <c r="F15" s="8">
        <v>1.48</v>
      </c>
      <c r="G15" s="4">
        <v>694</v>
      </c>
      <c r="H15" s="8">
        <v>3.05</v>
      </c>
      <c r="I15" s="4">
        <v>3</v>
      </c>
    </row>
    <row r="16" spans="1:9" x14ac:dyDescent="0.2">
      <c r="A16" s="2">
        <v>14</v>
      </c>
      <c r="B16" s="1" t="s">
        <v>93</v>
      </c>
      <c r="C16" s="4">
        <v>1029</v>
      </c>
      <c r="D16" s="8">
        <v>2.16</v>
      </c>
      <c r="E16" s="4">
        <v>620</v>
      </c>
      <c r="F16" s="8">
        <v>2.5499999999999998</v>
      </c>
      <c r="G16" s="4">
        <v>409</v>
      </c>
      <c r="H16" s="8">
        <v>1.8</v>
      </c>
      <c r="I16" s="4">
        <v>0</v>
      </c>
    </row>
    <row r="17" spans="1:9" x14ac:dyDescent="0.2">
      <c r="A17" s="2">
        <v>15</v>
      </c>
      <c r="B17" s="1" t="s">
        <v>102</v>
      </c>
      <c r="C17" s="4">
        <v>771</v>
      </c>
      <c r="D17" s="8">
        <v>1.62</v>
      </c>
      <c r="E17" s="4">
        <v>508</v>
      </c>
      <c r="F17" s="8">
        <v>2.09</v>
      </c>
      <c r="G17" s="4">
        <v>263</v>
      </c>
      <c r="H17" s="8">
        <v>1.1499999999999999</v>
      </c>
      <c r="I17" s="4">
        <v>0</v>
      </c>
    </row>
    <row r="18" spans="1:9" x14ac:dyDescent="0.2">
      <c r="A18" s="2">
        <v>16</v>
      </c>
      <c r="B18" s="1" t="s">
        <v>101</v>
      </c>
      <c r="C18" s="4">
        <v>727</v>
      </c>
      <c r="D18" s="8">
        <v>1.53</v>
      </c>
      <c r="E18" s="4">
        <v>19</v>
      </c>
      <c r="F18" s="8">
        <v>0.08</v>
      </c>
      <c r="G18" s="4">
        <v>618</v>
      </c>
      <c r="H18" s="8">
        <v>2.71</v>
      </c>
      <c r="I18" s="4">
        <v>5</v>
      </c>
    </row>
    <row r="19" spans="1:9" x14ac:dyDescent="0.2">
      <c r="A19" s="2">
        <v>17</v>
      </c>
      <c r="B19" s="1" t="s">
        <v>95</v>
      </c>
      <c r="C19" s="4">
        <v>723</v>
      </c>
      <c r="D19" s="8">
        <v>1.52</v>
      </c>
      <c r="E19" s="4">
        <v>473</v>
      </c>
      <c r="F19" s="8">
        <v>1.94</v>
      </c>
      <c r="G19" s="4">
        <v>247</v>
      </c>
      <c r="H19" s="8">
        <v>1.08</v>
      </c>
      <c r="I19" s="4">
        <v>2</v>
      </c>
    </row>
    <row r="20" spans="1:9" x14ac:dyDescent="0.2">
      <c r="A20" s="2">
        <v>18</v>
      </c>
      <c r="B20" s="1" t="s">
        <v>86</v>
      </c>
      <c r="C20" s="4">
        <v>638</v>
      </c>
      <c r="D20" s="8">
        <v>1.34</v>
      </c>
      <c r="E20" s="4">
        <v>104</v>
      </c>
      <c r="F20" s="8">
        <v>0.43</v>
      </c>
      <c r="G20" s="4">
        <v>534</v>
      </c>
      <c r="H20" s="8">
        <v>2.34</v>
      </c>
      <c r="I20" s="4">
        <v>0</v>
      </c>
    </row>
    <row r="21" spans="1:9" x14ac:dyDescent="0.2">
      <c r="A21" s="2">
        <v>19</v>
      </c>
      <c r="B21" s="1" t="s">
        <v>87</v>
      </c>
      <c r="C21" s="4">
        <v>566</v>
      </c>
      <c r="D21" s="8">
        <v>1.19</v>
      </c>
      <c r="E21" s="4">
        <v>39</v>
      </c>
      <c r="F21" s="8">
        <v>0.16</v>
      </c>
      <c r="G21" s="4">
        <v>527</v>
      </c>
      <c r="H21" s="8">
        <v>2.31</v>
      </c>
      <c r="I21" s="4">
        <v>0</v>
      </c>
    </row>
    <row r="22" spans="1:9" x14ac:dyDescent="0.2">
      <c r="A22" s="2">
        <v>20</v>
      </c>
      <c r="B22" s="1" t="s">
        <v>98</v>
      </c>
      <c r="C22" s="4">
        <v>565</v>
      </c>
      <c r="D22" s="8">
        <v>1.19</v>
      </c>
      <c r="E22" s="4">
        <v>220</v>
      </c>
      <c r="F22" s="8">
        <v>0.9</v>
      </c>
      <c r="G22" s="4">
        <v>338</v>
      </c>
      <c r="H22" s="8">
        <v>1.48</v>
      </c>
      <c r="I22" s="4">
        <v>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92</v>
      </c>
      <c r="C25" s="4">
        <v>761</v>
      </c>
      <c r="D25" s="8">
        <v>11.56</v>
      </c>
      <c r="E25" s="4">
        <v>504</v>
      </c>
      <c r="F25" s="8">
        <v>16.350000000000001</v>
      </c>
      <c r="G25" s="4">
        <v>255</v>
      </c>
      <c r="H25" s="8">
        <v>7.35</v>
      </c>
      <c r="I25" s="4">
        <v>1</v>
      </c>
    </row>
    <row r="26" spans="1:9" x14ac:dyDescent="0.2">
      <c r="A26" s="2">
        <v>2</v>
      </c>
      <c r="B26" s="1" t="s">
        <v>97</v>
      </c>
      <c r="C26" s="4">
        <v>719</v>
      </c>
      <c r="D26" s="8">
        <v>10.93</v>
      </c>
      <c r="E26" s="4">
        <v>555</v>
      </c>
      <c r="F26" s="8">
        <v>18</v>
      </c>
      <c r="G26" s="4">
        <v>161</v>
      </c>
      <c r="H26" s="8">
        <v>4.6399999999999997</v>
      </c>
      <c r="I26" s="4">
        <v>0</v>
      </c>
    </row>
    <row r="27" spans="1:9" x14ac:dyDescent="0.2">
      <c r="A27" s="2">
        <v>3</v>
      </c>
      <c r="B27" s="1" t="s">
        <v>96</v>
      </c>
      <c r="C27" s="4">
        <v>623</v>
      </c>
      <c r="D27" s="8">
        <v>9.4700000000000006</v>
      </c>
      <c r="E27" s="4">
        <v>489</v>
      </c>
      <c r="F27" s="8">
        <v>15.86</v>
      </c>
      <c r="G27" s="4">
        <v>134</v>
      </c>
      <c r="H27" s="8">
        <v>3.86</v>
      </c>
      <c r="I27" s="4">
        <v>0</v>
      </c>
    </row>
    <row r="28" spans="1:9" x14ac:dyDescent="0.2">
      <c r="A28" s="2">
        <v>4</v>
      </c>
      <c r="B28" s="1" t="s">
        <v>91</v>
      </c>
      <c r="C28" s="4">
        <v>492</v>
      </c>
      <c r="D28" s="8">
        <v>7.48</v>
      </c>
      <c r="E28" s="4">
        <v>212</v>
      </c>
      <c r="F28" s="8">
        <v>6.88</v>
      </c>
      <c r="G28" s="4">
        <v>278</v>
      </c>
      <c r="H28" s="8">
        <v>8.01</v>
      </c>
      <c r="I28" s="4">
        <v>2</v>
      </c>
    </row>
    <row r="29" spans="1:9" x14ac:dyDescent="0.2">
      <c r="A29" s="2">
        <v>5</v>
      </c>
      <c r="B29" s="1" t="s">
        <v>83</v>
      </c>
      <c r="C29" s="4">
        <v>389</v>
      </c>
      <c r="D29" s="8">
        <v>5.91</v>
      </c>
      <c r="E29" s="4">
        <v>75</v>
      </c>
      <c r="F29" s="8">
        <v>2.4300000000000002</v>
      </c>
      <c r="G29" s="4">
        <v>314</v>
      </c>
      <c r="H29" s="8">
        <v>9.0500000000000007</v>
      </c>
      <c r="I29" s="4">
        <v>0</v>
      </c>
    </row>
    <row r="30" spans="1:9" x14ac:dyDescent="0.2">
      <c r="A30" s="2">
        <v>6</v>
      </c>
      <c r="B30" s="1" t="s">
        <v>89</v>
      </c>
      <c r="C30" s="4">
        <v>278</v>
      </c>
      <c r="D30" s="8">
        <v>4.22</v>
      </c>
      <c r="E30" s="4">
        <v>160</v>
      </c>
      <c r="F30" s="8">
        <v>5.19</v>
      </c>
      <c r="G30" s="4">
        <v>117</v>
      </c>
      <c r="H30" s="8">
        <v>3.37</v>
      </c>
      <c r="I30" s="4">
        <v>1</v>
      </c>
    </row>
    <row r="31" spans="1:9" x14ac:dyDescent="0.2">
      <c r="A31" s="2">
        <v>7</v>
      </c>
      <c r="B31" s="1" t="s">
        <v>84</v>
      </c>
      <c r="C31" s="4">
        <v>236</v>
      </c>
      <c r="D31" s="8">
        <v>3.59</v>
      </c>
      <c r="E31" s="4">
        <v>79</v>
      </c>
      <c r="F31" s="8">
        <v>2.56</v>
      </c>
      <c r="G31" s="4">
        <v>157</v>
      </c>
      <c r="H31" s="8">
        <v>4.5199999999999996</v>
      </c>
      <c r="I31" s="4">
        <v>0</v>
      </c>
    </row>
    <row r="32" spans="1:9" x14ac:dyDescent="0.2">
      <c r="A32" s="2">
        <v>8</v>
      </c>
      <c r="B32" s="1" t="s">
        <v>90</v>
      </c>
      <c r="C32" s="4">
        <v>214</v>
      </c>
      <c r="D32" s="8">
        <v>3.25</v>
      </c>
      <c r="E32" s="4">
        <v>92</v>
      </c>
      <c r="F32" s="8">
        <v>2.98</v>
      </c>
      <c r="G32" s="4">
        <v>122</v>
      </c>
      <c r="H32" s="8">
        <v>3.52</v>
      </c>
      <c r="I32" s="4">
        <v>0</v>
      </c>
    </row>
    <row r="33" spans="1:9" x14ac:dyDescent="0.2">
      <c r="A33" s="2">
        <v>9</v>
      </c>
      <c r="B33" s="1" t="s">
        <v>85</v>
      </c>
      <c r="C33" s="4">
        <v>209</v>
      </c>
      <c r="D33" s="8">
        <v>3.18</v>
      </c>
      <c r="E33" s="4">
        <v>28</v>
      </c>
      <c r="F33" s="8">
        <v>0.91</v>
      </c>
      <c r="G33" s="4">
        <v>181</v>
      </c>
      <c r="H33" s="8">
        <v>5.22</v>
      </c>
      <c r="I33" s="4">
        <v>0</v>
      </c>
    </row>
    <row r="34" spans="1:9" x14ac:dyDescent="0.2">
      <c r="A34" s="2">
        <v>10</v>
      </c>
      <c r="B34" s="1" t="s">
        <v>100</v>
      </c>
      <c r="C34" s="4">
        <v>208</v>
      </c>
      <c r="D34" s="8">
        <v>3.16</v>
      </c>
      <c r="E34" s="4">
        <v>186</v>
      </c>
      <c r="F34" s="8">
        <v>6.03</v>
      </c>
      <c r="G34" s="4">
        <v>22</v>
      </c>
      <c r="H34" s="8">
        <v>0.63</v>
      </c>
      <c r="I34" s="4">
        <v>0</v>
      </c>
    </row>
    <row r="35" spans="1:9" x14ac:dyDescent="0.2">
      <c r="A35" s="2">
        <v>11</v>
      </c>
      <c r="B35" s="1" t="s">
        <v>99</v>
      </c>
      <c r="C35" s="4">
        <v>194</v>
      </c>
      <c r="D35" s="8">
        <v>2.95</v>
      </c>
      <c r="E35" s="4">
        <v>121</v>
      </c>
      <c r="F35" s="8">
        <v>3.92</v>
      </c>
      <c r="G35" s="4">
        <v>70</v>
      </c>
      <c r="H35" s="8">
        <v>2.02</v>
      </c>
      <c r="I35" s="4">
        <v>0</v>
      </c>
    </row>
    <row r="36" spans="1:9" x14ac:dyDescent="0.2">
      <c r="A36" s="2">
        <v>12</v>
      </c>
      <c r="B36" s="1" t="s">
        <v>93</v>
      </c>
      <c r="C36" s="4">
        <v>189</v>
      </c>
      <c r="D36" s="8">
        <v>2.87</v>
      </c>
      <c r="E36" s="4">
        <v>113</v>
      </c>
      <c r="F36" s="8">
        <v>3.67</v>
      </c>
      <c r="G36" s="4">
        <v>76</v>
      </c>
      <c r="H36" s="8">
        <v>2.19</v>
      </c>
      <c r="I36" s="4">
        <v>0</v>
      </c>
    </row>
    <row r="37" spans="1:9" x14ac:dyDescent="0.2">
      <c r="A37" s="2">
        <v>13</v>
      </c>
      <c r="B37" s="1" t="s">
        <v>94</v>
      </c>
      <c r="C37" s="4">
        <v>185</v>
      </c>
      <c r="D37" s="8">
        <v>2.81</v>
      </c>
      <c r="E37" s="4">
        <v>54</v>
      </c>
      <c r="F37" s="8">
        <v>1.75</v>
      </c>
      <c r="G37" s="4">
        <v>131</v>
      </c>
      <c r="H37" s="8">
        <v>3.78</v>
      </c>
      <c r="I37" s="4">
        <v>0</v>
      </c>
    </row>
    <row r="38" spans="1:9" x14ac:dyDescent="0.2">
      <c r="A38" s="2">
        <v>14</v>
      </c>
      <c r="B38" s="1" t="s">
        <v>88</v>
      </c>
      <c r="C38" s="4">
        <v>171</v>
      </c>
      <c r="D38" s="8">
        <v>2.6</v>
      </c>
      <c r="E38" s="4">
        <v>75</v>
      </c>
      <c r="F38" s="8">
        <v>2.4300000000000002</v>
      </c>
      <c r="G38" s="4">
        <v>96</v>
      </c>
      <c r="H38" s="8">
        <v>2.77</v>
      </c>
      <c r="I38" s="4">
        <v>0</v>
      </c>
    </row>
    <row r="39" spans="1:9" x14ac:dyDescent="0.2">
      <c r="A39" s="2">
        <v>15</v>
      </c>
      <c r="B39" s="1" t="s">
        <v>101</v>
      </c>
      <c r="C39" s="4">
        <v>100</v>
      </c>
      <c r="D39" s="8">
        <v>1.52</v>
      </c>
      <c r="E39" s="4">
        <v>6</v>
      </c>
      <c r="F39" s="8">
        <v>0.19</v>
      </c>
      <c r="G39" s="4">
        <v>91</v>
      </c>
      <c r="H39" s="8">
        <v>2.62</v>
      </c>
      <c r="I39" s="4">
        <v>3</v>
      </c>
    </row>
    <row r="40" spans="1:9" x14ac:dyDescent="0.2">
      <c r="A40" s="2">
        <v>16</v>
      </c>
      <c r="B40" s="1" t="s">
        <v>102</v>
      </c>
      <c r="C40" s="4">
        <v>98</v>
      </c>
      <c r="D40" s="8">
        <v>1.49</v>
      </c>
      <c r="E40" s="4">
        <v>51</v>
      </c>
      <c r="F40" s="8">
        <v>1.65</v>
      </c>
      <c r="G40" s="4">
        <v>47</v>
      </c>
      <c r="H40" s="8">
        <v>1.35</v>
      </c>
      <c r="I40" s="4">
        <v>0</v>
      </c>
    </row>
    <row r="41" spans="1:9" x14ac:dyDescent="0.2">
      <c r="A41" s="2">
        <v>17</v>
      </c>
      <c r="B41" s="1" t="s">
        <v>98</v>
      </c>
      <c r="C41" s="4">
        <v>87</v>
      </c>
      <c r="D41" s="8">
        <v>1.32</v>
      </c>
      <c r="E41" s="4">
        <v>31</v>
      </c>
      <c r="F41" s="8">
        <v>1.01</v>
      </c>
      <c r="G41" s="4">
        <v>54</v>
      </c>
      <c r="H41" s="8">
        <v>1.56</v>
      </c>
      <c r="I41" s="4">
        <v>0</v>
      </c>
    </row>
    <row r="42" spans="1:9" x14ac:dyDescent="0.2">
      <c r="A42" s="2">
        <v>18</v>
      </c>
      <c r="B42" s="1" t="s">
        <v>103</v>
      </c>
      <c r="C42" s="4">
        <v>85</v>
      </c>
      <c r="D42" s="8">
        <v>1.29</v>
      </c>
      <c r="E42" s="4">
        <v>26</v>
      </c>
      <c r="F42" s="8">
        <v>0.84</v>
      </c>
      <c r="G42" s="4">
        <v>59</v>
      </c>
      <c r="H42" s="8">
        <v>1.7</v>
      </c>
      <c r="I42" s="4">
        <v>0</v>
      </c>
    </row>
    <row r="43" spans="1:9" x14ac:dyDescent="0.2">
      <c r="A43" s="2">
        <v>18</v>
      </c>
      <c r="B43" s="1" t="s">
        <v>104</v>
      </c>
      <c r="C43" s="4">
        <v>85</v>
      </c>
      <c r="D43" s="8">
        <v>1.29</v>
      </c>
      <c r="E43" s="4">
        <v>3</v>
      </c>
      <c r="F43" s="8">
        <v>0.1</v>
      </c>
      <c r="G43" s="4">
        <v>82</v>
      </c>
      <c r="H43" s="8">
        <v>2.36</v>
      </c>
      <c r="I43" s="4">
        <v>0</v>
      </c>
    </row>
    <row r="44" spans="1:9" x14ac:dyDescent="0.2">
      <c r="A44" s="2">
        <v>20</v>
      </c>
      <c r="B44" s="1" t="s">
        <v>87</v>
      </c>
      <c r="C44" s="4">
        <v>84</v>
      </c>
      <c r="D44" s="8">
        <v>1.28</v>
      </c>
      <c r="E44" s="4">
        <v>4</v>
      </c>
      <c r="F44" s="8">
        <v>0.13</v>
      </c>
      <c r="G44" s="4">
        <v>80</v>
      </c>
      <c r="H44" s="8">
        <v>2.31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96</v>
      </c>
      <c r="C47" s="4">
        <v>440</v>
      </c>
      <c r="D47" s="8">
        <v>12.2</v>
      </c>
      <c r="E47" s="4">
        <v>365</v>
      </c>
      <c r="F47" s="8">
        <v>19.47</v>
      </c>
      <c r="G47" s="4">
        <v>75</v>
      </c>
      <c r="H47" s="8">
        <v>4.41</v>
      </c>
      <c r="I47" s="4">
        <v>0</v>
      </c>
    </row>
    <row r="48" spans="1:9" x14ac:dyDescent="0.2">
      <c r="A48" s="2">
        <v>2</v>
      </c>
      <c r="B48" s="1" t="s">
        <v>97</v>
      </c>
      <c r="C48" s="4">
        <v>426</v>
      </c>
      <c r="D48" s="8">
        <v>11.81</v>
      </c>
      <c r="E48" s="4">
        <v>382</v>
      </c>
      <c r="F48" s="8">
        <v>20.37</v>
      </c>
      <c r="G48" s="4">
        <v>44</v>
      </c>
      <c r="H48" s="8">
        <v>2.59</v>
      </c>
      <c r="I48" s="4">
        <v>0</v>
      </c>
    </row>
    <row r="49" spans="1:9" x14ac:dyDescent="0.2">
      <c r="A49" s="2">
        <v>3</v>
      </c>
      <c r="B49" s="1" t="s">
        <v>91</v>
      </c>
      <c r="C49" s="4">
        <v>272</v>
      </c>
      <c r="D49" s="8">
        <v>7.54</v>
      </c>
      <c r="E49" s="4">
        <v>139</v>
      </c>
      <c r="F49" s="8">
        <v>7.41</v>
      </c>
      <c r="G49" s="4">
        <v>133</v>
      </c>
      <c r="H49" s="8">
        <v>7.82</v>
      </c>
      <c r="I49" s="4">
        <v>0</v>
      </c>
    </row>
    <row r="50" spans="1:9" x14ac:dyDescent="0.2">
      <c r="A50" s="2">
        <v>4</v>
      </c>
      <c r="B50" s="1" t="s">
        <v>92</v>
      </c>
      <c r="C50" s="4">
        <v>262</v>
      </c>
      <c r="D50" s="8">
        <v>7.27</v>
      </c>
      <c r="E50" s="4">
        <v>129</v>
      </c>
      <c r="F50" s="8">
        <v>6.88</v>
      </c>
      <c r="G50" s="4">
        <v>131</v>
      </c>
      <c r="H50" s="8">
        <v>7.7</v>
      </c>
      <c r="I50" s="4">
        <v>2</v>
      </c>
    </row>
    <row r="51" spans="1:9" x14ac:dyDescent="0.2">
      <c r="A51" s="2">
        <v>5</v>
      </c>
      <c r="B51" s="1" t="s">
        <v>83</v>
      </c>
      <c r="C51" s="4">
        <v>209</v>
      </c>
      <c r="D51" s="8">
        <v>5.8</v>
      </c>
      <c r="E51" s="4">
        <v>59</v>
      </c>
      <c r="F51" s="8">
        <v>3.15</v>
      </c>
      <c r="G51" s="4">
        <v>150</v>
      </c>
      <c r="H51" s="8">
        <v>8.82</v>
      </c>
      <c r="I51" s="4">
        <v>0</v>
      </c>
    </row>
    <row r="52" spans="1:9" x14ac:dyDescent="0.2">
      <c r="A52" s="2">
        <v>6</v>
      </c>
      <c r="B52" s="1" t="s">
        <v>84</v>
      </c>
      <c r="C52" s="4">
        <v>143</v>
      </c>
      <c r="D52" s="8">
        <v>3.97</v>
      </c>
      <c r="E52" s="4">
        <v>61</v>
      </c>
      <c r="F52" s="8">
        <v>3.25</v>
      </c>
      <c r="G52" s="4">
        <v>82</v>
      </c>
      <c r="H52" s="8">
        <v>4.82</v>
      </c>
      <c r="I52" s="4">
        <v>0</v>
      </c>
    </row>
    <row r="53" spans="1:9" x14ac:dyDescent="0.2">
      <c r="A53" s="2">
        <v>7</v>
      </c>
      <c r="B53" s="1" t="s">
        <v>85</v>
      </c>
      <c r="C53" s="4">
        <v>129</v>
      </c>
      <c r="D53" s="8">
        <v>3.58</v>
      </c>
      <c r="E53" s="4">
        <v>29</v>
      </c>
      <c r="F53" s="8">
        <v>1.55</v>
      </c>
      <c r="G53" s="4">
        <v>100</v>
      </c>
      <c r="H53" s="8">
        <v>5.88</v>
      </c>
      <c r="I53" s="4">
        <v>0</v>
      </c>
    </row>
    <row r="54" spans="1:9" x14ac:dyDescent="0.2">
      <c r="A54" s="2">
        <v>8</v>
      </c>
      <c r="B54" s="1" t="s">
        <v>89</v>
      </c>
      <c r="C54" s="4">
        <v>127</v>
      </c>
      <c r="D54" s="8">
        <v>3.52</v>
      </c>
      <c r="E54" s="4">
        <v>79</v>
      </c>
      <c r="F54" s="8">
        <v>4.21</v>
      </c>
      <c r="G54" s="4">
        <v>46</v>
      </c>
      <c r="H54" s="8">
        <v>2.7</v>
      </c>
      <c r="I54" s="4">
        <v>2</v>
      </c>
    </row>
    <row r="55" spans="1:9" x14ac:dyDescent="0.2">
      <c r="A55" s="2">
        <v>9</v>
      </c>
      <c r="B55" s="1" t="s">
        <v>90</v>
      </c>
      <c r="C55" s="4">
        <v>111</v>
      </c>
      <c r="D55" s="8">
        <v>3.08</v>
      </c>
      <c r="E55" s="4">
        <v>59</v>
      </c>
      <c r="F55" s="8">
        <v>3.15</v>
      </c>
      <c r="G55" s="4">
        <v>52</v>
      </c>
      <c r="H55" s="8">
        <v>3.06</v>
      </c>
      <c r="I55" s="4">
        <v>0</v>
      </c>
    </row>
    <row r="56" spans="1:9" x14ac:dyDescent="0.2">
      <c r="A56" s="2">
        <v>10</v>
      </c>
      <c r="B56" s="1" t="s">
        <v>99</v>
      </c>
      <c r="C56" s="4">
        <v>110</v>
      </c>
      <c r="D56" s="8">
        <v>3.05</v>
      </c>
      <c r="E56" s="4">
        <v>74</v>
      </c>
      <c r="F56" s="8">
        <v>3.95</v>
      </c>
      <c r="G56" s="4">
        <v>30</v>
      </c>
      <c r="H56" s="8">
        <v>1.76</v>
      </c>
      <c r="I56" s="4">
        <v>0</v>
      </c>
    </row>
    <row r="57" spans="1:9" x14ac:dyDescent="0.2">
      <c r="A57" s="2">
        <v>11</v>
      </c>
      <c r="B57" s="1" t="s">
        <v>93</v>
      </c>
      <c r="C57" s="4">
        <v>104</v>
      </c>
      <c r="D57" s="8">
        <v>2.88</v>
      </c>
      <c r="E57" s="4">
        <v>65</v>
      </c>
      <c r="F57" s="8">
        <v>3.47</v>
      </c>
      <c r="G57" s="4">
        <v>39</v>
      </c>
      <c r="H57" s="8">
        <v>2.29</v>
      </c>
      <c r="I57" s="4">
        <v>0</v>
      </c>
    </row>
    <row r="58" spans="1:9" x14ac:dyDescent="0.2">
      <c r="A58" s="2">
        <v>12</v>
      </c>
      <c r="B58" s="1" t="s">
        <v>105</v>
      </c>
      <c r="C58" s="4">
        <v>100</v>
      </c>
      <c r="D58" s="8">
        <v>2.77</v>
      </c>
      <c r="E58" s="4">
        <v>68</v>
      </c>
      <c r="F58" s="8">
        <v>3.63</v>
      </c>
      <c r="G58" s="4">
        <v>32</v>
      </c>
      <c r="H58" s="8">
        <v>1.88</v>
      </c>
      <c r="I58" s="4">
        <v>0</v>
      </c>
    </row>
    <row r="59" spans="1:9" x14ac:dyDescent="0.2">
      <c r="A59" s="2">
        <v>13</v>
      </c>
      <c r="B59" s="1" t="s">
        <v>88</v>
      </c>
      <c r="C59" s="4">
        <v>97</v>
      </c>
      <c r="D59" s="8">
        <v>2.69</v>
      </c>
      <c r="E59" s="4">
        <v>44</v>
      </c>
      <c r="F59" s="8">
        <v>2.35</v>
      </c>
      <c r="G59" s="4">
        <v>53</v>
      </c>
      <c r="H59" s="8">
        <v>3.12</v>
      </c>
      <c r="I59" s="4">
        <v>0</v>
      </c>
    </row>
    <row r="60" spans="1:9" x14ac:dyDescent="0.2">
      <c r="A60" s="2">
        <v>14</v>
      </c>
      <c r="B60" s="1" t="s">
        <v>100</v>
      </c>
      <c r="C60" s="4">
        <v>90</v>
      </c>
      <c r="D60" s="8">
        <v>2.5</v>
      </c>
      <c r="E60" s="4">
        <v>79</v>
      </c>
      <c r="F60" s="8">
        <v>4.21</v>
      </c>
      <c r="G60" s="4">
        <v>11</v>
      </c>
      <c r="H60" s="8">
        <v>0.65</v>
      </c>
      <c r="I60" s="4">
        <v>0</v>
      </c>
    </row>
    <row r="61" spans="1:9" x14ac:dyDescent="0.2">
      <c r="A61" s="2">
        <v>15</v>
      </c>
      <c r="B61" s="1" t="s">
        <v>107</v>
      </c>
      <c r="C61" s="4">
        <v>73</v>
      </c>
      <c r="D61" s="8">
        <v>2.02</v>
      </c>
      <c r="E61" s="4">
        <v>14</v>
      </c>
      <c r="F61" s="8">
        <v>0.75</v>
      </c>
      <c r="G61" s="4">
        <v>59</v>
      </c>
      <c r="H61" s="8">
        <v>3.47</v>
      </c>
      <c r="I61" s="4">
        <v>0</v>
      </c>
    </row>
    <row r="62" spans="1:9" x14ac:dyDescent="0.2">
      <c r="A62" s="2">
        <v>16</v>
      </c>
      <c r="B62" s="1" t="s">
        <v>94</v>
      </c>
      <c r="C62" s="4">
        <v>68</v>
      </c>
      <c r="D62" s="8">
        <v>1.89</v>
      </c>
      <c r="E62" s="4">
        <v>21</v>
      </c>
      <c r="F62" s="8">
        <v>1.1200000000000001</v>
      </c>
      <c r="G62" s="4">
        <v>47</v>
      </c>
      <c r="H62" s="8">
        <v>2.76</v>
      </c>
      <c r="I62" s="4">
        <v>0</v>
      </c>
    </row>
    <row r="63" spans="1:9" x14ac:dyDescent="0.2">
      <c r="A63" s="2">
        <v>17</v>
      </c>
      <c r="B63" s="1" t="s">
        <v>101</v>
      </c>
      <c r="C63" s="4">
        <v>50</v>
      </c>
      <c r="D63" s="8">
        <v>1.39</v>
      </c>
      <c r="E63" s="4">
        <v>3</v>
      </c>
      <c r="F63" s="8">
        <v>0.16</v>
      </c>
      <c r="G63" s="4">
        <v>44</v>
      </c>
      <c r="H63" s="8">
        <v>2.59</v>
      </c>
      <c r="I63" s="4">
        <v>1</v>
      </c>
    </row>
    <row r="64" spans="1:9" x14ac:dyDescent="0.2">
      <c r="A64" s="2">
        <v>18</v>
      </c>
      <c r="B64" s="1" t="s">
        <v>104</v>
      </c>
      <c r="C64" s="4">
        <v>49</v>
      </c>
      <c r="D64" s="8">
        <v>1.36</v>
      </c>
      <c r="E64" s="4">
        <v>4</v>
      </c>
      <c r="F64" s="8">
        <v>0.21</v>
      </c>
      <c r="G64" s="4">
        <v>45</v>
      </c>
      <c r="H64" s="8">
        <v>2.65</v>
      </c>
      <c r="I64" s="4">
        <v>0</v>
      </c>
    </row>
    <row r="65" spans="1:9" x14ac:dyDescent="0.2">
      <c r="A65" s="2">
        <v>19</v>
      </c>
      <c r="B65" s="1" t="s">
        <v>106</v>
      </c>
      <c r="C65" s="4">
        <v>44</v>
      </c>
      <c r="D65" s="8">
        <v>1.22</v>
      </c>
      <c r="E65" s="4">
        <v>9</v>
      </c>
      <c r="F65" s="8">
        <v>0.48</v>
      </c>
      <c r="G65" s="4">
        <v>35</v>
      </c>
      <c r="H65" s="8">
        <v>2.06</v>
      </c>
      <c r="I65" s="4">
        <v>0</v>
      </c>
    </row>
    <row r="66" spans="1:9" x14ac:dyDescent="0.2">
      <c r="A66" s="2">
        <v>19</v>
      </c>
      <c r="B66" s="1" t="s">
        <v>87</v>
      </c>
      <c r="C66" s="4">
        <v>44</v>
      </c>
      <c r="D66" s="8">
        <v>1.22</v>
      </c>
      <c r="E66" s="4">
        <v>3</v>
      </c>
      <c r="F66" s="8">
        <v>0.16</v>
      </c>
      <c r="G66" s="4">
        <v>41</v>
      </c>
      <c r="H66" s="8">
        <v>2.41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97</v>
      </c>
      <c r="C69" s="4">
        <v>879</v>
      </c>
      <c r="D69" s="8">
        <v>10.61</v>
      </c>
      <c r="E69" s="4">
        <v>717</v>
      </c>
      <c r="F69" s="8">
        <v>21.52</v>
      </c>
      <c r="G69" s="4">
        <v>162</v>
      </c>
      <c r="H69" s="8">
        <v>3.31</v>
      </c>
      <c r="I69" s="4">
        <v>0</v>
      </c>
    </row>
    <row r="70" spans="1:9" x14ac:dyDescent="0.2">
      <c r="A70" s="2">
        <v>2</v>
      </c>
      <c r="B70" s="1" t="s">
        <v>92</v>
      </c>
      <c r="C70" s="4">
        <v>821</v>
      </c>
      <c r="D70" s="8">
        <v>9.91</v>
      </c>
      <c r="E70" s="4">
        <v>354</v>
      </c>
      <c r="F70" s="8">
        <v>10.62</v>
      </c>
      <c r="G70" s="4">
        <v>464</v>
      </c>
      <c r="H70" s="8">
        <v>9.48</v>
      </c>
      <c r="I70" s="4">
        <v>1</v>
      </c>
    </row>
    <row r="71" spans="1:9" x14ac:dyDescent="0.2">
      <c r="A71" s="2">
        <v>3</v>
      </c>
      <c r="B71" s="1" t="s">
        <v>96</v>
      </c>
      <c r="C71" s="4">
        <v>639</v>
      </c>
      <c r="D71" s="8">
        <v>7.72</v>
      </c>
      <c r="E71" s="4">
        <v>506</v>
      </c>
      <c r="F71" s="8">
        <v>15.19</v>
      </c>
      <c r="G71" s="4">
        <v>133</v>
      </c>
      <c r="H71" s="8">
        <v>2.72</v>
      </c>
      <c r="I71" s="4">
        <v>0</v>
      </c>
    </row>
    <row r="72" spans="1:9" x14ac:dyDescent="0.2">
      <c r="A72" s="2">
        <v>4</v>
      </c>
      <c r="B72" s="1" t="s">
        <v>83</v>
      </c>
      <c r="C72" s="4">
        <v>493</v>
      </c>
      <c r="D72" s="8">
        <v>5.95</v>
      </c>
      <c r="E72" s="4">
        <v>62</v>
      </c>
      <c r="F72" s="8">
        <v>1.86</v>
      </c>
      <c r="G72" s="4">
        <v>431</v>
      </c>
      <c r="H72" s="8">
        <v>8.81</v>
      </c>
      <c r="I72" s="4">
        <v>0</v>
      </c>
    </row>
    <row r="73" spans="1:9" x14ac:dyDescent="0.2">
      <c r="A73" s="2">
        <v>5</v>
      </c>
      <c r="B73" s="1" t="s">
        <v>84</v>
      </c>
      <c r="C73" s="4">
        <v>477</v>
      </c>
      <c r="D73" s="8">
        <v>5.76</v>
      </c>
      <c r="E73" s="4">
        <v>124</v>
      </c>
      <c r="F73" s="8">
        <v>3.72</v>
      </c>
      <c r="G73" s="4">
        <v>353</v>
      </c>
      <c r="H73" s="8">
        <v>7.21</v>
      </c>
      <c r="I73" s="4">
        <v>0</v>
      </c>
    </row>
    <row r="74" spans="1:9" x14ac:dyDescent="0.2">
      <c r="A74" s="2">
        <v>5</v>
      </c>
      <c r="B74" s="1" t="s">
        <v>91</v>
      </c>
      <c r="C74" s="4">
        <v>477</v>
      </c>
      <c r="D74" s="8">
        <v>5.76</v>
      </c>
      <c r="E74" s="4">
        <v>198</v>
      </c>
      <c r="F74" s="8">
        <v>5.94</v>
      </c>
      <c r="G74" s="4">
        <v>277</v>
      </c>
      <c r="H74" s="8">
        <v>5.66</v>
      </c>
      <c r="I74" s="4">
        <v>2</v>
      </c>
    </row>
    <row r="75" spans="1:9" x14ac:dyDescent="0.2">
      <c r="A75" s="2">
        <v>7</v>
      </c>
      <c r="B75" s="1" t="s">
        <v>85</v>
      </c>
      <c r="C75" s="4">
        <v>358</v>
      </c>
      <c r="D75" s="8">
        <v>4.32</v>
      </c>
      <c r="E75" s="4">
        <v>39</v>
      </c>
      <c r="F75" s="8">
        <v>1.17</v>
      </c>
      <c r="G75" s="4">
        <v>319</v>
      </c>
      <c r="H75" s="8">
        <v>6.52</v>
      </c>
      <c r="I75" s="4">
        <v>0</v>
      </c>
    </row>
    <row r="76" spans="1:9" x14ac:dyDescent="0.2">
      <c r="A76" s="2">
        <v>8</v>
      </c>
      <c r="B76" s="1" t="s">
        <v>100</v>
      </c>
      <c r="C76" s="4">
        <v>302</v>
      </c>
      <c r="D76" s="8">
        <v>3.65</v>
      </c>
      <c r="E76" s="4">
        <v>240</v>
      </c>
      <c r="F76" s="8">
        <v>7.2</v>
      </c>
      <c r="G76" s="4">
        <v>62</v>
      </c>
      <c r="H76" s="8">
        <v>1.27</v>
      </c>
      <c r="I76" s="4">
        <v>0</v>
      </c>
    </row>
    <row r="77" spans="1:9" x14ac:dyDescent="0.2">
      <c r="A77" s="2">
        <v>9</v>
      </c>
      <c r="B77" s="1" t="s">
        <v>99</v>
      </c>
      <c r="C77" s="4">
        <v>296</v>
      </c>
      <c r="D77" s="8">
        <v>3.57</v>
      </c>
      <c r="E77" s="4">
        <v>182</v>
      </c>
      <c r="F77" s="8">
        <v>5.46</v>
      </c>
      <c r="G77" s="4">
        <v>79</v>
      </c>
      <c r="H77" s="8">
        <v>1.61</v>
      </c>
      <c r="I77" s="4">
        <v>3</v>
      </c>
    </row>
    <row r="78" spans="1:9" x14ac:dyDescent="0.2">
      <c r="A78" s="2">
        <v>10</v>
      </c>
      <c r="B78" s="1" t="s">
        <v>89</v>
      </c>
      <c r="C78" s="4">
        <v>289</v>
      </c>
      <c r="D78" s="8">
        <v>3.49</v>
      </c>
      <c r="E78" s="4">
        <v>158</v>
      </c>
      <c r="F78" s="8">
        <v>4.74</v>
      </c>
      <c r="G78" s="4">
        <v>127</v>
      </c>
      <c r="H78" s="8">
        <v>2.6</v>
      </c>
      <c r="I78" s="4">
        <v>4</v>
      </c>
    </row>
    <row r="79" spans="1:9" x14ac:dyDescent="0.2">
      <c r="A79" s="2">
        <v>11</v>
      </c>
      <c r="B79" s="1" t="s">
        <v>93</v>
      </c>
      <c r="C79" s="4">
        <v>258</v>
      </c>
      <c r="D79" s="8">
        <v>3.12</v>
      </c>
      <c r="E79" s="4">
        <v>133</v>
      </c>
      <c r="F79" s="8">
        <v>3.99</v>
      </c>
      <c r="G79" s="4">
        <v>125</v>
      </c>
      <c r="H79" s="8">
        <v>2.5499999999999998</v>
      </c>
      <c r="I79" s="4">
        <v>0</v>
      </c>
    </row>
    <row r="80" spans="1:9" x14ac:dyDescent="0.2">
      <c r="A80" s="2">
        <v>12</v>
      </c>
      <c r="B80" s="1" t="s">
        <v>94</v>
      </c>
      <c r="C80" s="4">
        <v>234</v>
      </c>
      <c r="D80" s="8">
        <v>2.83</v>
      </c>
      <c r="E80" s="4">
        <v>53</v>
      </c>
      <c r="F80" s="8">
        <v>1.59</v>
      </c>
      <c r="G80" s="4">
        <v>180</v>
      </c>
      <c r="H80" s="8">
        <v>3.68</v>
      </c>
      <c r="I80" s="4">
        <v>0</v>
      </c>
    </row>
    <row r="81" spans="1:9" x14ac:dyDescent="0.2">
      <c r="A81" s="2">
        <v>13</v>
      </c>
      <c r="B81" s="1" t="s">
        <v>87</v>
      </c>
      <c r="C81" s="4">
        <v>210</v>
      </c>
      <c r="D81" s="8">
        <v>2.54</v>
      </c>
      <c r="E81" s="4">
        <v>3</v>
      </c>
      <c r="F81" s="8">
        <v>0.09</v>
      </c>
      <c r="G81" s="4">
        <v>207</v>
      </c>
      <c r="H81" s="8">
        <v>4.2300000000000004</v>
      </c>
      <c r="I81" s="4">
        <v>0</v>
      </c>
    </row>
    <row r="82" spans="1:9" x14ac:dyDescent="0.2">
      <c r="A82" s="2">
        <v>14</v>
      </c>
      <c r="B82" s="1" t="s">
        <v>88</v>
      </c>
      <c r="C82" s="4">
        <v>202</v>
      </c>
      <c r="D82" s="8">
        <v>2.44</v>
      </c>
      <c r="E82" s="4">
        <v>68</v>
      </c>
      <c r="F82" s="8">
        <v>2.04</v>
      </c>
      <c r="G82" s="4">
        <v>134</v>
      </c>
      <c r="H82" s="8">
        <v>2.74</v>
      </c>
      <c r="I82" s="4">
        <v>0</v>
      </c>
    </row>
    <row r="83" spans="1:9" x14ac:dyDescent="0.2">
      <c r="A83" s="2">
        <v>15</v>
      </c>
      <c r="B83" s="1" t="s">
        <v>104</v>
      </c>
      <c r="C83" s="4">
        <v>201</v>
      </c>
      <c r="D83" s="8">
        <v>2.4300000000000002</v>
      </c>
      <c r="E83" s="4">
        <v>24</v>
      </c>
      <c r="F83" s="8">
        <v>0.72</v>
      </c>
      <c r="G83" s="4">
        <v>177</v>
      </c>
      <c r="H83" s="8">
        <v>3.62</v>
      </c>
      <c r="I83" s="4">
        <v>0</v>
      </c>
    </row>
    <row r="84" spans="1:9" x14ac:dyDescent="0.2">
      <c r="A84" s="2">
        <v>16</v>
      </c>
      <c r="B84" s="1" t="s">
        <v>90</v>
      </c>
      <c r="C84" s="4">
        <v>192</v>
      </c>
      <c r="D84" s="8">
        <v>2.3199999999999998</v>
      </c>
      <c r="E84" s="4">
        <v>89</v>
      </c>
      <c r="F84" s="8">
        <v>2.67</v>
      </c>
      <c r="G84" s="4">
        <v>103</v>
      </c>
      <c r="H84" s="8">
        <v>2.11</v>
      </c>
      <c r="I84" s="4">
        <v>0</v>
      </c>
    </row>
    <row r="85" spans="1:9" x14ac:dyDescent="0.2">
      <c r="A85" s="2">
        <v>17</v>
      </c>
      <c r="B85" s="1" t="s">
        <v>86</v>
      </c>
      <c r="C85" s="4">
        <v>148</v>
      </c>
      <c r="D85" s="8">
        <v>1.79</v>
      </c>
      <c r="E85" s="4">
        <v>9</v>
      </c>
      <c r="F85" s="8">
        <v>0.27</v>
      </c>
      <c r="G85" s="4">
        <v>139</v>
      </c>
      <c r="H85" s="8">
        <v>2.84</v>
      </c>
      <c r="I85" s="4">
        <v>0</v>
      </c>
    </row>
    <row r="86" spans="1:9" x14ac:dyDescent="0.2">
      <c r="A86" s="2">
        <v>18</v>
      </c>
      <c r="B86" s="1" t="s">
        <v>107</v>
      </c>
      <c r="C86" s="4">
        <v>116</v>
      </c>
      <c r="D86" s="8">
        <v>1.4</v>
      </c>
      <c r="E86" s="4">
        <v>9</v>
      </c>
      <c r="F86" s="8">
        <v>0.27</v>
      </c>
      <c r="G86" s="4">
        <v>107</v>
      </c>
      <c r="H86" s="8">
        <v>2.19</v>
      </c>
      <c r="I86" s="4">
        <v>0</v>
      </c>
    </row>
    <row r="87" spans="1:9" x14ac:dyDescent="0.2">
      <c r="A87" s="2">
        <v>19</v>
      </c>
      <c r="B87" s="1" t="s">
        <v>108</v>
      </c>
      <c r="C87" s="4">
        <v>113</v>
      </c>
      <c r="D87" s="8">
        <v>1.36</v>
      </c>
      <c r="E87" s="4">
        <v>5</v>
      </c>
      <c r="F87" s="8">
        <v>0.15</v>
      </c>
      <c r="G87" s="4">
        <v>104</v>
      </c>
      <c r="H87" s="8">
        <v>2.13</v>
      </c>
      <c r="I87" s="4">
        <v>4</v>
      </c>
    </row>
    <row r="88" spans="1:9" x14ac:dyDescent="0.2">
      <c r="A88" s="2">
        <v>20</v>
      </c>
      <c r="B88" s="1" t="s">
        <v>101</v>
      </c>
      <c r="C88" s="4">
        <v>107</v>
      </c>
      <c r="D88" s="8">
        <v>1.29</v>
      </c>
      <c r="E88" s="4">
        <v>3</v>
      </c>
      <c r="F88" s="8">
        <v>0.09</v>
      </c>
      <c r="G88" s="4">
        <v>103</v>
      </c>
      <c r="H88" s="8">
        <v>2.11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97</v>
      </c>
      <c r="C91" s="4">
        <v>976</v>
      </c>
      <c r="D91" s="8">
        <v>12.6</v>
      </c>
      <c r="E91" s="4">
        <v>841</v>
      </c>
      <c r="F91" s="8">
        <v>24.96</v>
      </c>
      <c r="G91" s="4">
        <v>135</v>
      </c>
      <c r="H91" s="8">
        <v>3.12</v>
      </c>
      <c r="I91" s="4">
        <v>0</v>
      </c>
    </row>
    <row r="92" spans="1:9" x14ac:dyDescent="0.2">
      <c r="A92" s="2">
        <v>2</v>
      </c>
      <c r="B92" s="1" t="s">
        <v>96</v>
      </c>
      <c r="C92" s="4">
        <v>787</v>
      </c>
      <c r="D92" s="8">
        <v>10.16</v>
      </c>
      <c r="E92" s="4">
        <v>636</v>
      </c>
      <c r="F92" s="8">
        <v>18.87</v>
      </c>
      <c r="G92" s="4">
        <v>151</v>
      </c>
      <c r="H92" s="8">
        <v>3.49</v>
      </c>
      <c r="I92" s="4">
        <v>0</v>
      </c>
    </row>
    <row r="93" spans="1:9" x14ac:dyDescent="0.2">
      <c r="A93" s="2">
        <v>3</v>
      </c>
      <c r="B93" s="1" t="s">
        <v>91</v>
      </c>
      <c r="C93" s="4">
        <v>541</v>
      </c>
      <c r="D93" s="8">
        <v>6.98</v>
      </c>
      <c r="E93" s="4">
        <v>209</v>
      </c>
      <c r="F93" s="8">
        <v>6.2</v>
      </c>
      <c r="G93" s="4">
        <v>331</v>
      </c>
      <c r="H93" s="8">
        <v>7.65</v>
      </c>
      <c r="I93" s="4">
        <v>1</v>
      </c>
    </row>
    <row r="94" spans="1:9" x14ac:dyDescent="0.2">
      <c r="A94" s="2">
        <v>4</v>
      </c>
      <c r="B94" s="1" t="s">
        <v>83</v>
      </c>
      <c r="C94" s="4">
        <v>495</v>
      </c>
      <c r="D94" s="8">
        <v>6.39</v>
      </c>
      <c r="E94" s="4">
        <v>69</v>
      </c>
      <c r="F94" s="8">
        <v>2.0499999999999998</v>
      </c>
      <c r="G94" s="4">
        <v>426</v>
      </c>
      <c r="H94" s="8">
        <v>9.84</v>
      </c>
      <c r="I94" s="4">
        <v>0</v>
      </c>
    </row>
    <row r="95" spans="1:9" x14ac:dyDescent="0.2">
      <c r="A95" s="2">
        <v>5</v>
      </c>
      <c r="B95" s="1" t="s">
        <v>89</v>
      </c>
      <c r="C95" s="4">
        <v>381</v>
      </c>
      <c r="D95" s="8">
        <v>4.92</v>
      </c>
      <c r="E95" s="4">
        <v>244</v>
      </c>
      <c r="F95" s="8">
        <v>7.24</v>
      </c>
      <c r="G95" s="4">
        <v>135</v>
      </c>
      <c r="H95" s="8">
        <v>3.12</v>
      </c>
      <c r="I95" s="4">
        <v>2</v>
      </c>
    </row>
    <row r="96" spans="1:9" x14ac:dyDescent="0.2">
      <c r="A96" s="2">
        <v>6</v>
      </c>
      <c r="B96" s="1" t="s">
        <v>84</v>
      </c>
      <c r="C96" s="4">
        <v>371</v>
      </c>
      <c r="D96" s="8">
        <v>4.79</v>
      </c>
      <c r="E96" s="4">
        <v>106</v>
      </c>
      <c r="F96" s="8">
        <v>3.15</v>
      </c>
      <c r="G96" s="4">
        <v>265</v>
      </c>
      <c r="H96" s="8">
        <v>6.12</v>
      </c>
      <c r="I96" s="4">
        <v>0</v>
      </c>
    </row>
    <row r="97" spans="1:9" x14ac:dyDescent="0.2">
      <c r="A97" s="2">
        <v>7</v>
      </c>
      <c r="B97" s="1" t="s">
        <v>85</v>
      </c>
      <c r="C97" s="4">
        <v>354</v>
      </c>
      <c r="D97" s="8">
        <v>4.57</v>
      </c>
      <c r="E97" s="4">
        <v>31</v>
      </c>
      <c r="F97" s="8">
        <v>0.92</v>
      </c>
      <c r="G97" s="4">
        <v>323</v>
      </c>
      <c r="H97" s="8">
        <v>7.46</v>
      </c>
      <c r="I97" s="4">
        <v>0</v>
      </c>
    </row>
    <row r="98" spans="1:9" x14ac:dyDescent="0.2">
      <c r="A98" s="2">
        <v>8</v>
      </c>
      <c r="B98" s="1" t="s">
        <v>92</v>
      </c>
      <c r="C98" s="4">
        <v>314</v>
      </c>
      <c r="D98" s="8">
        <v>4.05</v>
      </c>
      <c r="E98" s="4">
        <v>34</v>
      </c>
      <c r="F98" s="8">
        <v>1.01</v>
      </c>
      <c r="G98" s="4">
        <v>280</v>
      </c>
      <c r="H98" s="8">
        <v>6.47</v>
      </c>
      <c r="I98" s="4">
        <v>0</v>
      </c>
    </row>
    <row r="99" spans="1:9" x14ac:dyDescent="0.2">
      <c r="A99" s="2">
        <v>9</v>
      </c>
      <c r="B99" s="1" t="s">
        <v>99</v>
      </c>
      <c r="C99" s="4">
        <v>295</v>
      </c>
      <c r="D99" s="8">
        <v>3.81</v>
      </c>
      <c r="E99" s="4">
        <v>182</v>
      </c>
      <c r="F99" s="8">
        <v>5.4</v>
      </c>
      <c r="G99" s="4">
        <v>80</v>
      </c>
      <c r="H99" s="8">
        <v>1.85</v>
      </c>
      <c r="I99" s="4">
        <v>0</v>
      </c>
    </row>
    <row r="100" spans="1:9" x14ac:dyDescent="0.2">
      <c r="A100" s="2">
        <v>10</v>
      </c>
      <c r="B100" s="1" t="s">
        <v>100</v>
      </c>
      <c r="C100" s="4">
        <v>285</v>
      </c>
      <c r="D100" s="8">
        <v>3.68</v>
      </c>
      <c r="E100" s="4">
        <v>230</v>
      </c>
      <c r="F100" s="8">
        <v>6.82</v>
      </c>
      <c r="G100" s="4">
        <v>55</v>
      </c>
      <c r="H100" s="8">
        <v>1.27</v>
      </c>
      <c r="I100" s="4">
        <v>0</v>
      </c>
    </row>
    <row r="101" spans="1:9" x14ac:dyDescent="0.2">
      <c r="A101" s="2">
        <v>11</v>
      </c>
      <c r="B101" s="1" t="s">
        <v>90</v>
      </c>
      <c r="C101" s="4">
        <v>266</v>
      </c>
      <c r="D101" s="8">
        <v>3.43</v>
      </c>
      <c r="E101" s="4">
        <v>113</v>
      </c>
      <c r="F101" s="8">
        <v>3.35</v>
      </c>
      <c r="G101" s="4">
        <v>153</v>
      </c>
      <c r="H101" s="8">
        <v>3.54</v>
      </c>
      <c r="I101" s="4">
        <v>0</v>
      </c>
    </row>
    <row r="102" spans="1:9" x14ac:dyDescent="0.2">
      <c r="A102" s="2">
        <v>12</v>
      </c>
      <c r="B102" s="1" t="s">
        <v>88</v>
      </c>
      <c r="C102" s="4">
        <v>221</v>
      </c>
      <c r="D102" s="8">
        <v>2.85</v>
      </c>
      <c r="E102" s="4">
        <v>97</v>
      </c>
      <c r="F102" s="8">
        <v>2.88</v>
      </c>
      <c r="G102" s="4">
        <v>124</v>
      </c>
      <c r="H102" s="8">
        <v>2.87</v>
      </c>
      <c r="I102" s="4">
        <v>0</v>
      </c>
    </row>
    <row r="103" spans="1:9" x14ac:dyDescent="0.2">
      <c r="A103" s="2">
        <v>13</v>
      </c>
      <c r="B103" s="1" t="s">
        <v>94</v>
      </c>
      <c r="C103" s="4">
        <v>185</v>
      </c>
      <c r="D103" s="8">
        <v>2.39</v>
      </c>
      <c r="E103" s="4">
        <v>61</v>
      </c>
      <c r="F103" s="8">
        <v>1.81</v>
      </c>
      <c r="G103" s="4">
        <v>124</v>
      </c>
      <c r="H103" s="8">
        <v>2.87</v>
      </c>
      <c r="I103" s="4">
        <v>0</v>
      </c>
    </row>
    <row r="104" spans="1:9" x14ac:dyDescent="0.2">
      <c r="A104" s="2">
        <v>14</v>
      </c>
      <c r="B104" s="1" t="s">
        <v>93</v>
      </c>
      <c r="C104" s="4">
        <v>175</v>
      </c>
      <c r="D104" s="8">
        <v>2.2599999999999998</v>
      </c>
      <c r="E104" s="4">
        <v>90</v>
      </c>
      <c r="F104" s="8">
        <v>2.67</v>
      </c>
      <c r="G104" s="4">
        <v>85</v>
      </c>
      <c r="H104" s="8">
        <v>1.96</v>
      </c>
      <c r="I104" s="4">
        <v>0</v>
      </c>
    </row>
    <row r="105" spans="1:9" x14ac:dyDescent="0.2">
      <c r="A105" s="2">
        <v>15</v>
      </c>
      <c r="B105" s="1" t="s">
        <v>102</v>
      </c>
      <c r="C105" s="4">
        <v>132</v>
      </c>
      <c r="D105" s="8">
        <v>1.7</v>
      </c>
      <c r="E105" s="4">
        <v>78</v>
      </c>
      <c r="F105" s="8">
        <v>2.31</v>
      </c>
      <c r="G105" s="4">
        <v>54</v>
      </c>
      <c r="H105" s="8">
        <v>1.25</v>
      </c>
      <c r="I105" s="4">
        <v>0</v>
      </c>
    </row>
    <row r="106" spans="1:9" x14ac:dyDescent="0.2">
      <c r="A106" s="2">
        <v>16</v>
      </c>
      <c r="B106" s="1" t="s">
        <v>101</v>
      </c>
      <c r="C106" s="4">
        <v>131</v>
      </c>
      <c r="D106" s="8">
        <v>1.69</v>
      </c>
      <c r="E106" s="4">
        <v>4</v>
      </c>
      <c r="F106" s="8">
        <v>0.12</v>
      </c>
      <c r="G106" s="4">
        <v>126</v>
      </c>
      <c r="H106" s="8">
        <v>2.91</v>
      </c>
      <c r="I106" s="4">
        <v>1</v>
      </c>
    </row>
    <row r="107" spans="1:9" x14ac:dyDescent="0.2">
      <c r="A107" s="2">
        <v>17</v>
      </c>
      <c r="B107" s="1" t="s">
        <v>86</v>
      </c>
      <c r="C107" s="4">
        <v>116</v>
      </c>
      <c r="D107" s="8">
        <v>1.5</v>
      </c>
      <c r="E107" s="4">
        <v>12</v>
      </c>
      <c r="F107" s="8">
        <v>0.36</v>
      </c>
      <c r="G107" s="4">
        <v>104</v>
      </c>
      <c r="H107" s="8">
        <v>2.4</v>
      </c>
      <c r="I107" s="4">
        <v>0</v>
      </c>
    </row>
    <row r="108" spans="1:9" x14ac:dyDescent="0.2">
      <c r="A108" s="2">
        <v>18</v>
      </c>
      <c r="B108" s="1" t="s">
        <v>98</v>
      </c>
      <c r="C108" s="4">
        <v>107</v>
      </c>
      <c r="D108" s="8">
        <v>1.38</v>
      </c>
      <c r="E108" s="4">
        <v>36</v>
      </c>
      <c r="F108" s="8">
        <v>1.07</v>
      </c>
      <c r="G108" s="4">
        <v>71</v>
      </c>
      <c r="H108" s="8">
        <v>1.64</v>
      </c>
      <c r="I108" s="4">
        <v>0</v>
      </c>
    </row>
    <row r="109" spans="1:9" x14ac:dyDescent="0.2">
      <c r="A109" s="2">
        <v>19</v>
      </c>
      <c r="B109" s="1" t="s">
        <v>109</v>
      </c>
      <c r="C109" s="4">
        <v>92</v>
      </c>
      <c r="D109" s="8">
        <v>1.19</v>
      </c>
      <c r="E109" s="4">
        <v>12</v>
      </c>
      <c r="F109" s="8">
        <v>0.36</v>
      </c>
      <c r="G109" s="4">
        <v>80</v>
      </c>
      <c r="H109" s="8">
        <v>1.85</v>
      </c>
      <c r="I109" s="4">
        <v>0</v>
      </c>
    </row>
    <row r="110" spans="1:9" x14ac:dyDescent="0.2">
      <c r="A110" s="2">
        <v>20</v>
      </c>
      <c r="B110" s="1" t="s">
        <v>104</v>
      </c>
      <c r="C110" s="4">
        <v>88</v>
      </c>
      <c r="D110" s="8">
        <v>1.1399999999999999</v>
      </c>
      <c r="E110" s="4">
        <v>7</v>
      </c>
      <c r="F110" s="8">
        <v>0.21</v>
      </c>
      <c r="G110" s="4">
        <v>81</v>
      </c>
      <c r="H110" s="8">
        <v>1.87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97</v>
      </c>
      <c r="C113" s="4">
        <v>189</v>
      </c>
      <c r="D113" s="8">
        <v>11.96</v>
      </c>
      <c r="E113" s="4">
        <v>166</v>
      </c>
      <c r="F113" s="8">
        <v>18.649999999999999</v>
      </c>
      <c r="G113" s="4">
        <v>23</v>
      </c>
      <c r="H113" s="8">
        <v>3.48</v>
      </c>
      <c r="I113" s="4">
        <v>0</v>
      </c>
    </row>
    <row r="114" spans="1:9" x14ac:dyDescent="0.2">
      <c r="A114" s="2">
        <v>2</v>
      </c>
      <c r="B114" s="1" t="s">
        <v>96</v>
      </c>
      <c r="C114" s="4">
        <v>183</v>
      </c>
      <c r="D114" s="8">
        <v>11.58</v>
      </c>
      <c r="E114" s="4">
        <v>157</v>
      </c>
      <c r="F114" s="8">
        <v>17.64</v>
      </c>
      <c r="G114" s="4">
        <v>26</v>
      </c>
      <c r="H114" s="8">
        <v>3.93</v>
      </c>
      <c r="I114" s="4">
        <v>0</v>
      </c>
    </row>
    <row r="115" spans="1:9" x14ac:dyDescent="0.2">
      <c r="A115" s="2">
        <v>3</v>
      </c>
      <c r="B115" s="1" t="s">
        <v>91</v>
      </c>
      <c r="C115" s="4">
        <v>145</v>
      </c>
      <c r="D115" s="8">
        <v>9.18</v>
      </c>
      <c r="E115" s="4">
        <v>81</v>
      </c>
      <c r="F115" s="8">
        <v>9.1</v>
      </c>
      <c r="G115" s="4">
        <v>63</v>
      </c>
      <c r="H115" s="8">
        <v>9.5299999999999994</v>
      </c>
      <c r="I115" s="4">
        <v>1</v>
      </c>
    </row>
    <row r="116" spans="1:9" x14ac:dyDescent="0.2">
      <c r="A116" s="2">
        <v>4</v>
      </c>
      <c r="B116" s="1" t="s">
        <v>92</v>
      </c>
      <c r="C116" s="4">
        <v>98</v>
      </c>
      <c r="D116" s="8">
        <v>6.2</v>
      </c>
      <c r="E116" s="4">
        <v>39</v>
      </c>
      <c r="F116" s="8">
        <v>4.38</v>
      </c>
      <c r="G116" s="4">
        <v>59</v>
      </c>
      <c r="H116" s="8">
        <v>8.93</v>
      </c>
      <c r="I116" s="4">
        <v>0</v>
      </c>
    </row>
    <row r="117" spans="1:9" x14ac:dyDescent="0.2">
      <c r="A117" s="2">
        <v>5</v>
      </c>
      <c r="B117" s="1" t="s">
        <v>83</v>
      </c>
      <c r="C117" s="4">
        <v>89</v>
      </c>
      <c r="D117" s="8">
        <v>5.63</v>
      </c>
      <c r="E117" s="4">
        <v>25</v>
      </c>
      <c r="F117" s="8">
        <v>2.81</v>
      </c>
      <c r="G117" s="4">
        <v>64</v>
      </c>
      <c r="H117" s="8">
        <v>9.68</v>
      </c>
      <c r="I117" s="4">
        <v>0</v>
      </c>
    </row>
    <row r="118" spans="1:9" x14ac:dyDescent="0.2">
      <c r="A118" s="2">
        <v>6</v>
      </c>
      <c r="B118" s="1" t="s">
        <v>89</v>
      </c>
      <c r="C118" s="4">
        <v>80</v>
      </c>
      <c r="D118" s="8">
        <v>5.0599999999999996</v>
      </c>
      <c r="E118" s="4">
        <v>58</v>
      </c>
      <c r="F118" s="8">
        <v>6.52</v>
      </c>
      <c r="G118" s="4">
        <v>19</v>
      </c>
      <c r="H118" s="8">
        <v>2.87</v>
      </c>
      <c r="I118" s="4">
        <v>3</v>
      </c>
    </row>
    <row r="119" spans="1:9" x14ac:dyDescent="0.2">
      <c r="A119" s="2">
        <v>7</v>
      </c>
      <c r="B119" s="1" t="s">
        <v>99</v>
      </c>
      <c r="C119" s="4">
        <v>71</v>
      </c>
      <c r="D119" s="8">
        <v>4.49</v>
      </c>
      <c r="E119" s="4">
        <v>49</v>
      </c>
      <c r="F119" s="8">
        <v>5.51</v>
      </c>
      <c r="G119" s="4">
        <v>16</v>
      </c>
      <c r="H119" s="8">
        <v>2.42</v>
      </c>
      <c r="I119" s="4">
        <v>0</v>
      </c>
    </row>
    <row r="120" spans="1:9" x14ac:dyDescent="0.2">
      <c r="A120" s="2">
        <v>8</v>
      </c>
      <c r="B120" s="1" t="s">
        <v>100</v>
      </c>
      <c r="C120" s="4">
        <v>55</v>
      </c>
      <c r="D120" s="8">
        <v>3.48</v>
      </c>
      <c r="E120" s="4">
        <v>52</v>
      </c>
      <c r="F120" s="8">
        <v>5.84</v>
      </c>
      <c r="G120" s="4">
        <v>3</v>
      </c>
      <c r="H120" s="8">
        <v>0.45</v>
      </c>
      <c r="I120" s="4">
        <v>0</v>
      </c>
    </row>
    <row r="121" spans="1:9" x14ac:dyDescent="0.2">
      <c r="A121" s="2">
        <v>9</v>
      </c>
      <c r="B121" s="1" t="s">
        <v>84</v>
      </c>
      <c r="C121" s="4">
        <v>50</v>
      </c>
      <c r="D121" s="8">
        <v>3.16</v>
      </c>
      <c r="E121" s="4">
        <v>26</v>
      </c>
      <c r="F121" s="8">
        <v>2.92</v>
      </c>
      <c r="G121" s="4">
        <v>24</v>
      </c>
      <c r="H121" s="8">
        <v>3.63</v>
      </c>
      <c r="I121" s="4">
        <v>0</v>
      </c>
    </row>
    <row r="122" spans="1:9" x14ac:dyDescent="0.2">
      <c r="A122" s="2">
        <v>10</v>
      </c>
      <c r="B122" s="1" t="s">
        <v>85</v>
      </c>
      <c r="C122" s="4">
        <v>47</v>
      </c>
      <c r="D122" s="8">
        <v>2.97</v>
      </c>
      <c r="E122" s="4">
        <v>14</v>
      </c>
      <c r="F122" s="8">
        <v>1.57</v>
      </c>
      <c r="G122" s="4">
        <v>33</v>
      </c>
      <c r="H122" s="8">
        <v>4.99</v>
      </c>
      <c r="I122" s="4">
        <v>0</v>
      </c>
    </row>
    <row r="123" spans="1:9" x14ac:dyDescent="0.2">
      <c r="A123" s="2">
        <v>11</v>
      </c>
      <c r="B123" s="1" t="s">
        <v>90</v>
      </c>
      <c r="C123" s="4">
        <v>43</v>
      </c>
      <c r="D123" s="8">
        <v>2.72</v>
      </c>
      <c r="E123" s="4">
        <v>18</v>
      </c>
      <c r="F123" s="8">
        <v>2.02</v>
      </c>
      <c r="G123" s="4">
        <v>25</v>
      </c>
      <c r="H123" s="8">
        <v>3.78</v>
      </c>
      <c r="I123" s="4">
        <v>0</v>
      </c>
    </row>
    <row r="124" spans="1:9" x14ac:dyDescent="0.2">
      <c r="A124" s="2">
        <v>12</v>
      </c>
      <c r="B124" s="1" t="s">
        <v>93</v>
      </c>
      <c r="C124" s="4">
        <v>36</v>
      </c>
      <c r="D124" s="8">
        <v>2.2799999999999998</v>
      </c>
      <c r="E124" s="4">
        <v>29</v>
      </c>
      <c r="F124" s="8">
        <v>3.26</v>
      </c>
      <c r="G124" s="4">
        <v>7</v>
      </c>
      <c r="H124" s="8">
        <v>1.06</v>
      </c>
      <c r="I124" s="4">
        <v>0</v>
      </c>
    </row>
    <row r="125" spans="1:9" x14ac:dyDescent="0.2">
      <c r="A125" s="2">
        <v>12</v>
      </c>
      <c r="B125" s="1" t="s">
        <v>94</v>
      </c>
      <c r="C125" s="4">
        <v>36</v>
      </c>
      <c r="D125" s="8">
        <v>2.2799999999999998</v>
      </c>
      <c r="E125" s="4">
        <v>17</v>
      </c>
      <c r="F125" s="8">
        <v>1.91</v>
      </c>
      <c r="G125" s="4">
        <v>19</v>
      </c>
      <c r="H125" s="8">
        <v>2.87</v>
      </c>
      <c r="I125" s="4">
        <v>0</v>
      </c>
    </row>
    <row r="126" spans="1:9" x14ac:dyDescent="0.2">
      <c r="A126" s="2">
        <v>14</v>
      </c>
      <c r="B126" s="1" t="s">
        <v>88</v>
      </c>
      <c r="C126" s="4">
        <v>33</v>
      </c>
      <c r="D126" s="8">
        <v>2.09</v>
      </c>
      <c r="E126" s="4">
        <v>26</v>
      </c>
      <c r="F126" s="8">
        <v>2.92</v>
      </c>
      <c r="G126" s="4">
        <v>7</v>
      </c>
      <c r="H126" s="8">
        <v>1.06</v>
      </c>
      <c r="I126" s="4">
        <v>0</v>
      </c>
    </row>
    <row r="127" spans="1:9" x14ac:dyDescent="0.2">
      <c r="A127" s="2">
        <v>15</v>
      </c>
      <c r="B127" s="1" t="s">
        <v>113</v>
      </c>
      <c r="C127" s="4">
        <v>28</v>
      </c>
      <c r="D127" s="8">
        <v>1.77</v>
      </c>
      <c r="E127" s="4">
        <v>1</v>
      </c>
      <c r="F127" s="8">
        <v>0.11</v>
      </c>
      <c r="G127" s="4">
        <v>27</v>
      </c>
      <c r="H127" s="8">
        <v>4.08</v>
      </c>
      <c r="I127" s="4">
        <v>0</v>
      </c>
    </row>
    <row r="128" spans="1:9" x14ac:dyDescent="0.2">
      <c r="A128" s="2">
        <v>16</v>
      </c>
      <c r="B128" s="1" t="s">
        <v>111</v>
      </c>
      <c r="C128" s="4">
        <v>25</v>
      </c>
      <c r="D128" s="8">
        <v>1.58</v>
      </c>
      <c r="E128" s="4">
        <v>14</v>
      </c>
      <c r="F128" s="8">
        <v>1.57</v>
      </c>
      <c r="G128" s="4">
        <v>11</v>
      </c>
      <c r="H128" s="8">
        <v>1.66</v>
      </c>
      <c r="I128" s="4">
        <v>0</v>
      </c>
    </row>
    <row r="129" spans="1:9" x14ac:dyDescent="0.2">
      <c r="A129" s="2">
        <v>17</v>
      </c>
      <c r="B129" s="1" t="s">
        <v>107</v>
      </c>
      <c r="C129" s="4">
        <v>23</v>
      </c>
      <c r="D129" s="8">
        <v>1.46</v>
      </c>
      <c r="E129" s="4">
        <v>5</v>
      </c>
      <c r="F129" s="8">
        <v>0.56000000000000005</v>
      </c>
      <c r="G129" s="4">
        <v>18</v>
      </c>
      <c r="H129" s="8">
        <v>2.72</v>
      </c>
      <c r="I129" s="4">
        <v>0</v>
      </c>
    </row>
    <row r="130" spans="1:9" x14ac:dyDescent="0.2">
      <c r="A130" s="2">
        <v>17</v>
      </c>
      <c r="B130" s="1" t="s">
        <v>101</v>
      </c>
      <c r="C130" s="4">
        <v>23</v>
      </c>
      <c r="D130" s="8">
        <v>1.46</v>
      </c>
      <c r="E130" s="4">
        <v>2</v>
      </c>
      <c r="F130" s="8">
        <v>0.22</v>
      </c>
      <c r="G130" s="4">
        <v>11</v>
      </c>
      <c r="H130" s="8">
        <v>1.66</v>
      </c>
      <c r="I130" s="4">
        <v>0</v>
      </c>
    </row>
    <row r="131" spans="1:9" x14ac:dyDescent="0.2">
      <c r="A131" s="2">
        <v>19</v>
      </c>
      <c r="B131" s="1" t="s">
        <v>110</v>
      </c>
      <c r="C131" s="4">
        <v>19</v>
      </c>
      <c r="D131" s="8">
        <v>1.2</v>
      </c>
      <c r="E131" s="4">
        <v>9</v>
      </c>
      <c r="F131" s="8">
        <v>1.01</v>
      </c>
      <c r="G131" s="4">
        <v>10</v>
      </c>
      <c r="H131" s="8">
        <v>1.51</v>
      </c>
      <c r="I131" s="4">
        <v>0</v>
      </c>
    </row>
    <row r="132" spans="1:9" x14ac:dyDescent="0.2">
      <c r="A132" s="2">
        <v>19</v>
      </c>
      <c r="B132" s="1" t="s">
        <v>112</v>
      </c>
      <c r="C132" s="4">
        <v>19</v>
      </c>
      <c r="D132" s="8">
        <v>1.2</v>
      </c>
      <c r="E132" s="4">
        <v>7</v>
      </c>
      <c r="F132" s="8">
        <v>0.79</v>
      </c>
      <c r="G132" s="4">
        <v>12</v>
      </c>
      <c r="H132" s="8">
        <v>1.82</v>
      </c>
      <c r="I132" s="4">
        <v>0</v>
      </c>
    </row>
    <row r="133" spans="1:9" x14ac:dyDescent="0.2">
      <c r="A133" s="2">
        <v>19</v>
      </c>
      <c r="B133" s="1" t="s">
        <v>102</v>
      </c>
      <c r="C133" s="4">
        <v>19</v>
      </c>
      <c r="D133" s="8">
        <v>1.2</v>
      </c>
      <c r="E133" s="4">
        <v>17</v>
      </c>
      <c r="F133" s="8">
        <v>1.91</v>
      </c>
      <c r="G133" s="4">
        <v>2</v>
      </c>
      <c r="H133" s="8">
        <v>0.3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97</v>
      </c>
      <c r="C136" s="4">
        <v>208</v>
      </c>
      <c r="D136" s="8">
        <v>11.37</v>
      </c>
      <c r="E136" s="4">
        <v>175</v>
      </c>
      <c r="F136" s="8">
        <v>17.97</v>
      </c>
      <c r="G136" s="4">
        <v>33</v>
      </c>
      <c r="H136" s="8">
        <v>3.91</v>
      </c>
      <c r="I136" s="4">
        <v>0</v>
      </c>
    </row>
    <row r="137" spans="1:9" x14ac:dyDescent="0.2">
      <c r="A137" s="2">
        <v>2</v>
      </c>
      <c r="B137" s="1" t="s">
        <v>96</v>
      </c>
      <c r="C137" s="4">
        <v>194</v>
      </c>
      <c r="D137" s="8">
        <v>10.6</v>
      </c>
      <c r="E137" s="4">
        <v>160</v>
      </c>
      <c r="F137" s="8">
        <v>16.43</v>
      </c>
      <c r="G137" s="4">
        <v>34</v>
      </c>
      <c r="H137" s="8">
        <v>4.03</v>
      </c>
      <c r="I137" s="4">
        <v>0</v>
      </c>
    </row>
    <row r="138" spans="1:9" x14ac:dyDescent="0.2">
      <c r="A138" s="2">
        <v>3</v>
      </c>
      <c r="B138" s="1" t="s">
        <v>91</v>
      </c>
      <c r="C138" s="4">
        <v>129</v>
      </c>
      <c r="D138" s="8">
        <v>7.05</v>
      </c>
      <c r="E138" s="4">
        <v>61</v>
      </c>
      <c r="F138" s="8">
        <v>6.26</v>
      </c>
      <c r="G138" s="4">
        <v>68</v>
      </c>
      <c r="H138" s="8">
        <v>8.07</v>
      </c>
      <c r="I138" s="4">
        <v>0</v>
      </c>
    </row>
    <row r="139" spans="1:9" x14ac:dyDescent="0.2">
      <c r="A139" s="2">
        <v>4</v>
      </c>
      <c r="B139" s="1" t="s">
        <v>84</v>
      </c>
      <c r="C139" s="4">
        <v>116</v>
      </c>
      <c r="D139" s="8">
        <v>6.34</v>
      </c>
      <c r="E139" s="4">
        <v>59</v>
      </c>
      <c r="F139" s="8">
        <v>6.06</v>
      </c>
      <c r="G139" s="4">
        <v>57</v>
      </c>
      <c r="H139" s="8">
        <v>6.76</v>
      </c>
      <c r="I139" s="4">
        <v>0</v>
      </c>
    </row>
    <row r="140" spans="1:9" x14ac:dyDescent="0.2">
      <c r="A140" s="2">
        <v>5</v>
      </c>
      <c r="B140" s="1" t="s">
        <v>83</v>
      </c>
      <c r="C140" s="4">
        <v>115</v>
      </c>
      <c r="D140" s="8">
        <v>6.28</v>
      </c>
      <c r="E140" s="4">
        <v>43</v>
      </c>
      <c r="F140" s="8">
        <v>4.41</v>
      </c>
      <c r="G140" s="4">
        <v>72</v>
      </c>
      <c r="H140" s="8">
        <v>8.5399999999999991</v>
      </c>
      <c r="I140" s="4">
        <v>0</v>
      </c>
    </row>
    <row r="141" spans="1:9" x14ac:dyDescent="0.2">
      <c r="A141" s="2">
        <v>6</v>
      </c>
      <c r="B141" s="1" t="s">
        <v>89</v>
      </c>
      <c r="C141" s="4">
        <v>98</v>
      </c>
      <c r="D141" s="8">
        <v>5.36</v>
      </c>
      <c r="E141" s="4">
        <v>72</v>
      </c>
      <c r="F141" s="8">
        <v>7.39</v>
      </c>
      <c r="G141" s="4">
        <v>26</v>
      </c>
      <c r="H141" s="8">
        <v>3.08</v>
      </c>
      <c r="I141" s="4">
        <v>0</v>
      </c>
    </row>
    <row r="142" spans="1:9" x14ac:dyDescent="0.2">
      <c r="A142" s="2">
        <v>7</v>
      </c>
      <c r="B142" s="1" t="s">
        <v>99</v>
      </c>
      <c r="C142" s="4">
        <v>81</v>
      </c>
      <c r="D142" s="8">
        <v>4.43</v>
      </c>
      <c r="E142" s="4">
        <v>67</v>
      </c>
      <c r="F142" s="8">
        <v>6.88</v>
      </c>
      <c r="G142" s="4">
        <v>9</v>
      </c>
      <c r="H142" s="8">
        <v>1.07</v>
      </c>
      <c r="I142" s="4">
        <v>0</v>
      </c>
    </row>
    <row r="143" spans="1:9" x14ac:dyDescent="0.2">
      <c r="A143" s="2">
        <v>8</v>
      </c>
      <c r="B143" s="1" t="s">
        <v>100</v>
      </c>
      <c r="C143" s="4">
        <v>75</v>
      </c>
      <c r="D143" s="8">
        <v>4.0999999999999996</v>
      </c>
      <c r="E143" s="4">
        <v>67</v>
      </c>
      <c r="F143" s="8">
        <v>6.88</v>
      </c>
      <c r="G143" s="4">
        <v>8</v>
      </c>
      <c r="H143" s="8">
        <v>0.95</v>
      </c>
      <c r="I143" s="4">
        <v>0</v>
      </c>
    </row>
    <row r="144" spans="1:9" x14ac:dyDescent="0.2">
      <c r="A144" s="2">
        <v>9</v>
      </c>
      <c r="B144" s="1" t="s">
        <v>92</v>
      </c>
      <c r="C144" s="4">
        <v>69</v>
      </c>
      <c r="D144" s="8">
        <v>3.77</v>
      </c>
      <c r="E144" s="4">
        <v>25</v>
      </c>
      <c r="F144" s="8">
        <v>2.57</v>
      </c>
      <c r="G144" s="4">
        <v>42</v>
      </c>
      <c r="H144" s="8">
        <v>4.9800000000000004</v>
      </c>
      <c r="I144" s="4">
        <v>1</v>
      </c>
    </row>
    <row r="145" spans="1:9" x14ac:dyDescent="0.2">
      <c r="A145" s="2">
        <v>10</v>
      </c>
      <c r="B145" s="1" t="s">
        <v>85</v>
      </c>
      <c r="C145" s="4">
        <v>57</v>
      </c>
      <c r="D145" s="8">
        <v>3.11</v>
      </c>
      <c r="E145" s="4">
        <v>15</v>
      </c>
      <c r="F145" s="8">
        <v>1.54</v>
      </c>
      <c r="G145" s="4">
        <v>42</v>
      </c>
      <c r="H145" s="8">
        <v>4.9800000000000004</v>
      </c>
      <c r="I145" s="4">
        <v>0</v>
      </c>
    </row>
    <row r="146" spans="1:9" x14ac:dyDescent="0.2">
      <c r="A146" s="2">
        <v>10</v>
      </c>
      <c r="B146" s="1" t="s">
        <v>90</v>
      </c>
      <c r="C146" s="4">
        <v>57</v>
      </c>
      <c r="D146" s="8">
        <v>3.11</v>
      </c>
      <c r="E146" s="4">
        <v>31</v>
      </c>
      <c r="F146" s="8">
        <v>3.18</v>
      </c>
      <c r="G146" s="4">
        <v>26</v>
      </c>
      <c r="H146" s="8">
        <v>3.08</v>
      </c>
      <c r="I146" s="4">
        <v>0</v>
      </c>
    </row>
    <row r="147" spans="1:9" x14ac:dyDescent="0.2">
      <c r="A147" s="2">
        <v>12</v>
      </c>
      <c r="B147" s="1" t="s">
        <v>101</v>
      </c>
      <c r="C147" s="4">
        <v>48</v>
      </c>
      <c r="D147" s="8">
        <v>2.62</v>
      </c>
      <c r="E147" s="4">
        <v>0</v>
      </c>
      <c r="F147" s="8">
        <v>0</v>
      </c>
      <c r="G147" s="4">
        <v>47</v>
      </c>
      <c r="H147" s="8">
        <v>5.58</v>
      </c>
      <c r="I147" s="4">
        <v>0</v>
      </c>
    </row>
    <row r="148" spans="1:9" x14ac:dyDescent="0.2">
      <c r="A148" s="2">
        <v>13</v>
      </c>
      <c r="B148" s="1" t="s">
        <v>86</v>
      </c>
      <c r="C148" s="4">
        <v>44</v>
      </c>
      <c r="D148" s="8">
        <v>2.4</v>
      </c>
      <c r="E148" s="4">
        <v>10</v>
      </c>
      <c r="F148" s="8">
        <v>1.03</v>
      </c>
      <c r="G148" s="4">
        <v>34</v>
      </c>
      <c r="H148" s="8">
        <v>4.03</v>
      </c>
      <c r="I148" s="4">
        <v>0</v>
      </c>
    </row>
    <row r="149" spans="1:9" x14ac:dyDescent="0.2">
      <c r="A149" s="2">
        <v>14</v>
      </c>
      <c r="B149" s="1" t="s">
        <v>102</v>
      </c>
      <c r="C149" s="4">
        <v>40</v>
      </c>
      <c r="D149" s="8">
        <v>2.19</v>
      </c>
      <c r="E149" s="4">
        <v>29</v>
      </c>
      <c r="F149" s="8">
        <v>2.98</v>
      </c>
      <c r="G149" s="4">
        <v>11</v>
      </c>
      <c r="H149" s="8">
        <v>1.3</v>
      </c>
      <c r="I149" s="4">
        <v>0</v>
      </c>
    </row>
    <row r="150" spans="1:9" x14ac:dyDescent="0.2">
      <c r="A150" s="2">
        <v>15</v>
      </c>
      <c r="B150" s="1" t="s">
        <v>88</v>
      </c>
      <c r="C150" s="4">
        <v>39</v>
      </c>
      <c r="D150" s="8">
        <v>2.13</v>
      </c>
      <c r="E150" s="4">
        <v>18</v>
      </c>
      <c r="F150" s="8">
        <v>1.85</v>
      </c>
      <c r="G150" s="4">
        <v>20</v>
      </c>
      <c r="H150" s="8">
        <v>2.37</v>
      </c>
      <c r="I150" s="4">
        <v>1</v>
      </c>
    </row>
    <row r="151" spans="1:9" x14ac:dyDescent="0.2">
      <c r="A151" s="2">
        <v>16</v>
      </c>
      <c r="B151" s="1" t="s">
        <v>93</v>
      </c>
      <c r="C151" s="4">
        <v>33</v>
      </c>
      <c r="D151" s="8">
        <v>1.8</v>
      </c>
      <c r="E151" s="4">
        <v>22</v>
      </c>
      <c r="F151" s="8">
        <v>2.2599999999999998</v>
      </c>
      <c r="G151" s="4">
        <v>11</v>
      </c>
      <c r="H151" s="8">
        <v>1.3</v>
      </c>
      <c r="I151" s="4">
        <v>0</v>
      </c>
    </row>
    <row r="152" spans="1:9" x14ac:dyDescent="0.2">
      <c r="A152" s="2">
        <v>17</v>
      </c>
      <c r="B152" s="1" t="s">
        <v>94</v>
      </c>
      <c r="C152" s="4">
        <v>31</v>
      </c>
      <c r="D152" s="8">
        <v>1.69</v>
      </c>
      <c r="E152" s="4">
        <v>17</v>
      </c>
      <c r="F152" s="8">
        <v>1.75</v>
      </c>
      <c r="G152" s="4">
        <v>14</v>
      </c>
      <c r="H152" s="8">
        <v>1.66</v>
      </c>
      <c r="I152" s="4">
        <v>0</v>
      </c>
    </row>
    <row r="153" spans="1:9" x14ac:dyDescent="0.2">
      <c r="A153" s="2">
        <v>18</v>
      </c>
      <c r="B153" s="1" t="s">
        <v>109</v>
      </c>
      <c r="C153" s="4">
        <v>23</v>
      </c>
      <c r="D153" s="8">
        <v>1.26</v>
      </c>
      <c r="E153" s="4">
        <v>6</v>
      </c>
      <c r="F153" s="8">
        <v>0.62</v>
      </c>
      <c r="G153" s="4">
        <v>17</v>
      </c>
      <c r="H153" s="8">
        <v>2.02</v>
      </c>
      <c r="I153" s="4">
        <v>0</v>
      </c>
    </row>
    <row r="154" spans="1:9" x14ac:dyDescent="0.2">
      <c r="A154" s="2">
        <v>19</v>
      </c>
      <c r="B154" s="1" t="s">
        <v>106</v>
      </c>
      <c r="C154" s="4">
        <v>22</v>
      </c>
      <c r="D154" s="8">
        <v>1.2</v>
      </c>
      <c r="E154" s="4">
        <v>6</v>
      </c>
      <c r="F154" s="8">
        <v>0.62</v>
      </c>
      <c r="G154" s="4">
        <v>16</v>
      </c>
      <c r="H154" s="8">
        <v>1.9</v>
      </c>
      <c r="I154" s="4">
        <v>0</v>
      </c>
    </row>
    <row r="155" spans="1:9" x14ac:dyDescent="0.2">
      <c r="A155" s="2">
        <v>19</v>
      </c>
      <c r="B155" s="1" t="s">
        <v>98</v>
      </c>
      <c r="C155" s="4">
        <v>22</v>
      </c>
      <c r="D155" s="8">
        <v>1.2</v>
      </c>
      <c r="E155" s="4">
        <v>3</v>
      </c>
      <c r="F155" s="8">
        <v>0.31</v>
      </c>
      <c r="G155" s="4">
        <v>19</v>
      </c>
      <c r="H155" s="8">
        <v>2.25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97</v>
      </c>
      <c r="C158" s="4">
        <v>179</v>
      </c>
      <c r="D158" s="8">
        <v>13.33</v>
      </c>
      <c r="E158" s="4">
        <v>170</v>
      </c>
      <c r="F158" s="8">
        <v>19.68</v>
      </c>
      <c r="G158" s="4">
        <v>9</v>
      </c>
      <c r="H158" s="8">
        <v>1.95</v>
      </c>
      <c r="I158" s="4">
        <v>0</v>
      </c>
    </row>
    <row r="159" spans="1:9" x14ac:dyDescent="0.2">
      <c r="A159" s="2">
        <v>2</v>
      </c>
      <c r="B159" s="1" t="s">
        <v>96</v>
      </c>
      <c r="C159" s="4">
        <v>145</v>
      </c>
      <c r="D159" s="8">
        <v>10.8</v>
      </c>
      <c r="E159" s="4">
        <v>135</v>
      </c>
      <c r="F159" s="8">
        <v>15.63</v>
      </c>
      <c r="G159" s="4">
        <v>10</v>
      </c>
      <c r="H159" s="8">
        <v>2.16</v>
      </c>
      <c r="I159" s="4">
        <v>0</v>
      </c>
    </row>
    <row r="160" spans="1:9" x14ac:dyDescent="0.2">
      <c r="A160" s="2">
        <v>3</v>
      </c>
      <c r="B160" s="1" t="s">
        <v>91</v>
      </c>
      <c r="C160" s="4">
        <v>123</v>
      </c>
      <c r="D160" s="8">
        <v>9.16</v>
      </c>
      <c r="E160" s="4">
        <v>70</v>
      </c>
      <c r="F160" s="8">
        <v>8.1</v>
      </c>
      <c r="G160" s="4">
        <v>53</v>
      </c>
      <c r="H160" s="8">
        <v>11.47</v>
      </c>
      <c r="I160" s="4">
        <v>0</v>
      </c>
    </row>
    <row r="161" spans="1:9" x14ac:dyDescent="0.2">
      <c r="A161" s="2">
        <v>4</v>
      </c>
      <c r="B161" s="1" t="s">
        <v>89</v>
      </c>
      <c r="C161" s="4">
        <v>99</v>
      </c>
      <c r="D161" s="8">
        <v>7.37</v>
      </c>
      <c r="E161" s="4">
        <v>80</v>
      </c>
      <c r="F161" s="8">
        <v>9.26</v>
      </c>
      <c r="G161" s="4">
        <v>19</v>
      </c>
      <c r="H161" s="8">
        <v>4.1100000000000003</v>
      </c>
      <c r="I161" s="4">
        <v>0</v>
      </c>
    </row>
    <row r="162" spans="1:9" x14ac:dyDescent="0.2">
      <c r="A162" s="2">
        <v>5</v>
      </c>
      <c r="B162" s="1" t="s">
        <v>83</v>
      </c>
      <c r="C162" s="4">
        <v>82</v>
      </c>
      <c r="D162" s="8">
        <v>6.11</v>
      </c>
      <c r="E162" s="4">
        <v>42</v>
      </c>
      <c r="F162" s="8">
        <v>4.8600000000000003</v>
      </c>
      <c r="G162" s="4">
        <v>40</v>
      </c>
      <c r="H162" s="8">
        <v>8.66</v>
      </c>
      <c r="I162" s="4">
        <v>0</v>
      </c>
    </row>
    <row r="163" spans="1:9" x14ac:dyDescent="0.2">
      <c r="A163" s="2">
        <v>6</v>
      </c>
      <c r="B163" s="1" t="s">
        <v>84</v>
      </c>
      <c r="C163" s="4">
        <v>67</v>
      </c>
      <c r="D163" s="8">
        <v>4.99</v>
      </c>
      <c r="E163" s="4">
        <v>46</v>
      </c>
      <c r="F163" s="8">
        <v>5.32</v>
      </c>
      <c r="G163" s="4">
        <v>21</v>
      </c>
      <c r="H163" s="8">
        <v>4.55</v>
      </c>
      <c r="I163" s="4">
        <v>0</v>
      </c>
    </row>
    <row r="164" spans="1:9" x14ac:dyDescent="0.2">
      <c r="A164" s="2">
        <v>7</v>
      </c>
      <c r="B164" s="1" t="s">
        <v>90</v>
      </c>
      <c r="C164" s="4">
        <v>54</v>
      </c>
      <c r="D164" s="8">
        <v>4.0199999999999996</v>
      </c>
      <c r="E164" s="4">
        <v>47</v>
      </c>
      <c r="F164" s="8">
        <v>5.44</v>
      </c>
      <c r="G164" s="4">
        <v>7</v>
      </c>
      <c r="H164" s="8">
        <v>1.52</v>
      </c>
      <c r="I164" s="4">
        <v>0</v>
      </c>
    </row>
    <row r="165" spans="1:9" x14ac:dyDescent="0.2">
      <c r="A165" s="2">
        <v>8</v>
      </c>
      <c r="B165" s="1" t="s">
        <v>99</v>
      </c>
      <c r="C165" s="4">
        <v>52</v>
      </c>
      <c r="D165" s="8">
        <v>3.87</v>
      </c>
      <c r="E165" s="4">
        <v>27</v>
      </c>
      <c r="F165" s="8">
        <v>3.13</v>
      </c>
      <c r="G165" s="4">
        <v>13</v>
      </c>
      <c r="H165" s="8">
        <v>2.81</v>
      </c>
      <c r="I165" s="4">
        <v>0</v>
      </c>
    </row>
    <row r="166" spans="1:9" x14ac:dyDescent="0.2">
      <c r="A166" s="2">
        <v>9</v>
      </c>
      <c r="B166" s="1" t="s">
        <v>92</v>
      </c>
      <c r="C166" s="4">
        <v>50</v>
      </c>
      <c r="D166" s="8">
        <v>3.72</v>
      </c>
      <c r="E166" s="4">
        <v>31</v>
      </c>
      <c r="F166" s="8">
        <v>3.59</v>
      </c>
      <c r="G166" s="4">
        <v>19</v>
      </c>
      <c r="H166" s="8">
        <v>4.1100000000000003</v>
      </c>
      <c r="I166" s="4">
        <v>0</v>
      </c>
    </row>
    <row r="167" spans="1:9" x14ac:dyDescent="0.2">
      <c r="A167" s="2">
        <v>10</v>
      </c>
      <c r="B167" s="1" t="s">
        <v>85</v>
      </c>
      <c r="C167" s="4">
        <v>45</v>
      </c>
      <c r="D167" s="8">
        <v>3.35</v>
      </c>
      <c r="E167" s="4">
        <v>18</v>
      </c>
      <c r="F167" s="8">
        <v>2.08</v>
      </c>
      <c r="G167" s="4">
        <v>27</v>
      </c>
      <c r="H167" s="8">
        <v>5.84</v>
      </c>
      <c r="I167" s="4">
        <v>0</v>
      </c>
    </row>
    <row r="168" spans="1:9" x14ac:dyDescent="0.2">
      <c r="A168" s="2">
        <v>11</v>
      </c>
      <c r="B168" s="1" t="s">
        <v>88</v>
      </c>
      <c r="C168" s="4">
        <v>33</v>
      </c>
      <c r="D168" s="8">
        <v>2.46</v>
      </c>
      <c r="E168" s="4">
        <v>16</v>
      </c>
      <c r="F168" s="8">
        <v>1.85</v>
      </c>
      <c r="G168" s="4">
        <v>17</v>
      </c>
      <c r="H168" s="8">
        <v>3.68</v>
      </c>
      <c r="I168" s="4">
        <v>0</v>
      </c>
    </row>
    <row r="169" spans="1:9" x14ac:dyDescent="0.2">
      <c r="A169" s="2">
        <v>12</v>
      </c>
      <c r="B169" s="1" t="s">
        <v>110</v>
      </c>
      <c r="C169" s="4">
        <v>29</v>
      </c>
      <c r="D169" s="8">
        <v>2.16</v>
      </c>
      <c r="E169" s="4">
        <v>13</v>
      </c>
      <c r="F169" s="8">
        <v>1.5</v>
      </c>
      <c r="G169" s="4">
        <v>16</v>
      </c>
      <c r="H169" s="8">
        <v>3.46</v>
      </c>
      <c r="I169" s="4">
        <v>0</v>
      </c>
    </row>
    <row r="170" spans="1:9" x14ac:dyDescent="0.2">
      <c r="A170" s="2">
        <v>12</v>
      </c>
      <c r="B170" s="1" t="s">
        <v>94</v>
      </c>
      <c r="C170" s="4">
        <v>29</v>
      </c>
      <c r="D170" s="8">
        <v>2.16</v>
      </c>
      <c r="E170" s="4">
        <v>14</v>
      </c>
      <c r="F170" s="8">
        <v>1.62</v>
      </c>
      <c r="G170" s="4">
        <v>15</v>
      </c>
      <c r="H170" s="8">
        <v>3.25</v>
      </c>
      <c r="I170" s="4">
        <v>0</v>
      </c>
    </row>
    <row r="171" spans="1:9" x14ac:dyDescent="0.2">
      <c r="A171" s="2">
        <v>14</v>
      </c>
      <c r="B171" s="1" t="s">
        <v>100</v>
      </c>
      <c r="C171" s="4">
        <v>28</v>
      </c>
      <c r="D171" s="8">
        <v>2.08</v>
      </c>
      <c r="E171" s="4">
        <v>27</v>
      </c>
      <c r="F171" s="8">
        <v>3.13</v>
      </c>
      <c r="G171" s="4">
        <v>1</v>
      </c>
      <c r="H171" s="8">
        <v>0.22</v>
      </c>
      <c r="I171" s="4">
        <v>0</v>
      </c>
    </row>
    <row r="172" spans="1:9" x14ac:dyDescent="0.2">
      <c r="A172" s="2">
        <v>15</v>
      </c>
      <c r="B172" s="1" t="s">
        <v>101</v>
      </c>
      <c r="C172" s="4">
        <v>24</v>
      </c>
      <c r="D172" s="8">
        <v>1.79</v>
      </c>
      <c r="E172" s="4">
        <v>0</v>
      </c>
      <c r="F172" s="8">
        <v>0</v>
      </c>
      <c r="G172" s="4">
        <v>23</v>
      </c>
      <c r="H172" s="8">
        <v>4.9800000000000004</v>
      </c>
      <c r="I172" s="4">
        <v>0</v>
      </c>
    </row>
    <row r="173" spans="1:9" x14ac:dyDescent="0.2">
      <c r="A173" s="2">
        <v>16</v>
      </c>
      <c r="B173" s="1" t="s">
        <v>105</v>
      </c>
      <c r="C173" s="4">
        <v>23</v>
      </c>
      <c r="D173" s="8">
        <v>1.71</v>
      </c>
      <c r="E173" s="4">
        <v>14</v>
      </c>
      <c r="F173" s="8">
        <v>1.62</v>
      </c>
      <c r="G173" s="4">
        <v>9</v>
      </c>
      <c r="H173" s="8">
        <v>1.95</v>
      </c>
      <c r="I173" s="4">
        <v>0</v>
      </c>
    </row>
    <row r="174" spans="1:9" x14ac:dyDescent="0.2">
      <c r="A174" s="2">
        <v>17</v>
      </c>
      <c r="B174" s="1" t="s">
        <v>95</v>
      </c>
      <c r="C174" s="4">
        <v>20</v>
      </c>
      <c r="D174" s="8">
        <v>1.49</v>
      </c>
      <c r="E174" s="4">
        <v>17</v>
      </c>
      <c r="F174" s="8">
        <v>1.97</v>
      </c>
      <c r="G174" s="4">
        <v>3</v>
      </c>
      <c r="H174" s="8">
        <v>0.65</v>
      </c>
      <c r="I174" s="4">
        <v>0</v>
      </c>
    </row>
    <row r="175" spans="1:9" x14ac:dyDescent="0.2">
      <c r="A175" s="2">
        <v>17</v>
      </c>
      <c r="B175" s="1" t="s">
        <v>113</v>
      </c>
      <c r="C175" s="4">
        <v>20</v>
      </c>
      <c r="D175" s="8">
        <v>1.49</v>
      </c>
      <c r="E175" s="4">
        <v>3</v>
      </c>
      <c r="F175" s="8">
        <v>0.35</v>
      </c>
      <c r="G175" s="4">
        <v>15</v>
      </c>
      <c r="H175" s="8">
        <v>3.25</v>
      </c>
      <c r="I175" s="4">
        <v>0</v>
      </c>
    </row>
    <row r="176" spans="1:9" x14ac:dyDescent="0.2">
      <c r="A176" s="2">
        <v>17</v>
      </c>
      <c r="B176" s="1" t="s">
        <v>102</v>
      </c>
      <c r="C176" s="4">
        <v>20</v>
      </c>
      <c r="D176" s="8">
        <v>1.49</v>
      </c>
      <c r="E176" s="4">
        <v>16</v>
      </c>
      <c r="F176" s="8">
        <v>1.85</v>
      </c>
      <c r="G176" s="4">
        <v>4</v>
      </c>
      <c r="H176" s="8">
        <v>0.87</v>
      </c>
      <c r="I176" s="4">
        <v>0</v>
      </c>
    </row>
    <row r="177" spans="1:9" x14ac:dyDescent="0.2">
      <c r="A177" s="2">
        <v>20</v>
      </c>
      <c r="B177" s="1" t="s">
        <v>106</v>
      </c>
      <c r="C177" s="4">
        <v>18</v>
      </c>
      <c r="D177" s="8">
        <v>1.34</v>
      </c>
      <c r="E177" s="4">
        <v>4</v>
      </c>
      <c r="F177" s="8">
        <v>0.46</v>
      </c>
      <c r="G177" s="4">
        <v>14</v>
      </c>
      <c r="H177" s="8">
        <v>3.03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96</v>
      </c>
      <c r="C180" s="4">
        <v>121</v>
      </c>
      <c r="D180" s="8">
        <v>12.47</v>
      </c>
      <c r="E180" s="4">
        <v>107</v>
      </c>
      <c r="F180" s="8">
        <v>18.87</v>
      </c>
      <c r="G180" s="4">
        <v>14</v>
      </c>
      <c r="H180" s="8">
        <v>3.62</v>
      </c>
      <c r="I180" s="4">
        <v>0</v>
      </c>
    </row>
    <row r="181" spans="1:9" x14ac:dyDescent="0.2">
      <c r="A181" s="2">
        <v>2</v>
      </c>
      <c r="B181" s="1" t="s">
        <v>97</v>
      </c>
      <c r="C181" s="4">
        <v>115</v>
      </c>
      <c r="D181" s="8">
        <v>11.86</v>
      </c>
      <c r="E181" s="4">
        <v>110</v>
      </c>
      <c r="F181" s="8">
        <v>19.399999999999999</v>
      </c>
      <c r="G181" s="4">
        <v>5</v>
      </c>
      <c r="H181" s="8">
        <v>1.29</v>
      </c>
      <c r="I181" s="4">
        <v>0</v>
      </c>
    </row>
    <row r="182" spans="1:9" x14ac:dyDescent="0.2">
      <c r="A182" s="2">
        <v>3</v>
      </c>
      <c r="B182" s="1" t="s">
        <v>91</v>
      </c>
      <c r="C182" s="4">
        <v>105</v>
      </c>
      <c r="D182" s="8">
        <v>10.82</v>
      </c>
      <c r="E182" s="4">
        <v>48</v>
      </c>
      <c r="F182" s="8">
        <v>8.4700000000000006</v>
      </c>
      <c r="G182" s="4">
        <v>56</v>
      </c>
      <c r="H182" s="8">
        <v>14.47</v>
      </c>
      <c r="I182" s="4">
        <v>1</v>
      </c>
    </row>
    <row r="183" spans="1:9" x14ac:dyDescent="0.2">
      <c r="A183" s="2">
        <v>4</v>
      </c>
      <c r="B183" s="1" t="s">
        <v>83</v>
      </c>
      <c r="C183" s="4">
        <v>61</v>
      </c>
      <c r="D183" s="8">
        <v>6.29</v>
      </c>
      <c r="E183" s="4">
        <v>20</v>
      </c>
      <c r="F183" s="8">
        <v>3.53</v>
      </c>
      <c r="G183" s="4">
        <v>41</v>
      </c>
      <c r="H183" s="8">
        <v>10.59</v>
      </c>
      <c r="I183" s="4">
        <v>0</v>
      </c>
    </row>
    <row r="184" spans="1:9" x14ac:dyDescent="0.2">
      <c r="A184" s="2">
        <v>5</v>
      </c>
      <c r="B184" s="1" t="s">
        <v>92</v>
      </c>
      <c r="C184" s="4">
        <v>58</v>
      </c>
      <c r="D184" s="8">
        <v>5.98</v>
      </c>
      <c r="E184" s="4">
        <v>43</v>
      </c>
      <c r="F184" s="8">
        <v>7.58</v>
      </c>
      <c r="G184" s="4">
        <v>15</v>
      </c>
      <c r="H184" s="8">
        <v>3.88</v>
      </c>
      <c r="I184" s="4">
        <v>0</v>
      </c>
    </row>
    <row r="185" spans="1:9" x14ac:dyDescent="0.2">
      <c r="A185" s="2">
        <v>6</v>
      </c>
      <c r="B185" s="1" t="s">
        <v>89</v>
      </c>
      <c r="C185" s="4">
        <v>43</v>
      </c>
      <c r="D185" s="8">
        <v>4.43</v>
      </c>
      <c r="E185" s="4">
        <v>24</v>
      </c>
      <c r="F185" s="8">
        <v>4.2300000000000004</v>
      </c>
      <c r="G185" s="4">
        <v>19</v>
      </c>
      <c r="H185" s="8">
        <v>4.91</v>
      </c>
      <c r="I185" s="4">
        <v>0</v>
      </c>
    </row>
    <row r="186" spans="1:9" x14ac:dyDescent="0.2">
      <c r="A186" s="2">
        <v>7</v>
      </c>
      <c r="B186" s="1" t="s">
        <v>84</v>
      </c>
      <c r="C186" s="4">
        <v>38</v>
      </c>
      <c r="D186" s="8">
        <v>3.92</v>
      </c>
      <c r="E186" s="4">
        <v>25</v>
      </c>
      <c r="F186" s="8">
        <v>4.41</v>
      </c>
      <c r="G186" s="4">
        <v>13</v>
      </c>
      <c r="H186" s="8">
        <v>3.36</v>
      </c>
      <c r="I186" s="4">
        <v>0</v>
      </c>
    </row>
    <row r="187" spans="1:9" x14ac:dyDescent="0.2">
      <c r="A187" s="2">
        <v>8</v>
      </c>
      <c r="B187" s="1" t="s">
        <v>85</v>
      </c>
      <c r="C187" s="4">
        <v>37</v>
      </c>
      <c r="D187" s="8">
        <v>3.81</v>
      </c>
      <c r="E187" s="4">
        <v>17</v>
      </c>
      <c r="F187" s="8">
        <v>3</v>
      </c>
      <c r="G187" s="4">
        <v>20</v>
      </c>
      <c r="H187" s="8">
        <v>5.17</v>
      </c>
      <c r="I187" s="4">
        <v>0</v>
      </c>
    </row>
    <row r="188" spans="1:9" x14ac:dyDescent="0.2">
      <c r="A188" s="2">
        <v>9</v>
      </c>
      <c r="B188" s="1" t="s">
        <v>99</v>
      </c>
      <c r="C188" s="4">
        <v>35</v>
      </c>
      <c r="D188" s="8">
        <v>3.61</v>
      </c>
      <c r="E188" s="4">
        <v>21</v>
      </c>
      <c r="F188" s="8">
        <v>3.7</v>
      </c>
      <c r="G188" s="4">
        <v>4</v>
      </c>
      <c r="H188" s="8">
        <v>1.03</v>
      </c>
      <c r="I188" s="4">
        <v>0</v>
      </c>
    </row>
    <row r="189" spans="1:9" x14ac:dyDescent="0.2">
      <c r="A189" s="2">
        <v>10</v>
      </c>
      <c r="B189" s="1" t="s">
        <v>88</v>
      </c>
      <c r="C189" s="4">
        <v>29</v>
      </c>
      <c r="D189" s="8">
        <v>2.99</v>
      </c>
      <c r="E189" s="4">
        <v>15</v>
      </c>
      <c r="F189" s="8">
        <v>2.65</v>
      </c>
      <c r="G189" s="4">
        <v>14</v>
      </c>
      <c r="H189" s="8">
        <v>3.62</v>
      </c>
      <c r="I189" s="4">
        <v>0</v>
      </c>
    </row>
    <row r="190" spans="1:9" x14ac:dyDescent="0.2">
      <c r="A190" s="2">
        <v>11</v>
      </c>
      <c r="B190" s="1" t="s">
        <v>94</v>
      </c>
      <c r="C190" s="4">
        <v>24</v>
      </c>
      <c r="D190" s="8">
        <v>2.4700000000000002</v>
      </c>
      <c r="E190" s="4">
        <v>9</v>
      </c>
      <c r="F190" s="8">
        <v>1.59</v>
      </c>
      <c r="G190" s="4">
        <v>14</v>
      </c>
      <c r="H190" s="8">
        <v>3.62</v>
      </c>
      <c r="I190" s="4">
        <v>0</v>
      </c>
    </row>
    <row r="191" spans="1:9" x14ac:dyDescent="0.2">
      <c r="A191" s="2">
        <v>12</v>
      </c>
      <c r="B191" s="1" t="s">
        <v>100</v>
      </c>
      <c r="C191" s="4">
        <v>23</v>
      </c>
      <c r="D191" s="8">
        <v>2.37</v>
      </c>
      <c r="E191" s="4">
        <v>21</v>
      </c>
      <c r="F191" s="8">
        <v>3.7</v>
      </c>
      <c r="G191" s="4">
        <v>2</v>
      </c>
      <c r="H191" s="8">
        <v>0.52</v>
      </c>
      <c r="I191" s="4">
        <v>0</v>
      </c>
    </row>
    <row r="192" spans="1:9" x14ac:dyDescent="0.2">
      <c r="A192" s="2">
        <v>13</v>
      </c>
      <c r="B192" s="1" t="s">
        <v>90</v>
      </c>
      <c r="C192" s="4">
        <v>22</v>
      </c>
      <c r="D192" s="8">
        <v>2.27</v>
      </c>
      <c r="E192" s="4">
        <v>16</v>
      </c>
      <c r="F192" s="8">
        <v>2.82</v>
      </c>
      <c r="G192" s="4">
        <v>6</v>
      </c>
      <c r="H192" s="8">
        <v>1.55</v>
      </c>
      <c r="I192" s="4">
        <v>0</v>
      </c>
    </row>
    <row r="193" spans="1:9" x14ac:dyDescent="0.2">
      <c r="A193" s="2">
        <v>14</v>
      </c>
      <c r="B193" s="1" t="s">
        <v>93</v>
      </c>
      <c r="C193" s="4">
        <v>21</v>
      </c>
      <c r="D193" s="8">
        <v>2.16</v>
      </c>
      <c r="E193" s="4">
        <v>15</v>
      </c>
      <c r="F193" s="8">
        <v>2.65</v>
      </c>
      <c r="G193" s="4">
        <v>6</v>
      </c>
      <c r="H193" s="8">
        <v>1.55</v>
      </c>
      <c r="I193" s="4">
        <v>0</v>
      </c>
    </row>
    <row r="194" spans="1:9" x14ac:dyDescent="0.2">
      <c r="A194" s="2">
        <v>15</v>
      </c>
      <c r="B194" s="1" t="s">
        <v>102</v>
      </c>
      <c r="C194" s="4">
        <v>19</v>
      </c>
      <c r="D194" s="8">
        <v>1.96</v>
      </c>
      <c r="E194" s="4">
        <v>17</v>
      </c>
      <c r="F194" s="8">
        <v>3</v>
      </c>
      <c r="G194" s="4">
        <v>2</v>
      </c>
      <c r="H194" s="8">
        <v>0.52</v>
      </c>
      <c r="I194" s="4">
        <v>0</v>
      </c>
    </row>
    <row r="195" spans="1:9" x14ac:dyDescent="0.2">
      <c r="A195" s="2">
        <v>16</v>
      </c>
      <c r="B195" s="1" t="s">
        <v>110</v>
      </c>
      <c r="C195" s="4">
        <v>14</v>
      </c>
      <c r="D195" s="8">
        <v>1.44</v>
      </c>
      <c r="E195" s="4">
        <v>2</v>
      </c>
      <c r="F195" s="8">
        <v>0.35</v>
      </c>
      <c r="G195" s="4">
        <v>12</v>
      </c>
      <c r="H195" s="8">
        <v>3.1</v>
      </c>
      <c r="I195" s="4">
        <v>0</v>
      </c>
    </row>
    <row r="196" spans="1:9" x14ac:dyDescent="0.2">
      <c r="A196" s="2">
        <v>17</v>
      </c>
      <c r="B196" s="1" t="s">
        <v>95</v>
      </c>
      <c r="C196" s="4">
        <v>13</v>
      </c>
      <c r="D196" s="8">
        <v>1.34</v>
      </c>
      <c r="E196" s="4">
        <v>10</v>
      </c>
      <c r="F196" s="8">
        <v>1.76</v>
      </c>
      <c r="G196" s="4">
        <v>3</v>
      </c>
      <c r="H196" s="8">
        <v>0.78</v>
      </c>
      <c r="I196" s="4">
        <v>0</v>
      </c>
    </row>
    <row r="197" spans="1:9" x14ac:dyDescent="0.2">
      <c r="A197" s="2">
        <v>18</v>
      </c>
      <c r="B197" s="1" t="s">
        <v>114</v>
      </c>
      <c r="C197" s="4">
        <v>12</v>
      </c>
      <c r="D197" s="8">
        <v>1.24</v>
      </c>
      <c r="E197" s="4">
        <v>1</v>
      </c>
      <c r="F197" s="8">
        <v>0.18</v>
      </c>
      <c r="G197" s="4">
        <v>11</v>
      </c>
      <c r="H197" s="8">
        <v>2.84</v>
      </c>
      <c r="I197" s="4">
        <v>0</v>
      </c>
    </row>
    <row r="198" spans="1:9" x14ac:dyDescent="0.2">
      <c r="A198" s="2">
        <v>18</v>
      </c>
      <c r="B198" s="1" t="s">
        <v>87</v>
      </c>
      <c r="C198" s="4">
        <v>12</v>
      </c>
      <c r="D198" s="8">
        <v>1.24</v>
      </c>
      <c r="E198" s="4">
        <v>1</v>
      </c>
      <c r="F198" s="8">
        <v>0.18</v>
      </c>
      <c r="G198" s="4">
        <v>11</v>
      </c>
      <c r="H198" s="8">
        <v>2.84</v>
      </c>
      <c r="I198" s="4">
        <v>0</v>
      </c>
    </row>
    <row r="199" spans="1:9" x14ac:dyDescent="0.2">
      <c r="A199" s="2">
        <v>18</v>
      </c>
      <c r="B199" s="1" t="s">
        <v>103</v>
      </c>
      <c r="C199" s="4">
        <v>12</v>
      </c>
      <c r="D199" s="8">
        <v>1.24</v>
      </c>
      <c r="E199" s="4">
        <v>5</v>
      </c>
      <c r="F199" s="8">
        <v>0.88</v>
      </c>
      <c r="G199" s="4">
        <v>7</v>
      </c>
      <c r="H199" s="8">
        <v>1.81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97</v>
      </c>
      <c r="C202" s="4">
        <v>150</v>
      </c>
      <c r="D202" s="8">
        <v>10.61</v>
      </c>
      <c r="E202" s="4">
        <v>134</v>
      </c>
      <c r="F202" s="8">
        <v>15.64</v>
      </c>
      <c r="G202" s="4">
        <v>16</v>
      </c>
      <c r="H202" s="8">
        <v>2.97</v>
      </c>
      <c r="I202" s="4">
        <v>0</v>
      </c>
    </row>
    <row r="203" spans="1:9" x14ac:dyDescent="0.2">
      <c r="A203" s="2">
        <v>2</v>
      </c>
      <c r="B203" s="1" t="s">
        <v>92</v>
      </c>
      <c r="C203" s="4">
        <v>139</v>
      </c>
      <c r="D203" s="8">
        <v>9.83</v>
      </c>
      <c r="E203" s="4">
        <v>119</v>
      </c>
      <c r="F203" s="8">
        <v>13.89</v>
      </c>
      <c r="G203" s="4">
        <v>20</v>
      </c>
      <c r="H203" s="8">
        <v>3.72</v>
      </c>
      <c r="I203" s="4">
        <v>0</v>
      </c>
    </row>
    <row r="204" spans="1:9" x14ac:dyDescent="0.2">
      <c r="A204" s="2">
        <v>3</v>
      </c>
      <c r="B204" s="1" t="s">
        <v>84</v>
      </c>
      <c r="C204" s="4">
        <v>117</v>
      </c>
      <c r="D204" s="8">
        <v>8.27</v>
      </c>
      <c r="E204" s="4">
        <v>66</v>
      </c>
      <c r="F204" s="8">
        <v>7.7</v>
      </c>
      <c r="G204" s="4">
        <v>51</v>
      </c>
      <c r="H204" s="8">
        <v>9.48</v>
      </c>
      <c r="I204" s="4">
        <v>0</v>
      </c>
    </row>
    <row r="205" spans="1:9" x14ac:dyDescent="0.2">
      <c r="A205" s="2">
        <v>4</v>
      </c>
      <c r="B205" s="1" t="s">
        <v>96</v>
      </c>
      <c r="C205" s="4">
        <v>116</v>
      </c>
      <c r="D205" s="8">
        <v>8.1999999999999993</v>
      </c>
      <c r="E205" s="4">
        <v>94</v>
      </c>
      <c r="F205" s="8">
        <v>10.97</v>
      </c>
      <c r="G205" s="4">
        <v>22</v>
      </c>
      <c r="H205" s="8">
        <v>4.09</v>
      </c>
      <c r="I205" s="4">
        <v>0</v>
      </c>
    </row>
    <row r="206" spans="1:9" x14ac:dyDescent="0.2">
      <c r="A206" s="2">
        <v>5</v>
      </c>
      <c r="B206" s="1" t="s">
        <v>91</v>
      </c>
      <c r="C206" s="4">
        <v>111</v>
      </c>
      <c r="D206" s="8">
        <v>7.85</v>
      </c>
      <c r="E206" s="4">
        <v>59</v>
      </c>
      <c r="F206" s="8">
        <v>6.88</v>
      </c>
      <c r="G206" s="4">
        <v>52</v>
      </c>
      <c r="H206" s="8">
        <v>9.67</v>
      </c>
      <c r="I206" s="4">
        <v>0</v>
      </c>
    </row>
    <row r="207" spans="1:9" x14ac:dyDescent="0.2">
      <c r="A207" s="2">
        <v>6</v>
      </c>
      <c r="B207" s="1" t="s">
        <v>83</v>
      </c>
      <c r="C207" s="4">
        <v>100</v>
      </c>
      <c r="D207" s="8">
        <v>7.07</v>
      </c>
      <c r="E207" s="4">
        <v>44</v>
      </c>
      <c r="F207" s="8">
        <v>5.13</v>
      </c>
      <c r="G207" s="4">
        <v>56</v>
      </c>
      <c r="H207" s="8">
        <v>10.41</v>
      </c>
      <c r="I207" s="4">
        <v>0</v>
      </c>
    </row>
    <row r="208" spans="1:9" x14ac:dyDescent="0.2">
      <c r="A208" s="2">
        <v>7</v>
      </c>
      <c r="B208" s="1" t="s">
        <v>89</v>
      </c>
      <c r="C208" s="4">
        <v>97</v>
      </c>
      <c r="D208" s="8">
        <v>6.86</v>
      </c>
      <c r="E208" s="4">
        <v>75</v>
      </c>
      <c r="F208" s="8">
        <v>8.75</v>
      </c>
      <c r="G208" s="4">
        <v>22</v>
      </c>
      <c r="H208" s="8">
        <v>4.09</v>
      </c>
      <c r="I208" s="4">
        <v>0</v>
      </c>
    </row>
    <row r="209" spans="1:9" x14ac:dyDescent="0.2">
      <c r="A209" s="2">
        <v>8</v>
      </c>
      <c r="B209" s="1" t="s">
        <v>85</v>
      </c>
      <c r="C209" s="4">
        <v>47</v>
      </c>
      <c r="D209" s="8">
        <v>3.32</v>
      </c>
      <c r="E209" s="4">
        <v>16</v>
      </c>
      <c r="F209" s="8">
        <v>1.87</v>
      </c>
      <c r="G209" s="4">
        <v>31</v>
      </c>
      <c r="H209" s="8">
        <v>5.76</v>
      </c>
      <c r="I209" s="4">
        <v>0</v>
      </c>
    </row>
    <row r="210" spans="1:9" x14ac:dyDescent="0.2">
      <c r="A210" s="2">
        <v>9</v>
      </c>
      <c r="B210" s="1" t="s">
        <v>90</v>
      </c>
      <c r="C210" s="4">
        <v>45</v>
      </c>
      <c r="D210" s="8">
        <v>3.18</v>
      </c>
      <c r="E210" s="4">
        <v>25</v>
      </c>
      <c r="F210" s="8">
        <v>2.92</v>
      </c>
      <c r="G210" s="4">
        <v>20</v>
      </c>
      <c r="H210" s="8">
        <v>3.72</v>
      </c>
      <c r="I210" s="4">
        <v>0</v>
      </c>
    </row>
    <row r="211" spans="1:9" x14ac:dyDescent="0.2">
      <c r="A211" s="2">
        <v>10</v>
      </c>
      <c r="B211" s="1" t="s">
        <v>100</v>
      </c>
      <c r="C211" s="4">
        <v>36</v>
      </c>
      <c r="D211" s="8">
        <v>2.5499999999999998</v>
      </c>
      <c r="E211" s="4">
        <v>34</v>
      </c>
      <c r="F211" s="8">
        <v>3.97</v>
      </c>
      <c r="G211" s="4">
        <v>2</v>
      </c>
      <c r="H211" s="8">
        <v>0.37</v>
      </c>
      <c r="I211" s="4">
        <v>0</v>
      </c>
    </row>
    <row r="212" spans="1:9" x14ac:dyDescent="0.2">
      <c r="A212" s="2">
        <v>11</v>
      </c>
      <c r="B212" s="1" t="s">
        <v>102</v>
      </c>
      <c r="C212" s="4">
        <v>32</v>
      </c>
      <c r="D212" s="8">
        <v>2.2599999999999998</v>
      </c>
      <c r="E212" s="4">
        <v>25</v>
      </c>
      <c r="F212" s="8">
        <v>2.92</v>
      </c>
      <c r="G212" s="4">
        <v>7</v>
      </c>
      <c r="H212" s="8">
        <v>1.3</v>
      </c>
      <c r="I212" s="4">
        <v>0</v>
      </c>
    </row>
    <row r="213" spans="1:9" x14ac:dyDescent="0.2">
      <c r="A213" s="2">
        <v>12</v>
      </c>
      <c r="B213" s="1" t="s">
        <v>88</v>
      </c>
      <c r="C213" s="4">
        <v>31</v>
      </c>
      <c r="D213" s="8">
        <v>2.19</v>
      </c>
      <c r="E213" s="4">
        <v>23</v>
      </c>
      <c r="F213" s="8">
        <v>2.68</v>
      </c>
      <c r="G213" s="4">
        <v>8</v>
      </c>
      <c r="H213" s="8">
        <v>1.49</v>
      </c>
      <c r="I213" s="4">
        <v>0</v>
      </c>
    </row>
    <row r="214" spans="1:9" x14ac:dyDescent="0.2">
      <c r="A214" s="2">
        <v>13</v>
      </c>
      <c r="B214" s="1" t="s">
        <v>99</v>
      </c>
      <c r="C214" s="4">
        <v>29</v>
      </c>
      <c r="D214" s="8">
        <v>2.0499999999999998</v>
      </c>
      <c r="E214" s="4">
        <v>19</v>
      </c>
      <c r="F214" s="8">
        <v>2.2200000000000002</v>
      </c>
      <c r="G214" s="4">
        <v>7</v>
      </c>
      <c r="H214" s="8">
        <v>1.3</v>
      </c>
      <c r="I214" s="4">
        <v>0</v>
      </c>
    </row>
    <row r="215" spans="1:9" x14ac:dyDescent="0.2">
      <c r="A215" s="2">
        <v>14</v>
      </c>
      <c r="B215" s="1" t="s">
        <v>101</v>
      </c>
      <c r="C215" s="4">
        <v>21</v>
      </c>
      <c r="D215" s="8">
        <v>1.49</v>
      </c>
      <c r="E215" s="4">
        <v>0</v>
      </c>
      <c r="F215" s="8">
        <v>0</v>
      </c>
      <c r="G215" s="4">
        <v>13</v>
      </c>
      <c r="H215" s="8">
        <v>2.42</v>
      </c>
      <c r="I215" s="4">
        <v>0</v>
      </c>
    </row>
    <row r="216" spans="1:9" x14ac:dyDescent="0.2">
      <c r="A216" s="2">
        <v>15</v>
      </c>
      <c r="B216" s="1" t="s">
        <v>115</v>
      </c>
      <c r="C216" s="4">
        <v>20</v>
      </c>
      <c r="D216" s="8">
        <v>1.41</v>
      </c>
      <c r="E216" s="4">
        <v>10</v>
      </c>
      <c r="F216" s="8">
        <v>1.17</v>
      </c>
      <c r="G216" s="4">
        <v>10</v>
      </c>
      <c r="H216" s="8">
        <v>1.86</v>
      </c>
      <c r="I216" s="4">
        <v>0</v>
      </c>
    </row>
    <row r="217" spans="1:9" x14ac:dyDescent="0.2">
      <c r="A217" s="2">
        <v>15</v>
      </c>
      <c r="B217" s="1" t="s">
        <v>93</v>
      </c>
      <c r="C217" s="4">
        <v>20</v>
      </c>
      <c r="D217" s="8">
        <v>1.41</v>
      </c>
      <c r="E217" s="4">
        <v>16</v>
      </c>
      <c r="F217" s="8">
        <v>1.87</v>
      </c>
      <c r="G217" s="4">
        <v>4</v>
      </c>
      <c r="H217" s="8">
        <v>0.74</v>
      </c>
      <c r="I217" s="4">
        <v>0</v>
      </c>
    </row>
    <row r="218" spans="1:9" x14ac:dyDescent="0.2">
      <c r="A218" s="2">
        <v>17</v>
      </c>
      <c r="B218" s="1" t="s">
        <v>98</v>
      </c>
      <c r="C218" s="4">
        <v>18</v>
      </c>
      <c r="D218" s="8">
        <v>1.27</v>
      </c>
      <c r="E218" s="4">
        <v>9</v>
      </c>
      <c r="F218" s="8">
        <v>1.05</v>
      </c>
      <c r="G218" s="4">
        <v>8</v>
      </c>
      <c r="H218" s="8">
        <v>1.49</v>
      </c>
      <c r="I218" s="4">
        <v>0</v>
      </c>
    </row>
    <row r="219" spans="1:9" x14ac:dyDescent="0.2">
      <c r="A219" s="2">
        <v>18</v>
      </c>
      <c r="B219" s="1" t="s">
        <v>106</v>
      </c>
      <c r="C219" s="4">
        <v>17</v>
      </c>
      <c r="D219" s="8">
        <v>1.2</v>
      </c>
      <c r="E219" s="4">
        <v>6</v>
      </c>
      <c r="F219" s="8">
        <v>0.7</v>
      </c>
      <c r="G219" s="4">
        <v>11</v>
      </c>
      <c r="H219" s="8">
        <v>2.04</v>
      </c>
      <c r="I219" s="4">
        <v>0</v>
      </c>
    </row>
    <row r="220" spans="1:9" x14ac:dyDescent="0.2">
      <c r="A220" s="2">
        <v>18</v>
      </c>
      <c r="B220" s="1" t="s">
        <v>94</v>
      </c>
      <c r="C220" s="4">
        <v>17</v>
      </c>
      <c r="D220" s="8">
        <v>1.2</v>
      </c>
      <c r="E220" s="4">
        <v>7</v>
      </c>
      <c r="F220" s="8">
        <v>0.82</v>
      </c>
      <c r="G220" s="4">
        <v>10</v>
      </c>
      <c r="H220" s="8">
        <v>1.86</v>
      </c>
      <c r="I220" s="4">
        <v>0</v>
      </c>
    </row>
    <row r="221" spans="1:9" x14ac:dyDescent="0.2">
      <c r="A221" s="2">
        <v>20</v>
      </c>
      <c r="B221" s="1" t="s">
        <v>110</v>
      </c>
      <c r="C221" s="4">
        <v>16</v>
      </c>
      <c r="D221" s="8">
        <v>1.1299999999999999</v>
      </c>
      <c r="E221" s="4">
        <v>7</v>
      </c>
      <c r="F221" s="8">
        <v>0.82</v>
      </c>
      <c r="G221" s="4">
        <v>9</v>
      </c>
      <c r="H221" s="8">
        <v>1.67</v>
      </c>
      <c r="I221" s="4">
        <v>0</v>
      </c>
    </row>
    <row r="222" spans="1:9" x14ac:dyDescent="0.2">
      <c r="A222" s="2">
        <v>20</v>
      </c>
      <c r="B222" s="1" t="s">
        <v>86</v>
      </c>
      <c r="C222" s="4">
        <v>16</v>
      </c>
      <c r="D222" s="8">
        <v>1.1299999999999999</v>
      </c>
      <c r="E222" s="4">
        <v>5</v>
      </c>
      <c r="F222" s="8">
        <v>0.57999999999999996</v>
      </c>
      <c r="G222" s="4">
        <v>11</v>
      </c>
      <c r="H222" s="8">
        <v>2.04</v>
      </c>
      <c r="I222" s="4">
        <v>0</v>
      </c>
    </row>
    <row r="223" spans="1:9" x14ac:dyDescent="0.2">
      <c r="A223" s="1"/>
      <c r="C223" s="4"/>
      <c r="D223" s="8"/>
      <c r="E223" s="4"/>
      <c r="F223" s="8"/>
      <c r="G223" s="4"/>
      <c r="H223" s="8"/>
      <c r="I223" s="4"/>
    </row>
    <row r="224" spans="1:9" x14ac:dyDescent="0.2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2">
      <c r="A225" s="2">
        <v>1</v>
      </c>
      <c r="B225" s="1" t="s">
        <v>97</v>
      </c>
      <c r="C225" s="4">
        <v>113</v>
      </c>
      <c r="D225" s="8">
        <v>11.33</v>
      </c>
      <c r="E225" s="4">
        <v>106</v>
      </c>
      <c r="F225" s="8">
        <v>18</v>
      </c>
      <c r="G225" s="4">
        <v>7</v>
      </c>
      <c r="H225" s="8">
        <v>1.77</v>
      </c>
      <c r="I225" s="4">
        <v>0</v>
      </c>
    </row>
    <row r="226" spans="1:9" x14ac:dyDescent="0.2">
      <c r="A226" s="2">
        <v>2</v>
      </c>
      <c r="B226" s="1" t="s">
        <v>83</v>
      </c>
      <c r="C226" s="4">
        <v>105</v>
      </c>
      <c r="D226" s="8">
        <v>10.53</v>
      </c>
      <c r="E226" s="4">
        <v>50</v>
      </c>
      <c r="F226" s="8">
        <v>8.49</v>
      </c>
      <c r="G226" s="4">
        <v>55</v>
      </c>
      <c r="H226" s="8">
        <v>13.89</v>
      </c>
      <c r="I226" s="4">
        <v>0</v>
      </c>
    </row>
    <row r="227" spans="1:9" x14ac:dyDescent="0.2">
      <c r="A227" s="2">
        <v>3</v>
      </c>
      <c r="B227" s="1" t="s">
        <v>91</v>
      </c>
      <c r="C227" s="4">
        <v>96</v>
      </c>
      <c r="D227" s="8">
        <v>9.6300000000000008</v>
      </c>
      <c r="E227" s="4">
        <v>48</v>
      </c>
      <c r="F227" s="8">
        <v>8.15</v>
      </c>
      <c r="G227" s="4">
        <v>48</v>
      </c>
      <c r="H227" s="8">
        <v>12.12</v>
      </c>
      <c r="I227" s="4">
        <v>0</v>
      </c>
    </row>
    <row r="228" spans="1:9" x14ac:dyDescent="0.2">
      <c r="A228" s="2">
        <v>4</v>
      </c>
      <c r="B228" s="1" t="s">
        <v>84</v>
      </c>
      <c r="C228" s="4">
        <v>94</v>
      </c>
      <c r="D228" s="8">
        <v>9.43</v>
      </c>
      <c r="E228" s="4">
        <v>53</v>
      </c>
      <c r="F228" s="8">
        <v>9</v>
      </c>
      <c r="G228" s="4">
        <v>41</v>
      </c>
      <c r="H228" s="8">
        <v>10.35</v>
      </c>
      <c r="I228" s="4">
        <v>0</v>
      </c>
    </row>
    <row r="229" spans="1:9" x14ac:dyDescent="0.2">
      <c r="A229" s="2">
        <v>5</v>
      </c>
      <c r="B229" s="1" t="s">
        <v>89</v>
      </c>
      <c r="C229" s="4">
        <v>79</v>
      </c>
      <c r="D229" s="8">
        <v>7.92</v>
      </c>
      <c r="E229" s="4">
        <v>64</v>
      </c>
      <c r="F229" s="8">
        <v>10.87</v>
      </c>
      <c r="G229" s="4">
        <v>15</v>
      </c>
      <c r="H229" s="8">
        <v>3.79</v>
      </c>
      <c r="I229" s="4">
        <v>0</v>
      </c>
    </row>
    <row r="230" spans="1:9" x14ac:dyDescent="0.2">
      <c r="A230" s="2">
        <v>6</v>
      </c>
      <c r="B230" s="1" t="s">
        <v>96</v>
      </c>
      <c r="C230" s="4">
        <v>51</v>
      </c>
      <c r="D230" s="8">
        <v>5.12</v>
      </c>
      <c r="E230" s="4">
        <v>43</v>
      </c>
      <c r="F230" s="8">
        <v>7.3</v>
      </c>
      <c r="G230" s="4">
        <v>8</v>
      </c>
      <c r="H230" s="8">
        <v>2.02</v>
      </c>
      <c r="I230" s="4">
        <v>0</v>
      </c>
    </row>
    <row r="231" spans="1:9" x14ac:dyDescent="0.2">
      <c r="A231" s="2">
        <v>7</v>
      </c>
      <c r="B231" s="1" t="s">
        <v>90</v>
      </c>
      <c r="C231" s="4">
        <v>38</v>
      </c>
      <c r="D231" s="8">
        <v>3.81</v>
      </c>
      <c r="E231" s="4">
        <v>22</v>
      </c>
      <c r="F231" s="8">
        <v>3.74</v>
      </c>
      <c r="G231" s="4">
        <v>16</v>
      </c>
      <c r="H231" s="8">
        <v>4.04</v>
      </c>
      <c r="I231" s="4">
        <v>0</v>
      </c>
    </row>
    <row r="232" spans="1:9" x14ac:dyDescent="0.2">
      <c r="A232" s="2">
        <v>8</v>
      </c>
      <c r="B232" s="1" t="s">
        <v>92</v>
      </c>
      <c r="C232" s="4">
        <v>30</v>
      </c>
      <c r="D232" s="8">
        <v>3.01</v>
      </c>
      <c r="E232" s="4">
        <v>22</v>
      </c>
      <c r="F232" s="8">
        <v>3.74</v>
      </c>
      <c r="G232" s="4">
        <v>8</v>
      </c>
      <c r="H232" s="8">
        <v>2.02</v>
      </c>
      <c r="I232" s="4">
        <v>0</v>
      </c>
    </row>
    <row r="233" spans="1:9" x14ac:dyDescent="0.2">
      <c r="A233" s="2">
        <v>8</v>
      </c>
      <c r="B233" s="1" t="s">
        <v>102</v>
      </c>
      <c r="C233" s="4">
        <v>30</v>
      </c>
      <c r="D233" s="8">
        <v>3.01</v>
      </c>
      <c r="E233" s="4">
        <v>20</v>
      </c>
      <c r="F233" s="8">
        <v>3.4</v>
      </c>
      <c r="G233" s="4">
        <v>10</v>
      </c>
      <c r="H233" s="8">
        <v>2.5299999999999998</v>
      </c>
      <c r="I233" s="4">
        <v>0</v>
      </c>
    </row>
    <row r="234" spans="1:9" x14ac:dyDescent="0.2">
      <c r="A234" s="2">
        <v>10</v>
      </c>
      <c r="B234" s="1" t="s">
        <v>85</v>
      </c>
      <c r="C234" s="4">
        <v>29</v>
      </c>
      <c r="D234" s="8">
        <v>2.91</v>
      </c>
      <c r="E234" s="4">
        <v>12</v>
      </c>
      <c r="F234" s="8">
        <v>2.04</v>
      </c>
      <c r="G234" s="4">
        <v>17</v>
      </c>
      <c r="H234" s="8">
        <v>4.29</v>
      </c>
      <c r="I234" s="4">
        <v>0</v>
      </c>
    </row>
    <row r="235" spans="1:9" x14ac:dyDescent="0.2">
      <c r="A235" s="2">
        <v>10</v>
      </c>
      <c r="B235" s="1" t="s">
        <v>88</v>
      </c>
      <c r="C235" s="4">
        <v>29</v>
      </c>
      <c r="D235" s="8">
        <v>2.91</v>
      </c>
      <c r="E235" s="4">
        <v>23</v>
      </c>
      <c r="F235" s="8">
        <v>3.9</v>
      </c>
      <c r="G235" s="4">
        <v>6</v>
      </c>
      <c r="H235" s="8">
        <v>1.52</v>
      </c>
      <c r="I235" s="4">
        <v>0</v>
      </c>
    </row>
    <row r="236" spans="1:9" x14ac:dyDescent="0.2">
      <c r="A236" s="2">
        <v>12</v>
      </c>
      <c r="B236" s="1" t="s">
        <v>100</v>
      </c>
      <c r="C236" s="4">
        <v>22</v>
      </c>
      <c r="D236" s="8">
        <v>2.21</v>
      </c>
      <c r="E236" s="4">
        <v>16</v>
      </c>
      <c r="F236" s="8">
        <v>2.72</v>
      </c>
      <c r="G236" s="4">
        <v>5</v>
      </c>
      <c r="H236" s="8">
        <v>1.26</v>
      </c>
      <c r="I236" s="4">
        <v>0</v>
      </c>
    </row>
    <row r="237" spans="1:9" x14ac:dyDescent="0.2">
      <c r="A237" s="2">
        <v>13</v>
      </c>
      <c r="B237" s="1" t="s">
        <v>101</v>
      </c>
      <c r="C237" s="4">
        <v>21</v>
      </c>
      <c r="D237" s="8">
        <v>2.11</v>
      </c>
      <c r="E237" s="4">
        <v>0</v>
      </c>
      <c r="F237" s="8">
        <v>0</v>
      </c>
      <c r="G237" s="4">
        <v>16</v>
      </c>
      <c r="H237" s="8">
        <v>4.04</v>
      </c>
      <c r="I237" s="4">
        <v>0</v>
      </c>
    </row>
    <row r="238" spans="1:9" x14ac:dyDescent="0.2">
      <c r="A238" s="2">
        <v>14</v>
      </c>
      <c r="B238" s="1" t="s">
        <v>99</v>
      </c>
      <c r="C238" s="4">
        <v>20</v>
      </c>
      <c r="D238" s="8">
        <v>2.0099999999999998</v>
      </c>
      <c r="E238" s="4">
        <v>13</v>
      </c>
      <c r="F238" s="8">
        <v>2.21</v>
      </c>
      <c r="G238" s="4">
        <v>3</v>
      </c>
      <c r="H238" s="8">
        <v>0.76</v>
      </c>
      <c r="I238" s="4">
        <v>0</v>
      </c>
    </row>
    <row r="239" spans="1:9" x14ac:dyDescent="0.2">
      <c r="A239" s="2">
        <v>15</v>
      </c>
      <c r="B239" s="1" t="s">
        <v>86</v>
      </c>
      <c r="C239" s="4">
        <v>17</v>
      </c>
      <c r="D239" s="8">
        <v>1.71</v>
      </c>
      <c r="E239" s="4">
        <v>4</v>
      </c>
      <c r="F239" s="8">
        <v>0.68</v>
      </c>
      <c r="G239" s="4">
        <v>13</v>
      </c>
      <c r="H239" s="8">
        <v>3.28</v>
      </c>
      <c r="I239" s="4">
        <v>0</v>
      </c>
    </row>
    <row r="240" spans="1:9" x14ac:dyDescent="0.2">
      <c r="A240" s="2">
        <v>16</v>
      </c>
      <c r="B240" s="1" t="s">
        <v>94</v>
      </c>
      <c r="C240" s="4">
        <v>16</v>
      </c>
      <c r="D240" s="8">
        <v>1.6</v>
      </c>
      <c r="E240" s="4">
        <v>5</v>
      </c>
      <c r="F240" s="8">
        <v>0.85</v>
      </c>
      <c r="G240" s="4">
        <v>10</v>
      </c>
      <c r="H240" s="8">
        <v>2.5299999999999998</v>
      </c>
      <c r="I240" s="4">
        <v>1</v>
      </c>
    </row>
    <row r="241" spans="1:9" x14ac:dyDescent="0.2">
      <c r="A241" s="2">
        <v>17</v>
      </c>
      <c r="B241" s="1" t="s">
        <v>116</v>
      </c>
      <c r="C241" s="4">
        <v>15</v>
      </c>
      <c r="D241" s="8">
        <v>1.5</v>
      </c>
      <c r="E241" s="4">
        <v>9</v>
      </c>
      <c r="F241" s="8">
        <v>1.53</v>
      </c>
      <c r="G241" s="4">
        <v>6</v>
      </c>
      <c r="H241" s="8">
        <v>1.52</v>
      </c>
      <c r="I241" s="4">
        <v>0</v>
      </c>
    </row>
    <row r="242" spans="1:9" x14ac:dyDescent="0.2">
      <c r="A242" s="2">
        <v>18</v>
      </c>
      <c r="B242" s="1" t="s">
        <v>111</v>
      </c>
      <c r="C242" s="4">
        <v>14</v>
      </c>
      <c r="D242" s="8">
        <v>1.4</v>
      </c>
      <c r="E242" s="4">
        <v>5</v>
      </c>
      <c r="F242" s="8">
        <v>0.85</v>
      </c>
      <c r="G242" s="4">
        <v>9</v>
      </c>
      <c r="H242" s="8">
        <v>2.27</v>
      </c>
      <c r="I242" s="4">
        <v>0</v>
      </c>
    </row>
    <row r="243" spans="1:9" x14ac:dyDescent="0.2">
      <c r="A243" s="2">
        <v>18</v>
      </c>
      <c r="B243" s="1" t="s">
        <v>93</v>
      </c>
      <c r="C243" s="4">
        <v>14</v>
      </c>
      <c r="D243" s="8">
        <v>1.4</v>
      </c>
      <c r="E243" s="4">
        <v>8</v>
      </c>
      <c r="F243" s="8">
        <v>1.36</v>
      </c>
      <c r="G243" s="4">
        <v>6</v>
      </c>
      <c r="H243" s="8">
        <v>1.52</v>
      </c>
      <c r="I243" s="4">
        <v>0</v>
      </c>
    </row>
    <row r="244" spans="1:9" x14ac:dyDescent="0.2">
      <c r="A244" s="2">
        <v>18</v>
      </c>
      <c r="B244" s="1" t="s">
        <v>98</v>
      </c>
      <c r="C244" s="4">
        <v>14</v>
      </c>
      <c r="D244" s="8">
        <v>1.4</v>
      </c>
      <c r="E244" s="4">
        <v>9</v>
      </c>
      <c r="F244" s="8">
        <v>1.53</v>
      </c>
      <c r="G244" s="4">
        <v>5</v>
      </c>
      <c r="H244" s="8">
        <v>1.26</v>
      </c>
      <c r="I244" s="4">
        <v>0</v>
      </c>
    </row>
    <row r="245" spans="1:9" x14ac:dyDescent="0.2">
      <c r="A245" s="1"/>
      <c r="C245" s="4"/>
      <c r="D245" s="8"/>
      <c r="E245" s="4"/>
      <c r="F245" s="8"/>
      <c r="G245" s="4"/>
      <c r="H245" s="8"/>
      <c r="I245" s="4"/>
    </row>
    <row r="246" spans="1:9" x14ac:dyDescent="0.2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2">
      <c r="A247" s="2">
        <v>1</v>
      </c>
      <c r="B247" s="1" t="s">
        <v>97</v>
      </c>
      <c r="C247" s="4">
        <v>174</v>
      </c>
      <c r="D247" s="8">
        <v>11.45</v>
      </c>
      <c r="E247" s="4">
        <v>151</v>
      </c>
      <c r="F247" s="8">
        <v>18.920000000000002</v>
      </c>
      <c r="G247" s="4">
        <v>23</v>
      </c>
      <c r="H247" s="8">
        <v>3.34</v>
      </c>
      <c r="I247" s="4">
        <v>0</v>
      </c>
    </row>
    <row r="248" spans="1:9" x14ac:dyDescent="0.2">
      <c r="A248" s="2">
        <v>2</v>
      </c>
      <c r="B248" s="1" t="s">
        <v>96</v>
      </c>
      <c r="C248" s="4">
        <v>121</v>
      </c>
      <c r="D248" s="8">
        <v>7.97</v>
      </c>
      <c r="E248" s="4">
        <v>105</v>
      </c>
      <c r="F248" s="8">
        <v>13.16</v>
      </c>
      <c r="G248" s="4">
        <v>16</v>
      </c>
      <c r="H248" s="8">
        <v>2.33</v>
      </c>
      <c r="I248" s="4">
        <v>0</v>
      </c>
    </row>
    <row r="249" spans="1:9" x14ac:dyDescent="0.2">
      <c r="A249" s="2">
        <v>3</v>
      </c>
      <c r="B249" s="1" t="s">
        <v>92</v>
      </c>
      <c r="C249" s="4">
        <v>118</v>
      </c>
      <c r="D249" s="8">
        <v>7.77</v>
      </c>
      <c r="E249" s="4">
        <v>83</v>
      </c>
      <c r="F249" s="8">
        <v>10.4</v>
      </c>
      <c r="G249" s="4">
        <v>35</v>
      </c>
      <c r="H249" s="8">
        <v>5.09</v>
      </c>
      <c r="I249" s="4">
        <v>0</v>
      </c>
    </row>
    <row r="250" spans="1:9" x14ac:dyDescent="0.2">
      <c r="A250" s="2">
        <v>4</v>
      </c>
      <c r="B250" s="1" t="s">
        <v>91</v>
      </c>
      <c r="C250" s="4">
        <v>112</v>
      </c>
      <c r="D250" s="8">
        <v>7.37</v>
      </c>
      <c r="E250" s="4">
        <v>57</v>
      </c>
      <c r="F250" s="8">
        <v>7.14</v>
      </c>
      <c r="G250" s="4">
        <v>55</v>
      </c>
      <c r="H250" s="8">
        <v>7.99</v>
      </c>
      <c r="I250" s="4">
        <v>0</v>
      </c>
    </row>
    <row r="251" spans="1:9" x14ac:dyDescent="0.2">
      <c r="A251" s="2">
        <v>5</v>
      </c>
      <c r="B251" s="1" t="s">
        <v>83</v>
      </c>
      <c r="C251" s="4">
        <v>104</v>
      </c>
      <c r="D251" s="8">
        <v>6.85</v>
      </c>
      <c r="E251" s="4">
        <v>25</v>
      </c>
      <c r="F251" s="8">
        <v>3.13</v>
      </c>
      <c r="G251" s="4">
        <v>79</v>
      </c>
      <c r="H251" s="8">
        <v>11.48</v>
      </c>
      <c r="I251" s="4">
        <v>0</v>
      </c>
    </row>
    <row r="252" spans="1:9" x14ac:dyDescent="0.2">
      <c r="A252" s="2">
        <v>6</v>
      </c>
      <c r="B252" s="1" t="s">
        <v>84</v>
      </c>
      <c r="C252" s="4">
        <v>71</v>
      </c>
      <c r="D252" s="8">
        <v>4.67</v>
      </c>
      <c r="E252" s="4">
        <v>25</v>
      </c>
      <c r="F252" s="8">
        <v>3.13</v>
      </c>
      <c r="G252" s="4">
        <v>46</v>
      </c>
      <c r="H252" s="8">
        <v>6.69</v>
      </c>
      <c r="I252" s="4">
        <v>0</v>
      </c>
    </row>
    <row r="253" spans="1:9" x14ac:dyDescent="0.2">
      <c r="A253" s="2">
        <v>7</v>
      </c>
      <c r="B253" s="1" t="s">
        <v>89</v>
      </c>
      <c r="C253" s="4">
        <v>67</v>
      </c>
      <c r="D253" s="8">
        <v>4.41</v>
      </c>
      <c r="E253" s="4">
        <v>48</v>
      </c>
      <c r="F253" s="8">
        <v>6.02</v>
      </c>
      <c r="G253" s="4">
        <v>18</v>
      </c>
      <c r="H253" s="8">
        <v>2.62</v>
      </c>
      <c r="I253" s="4">
        <v>1</v>
      </c>
    </row>
    <row r="254" spans="1:9" x14ac:dyDescent="0.2">
      <c r="A254" s="2">
        <v>8</v>
      </c>
      <c r="B254" s="1" t="s">
        <v>85</v>
      </c>
      <c r="C254" s="4">
        <v>59</v>
      </c>
      <c r="D254" s="8">
        <v>3.88</v>
      </c>
      <c r="E254" s="4">
        <v>9</v>
      </c>
      <c r="F254" s="8">
        <v>1.1299999999999999</v>
      </c>
      <c r="G254" s="4">
        <v>50</v>
      </c>
      <c r="H254" s="8">
        <v>7.27</v>
      </c>
      <c r="I254" s="4">
        <v>0</v>
      </c>
    </row>
    <row r="255" spans="1:9" x14ac:dyDescent="0.2">
      <c r="A255" s="2">
        <v>9</v>
      </c>
      <c r="B255" s="1" t="s">
        <v>100</v>
      </c>
      <c r="C255" s="4">
        <v>53</v>
      </c>
      <c r="D255" s="8">
        <v>3.49</v>
      </c>
      <c r="E255" s="4">
        <v>46</v>
      </c>
      <c r="F255" s="8">
        <v>5.76</v>
      </c>
      <c r="G255" s="4">
        <v>7</v>
      </c>
      <c r="H255" s="8">
        <v>1.02</v>
      </c>
      <c r="I255" s="4">
        <v>0</v>
      </c>
    </row>
    <row r="256" spans="1:9" x14ac:dyDescent="0.2">
      <c r="A256" s="2">
        <v>10</v>
      </c>
      <c r="B256" s="1" t="s">
        <v>99</v>
      </c>
      <c r="C256" s="4">
        <v>51</v>
      </c>
      <c r="D256" s="8">
        <v>3.36</v>
      </c>
      <c r="E256" s="4">
        <v>35</v>
      </c>
      <c r="F256" s="8">
        <v>4.3899999999999997</v>
      </c>
      <c r="G256" s="4">
        <v>7</v>
      </c>
      <c r="H256" s="8">
        <v>1.02</v>
      </c>
      <c r="I256" s="4">
        <v>1</v>
      </c>
    </row>
    <row r="257" spans="1:9" x14ac:dyDescent="0.2">
      <c r="A257" s="2">
        <v>11</v>
      </c>
      <c r="B257" s="1" t="s">
        <v>90</v>
      </c>
      <c r="C257" s="4">
        <v>45</v>
      </c>
      <c r="D257" s="8">
        <v>2.96</v>
      </c>
      <c r="E257" s="4">
        <v>29</v>
      </c>
      <c r="F257" s="8">
        <v>3.63</v>
      </c>
      <c r="G257" s="4">
        <v>16</v>
      </c>
      <c r="H257" s="8">
        <v>2.33</v>
      </c>
      <c r="I257" s="4">
        <v>0</v>
      </c>
    </row>
    <row r="258" spans="1:9" x14ac:dyDescent="0.2">
      <c r="A258" s="2">
        <v>12</v>
      </c>
      <c r="B258" s="1" t="s">
        <v>88</v>
      </c>
      <c r="C258" s="4">
        <v>43</v>
      </c>
      <c r="D258" s="8">
        <v>2.83</v>
      </c>
      <c r="E258" s="4">
        <v>23</v>
      </c>
      <c r="F258" s="8">
        <v>2.88</v>
      </c>
      <c r="G258" s="4">
        <v>20</v>
      </c>
      <c r="H258" s="8">
        <v>2.91</v>
      </c>
      <c r="I258" s="4">
        <v>0</v>
      </c>
    </row>
    <row r="259" spans="1:9" x14ac:dyDescent="0.2">
      <c r="A259" s="2">
        <v>13</v>
      </c>
      <c r="B259" s="1" t="s">
        <v>94</v>
      </c>
      <c r="C259" s="4">
        <v>37</v>
      </c>
      <c r="D259" s="8">
        <v>2.44</v>
      </c>
      <c r="E259" s="4">
        <v>16</v>
      </c>
      <c r="F259" s="8">
        <v>2.0099999999999998</v>
      </c>
      <c r="G259" s="4">
        <v>21</v>
      </c>
      <c r="H259" s="8">
        <v>3.05</v>
      </c>
      <c r="I259" s="4">
        <v>0</v>
      </c>
    </row>
    <row r="260" spans="1:9" x14ac:dyDescent="0.2">
      <c r="A260" s="2">
        <v>14</v>
      </c>
      <c r="B260" s="1" t="s">
        <v>101</v>
      </c>
      <c r="C260" s="4">
        <v>36</v>
      </c>
      <c r="D260" s="8">
        <v>2.37</v>
      </c>
      <c r="E260" s="4">
        <v>0</v>
      </c>
      <c r="F260" s="8">
        <v>0</v>
      </c>
      <c r="G260" s="4">
        <v>17</v>
      </c>
      <c r="H260" s="8">
        <v>2.4700000000000002</v>
      </c>
      <c r="I260" s="4">
        <v>0</v>
      </c>
    </row>
    <row r="261" spans="1:9" x14ac:dyDescent="0.2">
      <c r="A261" s="2">
        <v>15</v>
      </c>
      <c r="B261" s="1" t="s">
        <v>86</v>
      </c>
      <c r="C261" s="4">
        <v>31</v>
      </c>
      <c r="D261" s="8">
        <v>2.04</v>
      </c>
      <c r="E261" s="4">
        <v>4</v>
      </c>
      <c r="F261" s="8">
        <v>0.5</v>
      </c>
      <c r="G261" s="4">
        <v>27</v>
      </c>
      <c r="H261" s="8">
        <v>3.92</v>
      </c>
      <c r="I261" s="4">
        <v>0</v>
      </c>
    </row>
    <row r="262" spans="1:9" x14ac:dyDescent="0.2">
      <c r="A262" s="2">
        <v>16</v>
      </c>
      <c r="B262" s="1" t="s">
        <v>93</v>
      </c>
      <c r="C262" s="4">
        <v>30</v>
      </c>
      <c r="D262" s="8">
        <v>1.97</v>
      </c>
      <c r="E262" s="4">
        <v>19</v>
      </c>
      <c r="F262" s="8">
        <v>2.38</v>
      </c>
      <c r="G262" s="4">
        <v>11</v>
      </c>
      <c r="H262" s="8">
        <v>1.6</v>
      </c>
      <c r="I262" s="4">
        <v>0</v>
      </c>
    </row>
    <row r="263" spans="1:9" x14ac:dyDescent="0.2">
      <c r="A263" s="2">
        <v>17</v>
      </c>
      <c r="B263" s="1" t="s">
        <v>102</v>
      </c>
      <c r="C263" s="4">
        <v>28</v>
      </c>
      <c r="D263" s="8">
        <v>1.84</v>
      </c>
      <c r="E263" s="4">
        <v>21</v>
      </c>
      <c r="F263" s="8">
        <v>2.63</v>
      </c>
      <c r="G263" s="4">
        <v>7</v>
      </c>
      <c r="H263" s="8">
        <v>1.02</v>
      </c>
      <c r="I263" s="4">
        <v>0</v>
      </c>
    </row>
    <row r="264" spans="1:9" x14ac:dyDescent="0.2">
      <c r="A264" s="2">
        <v>18</v>
      </c>
      <c r="B264" s="1" t="s">
        <v>114</v>
      </c>
      <c r="C264" s="4">
        <v>27</v>
      </c>
      <c r="D264" s="8">
        <v>1.78</v>
      </c>
      <c r="E264" s="4">
        <v>8</v>
      </c>
      <c r="F264" s="8">
        <v>1</v>
      </c>
      <c r="G264" s="4">
        <v>19</v>
      </c>
      <c r="H264" s="8">
        <v>2.76</v>
      </c>
      <c r="I264" s="4">
        <v>0</v>
      </c>
    </row>
    <row r="265" spans="1:9" x14ac:dyDescent="0.2">
      <c r="A265" s="2">
        <v>19</v>
      </c>
      <c r="B265" s="1" t="s">
        <v>87</v>
      </c>
      <c r="C265" s="4">
        <v>21</v>
      </c>
      <c r="D265" s="8">
        <v>1.38</v>
      </c>
      <c r="E265" s="4">
        <v>5</v>
      </c>
      <c r="F265" s="8">
        <v>0.63</v>
      </c>
      <c r="G265" s="4">
        <v>16</v>
      </c>
      <c r="H265" s="8">
        <v>2.33</v>
      </c>
      <c r="I265" s="4">
        <v>0</v>
      </c>
    </row>
    <row r="266" spans="1:9" x14ac:dyDescent="0.2">
      <c r="A266" s="2">
        <v>20</v>
      </c>
      <c r="B266" s="1" t="s">
        <v>98</v>
      </c>
      <c r="C266" s="4">
        <v>20</v>
      </c>
      <c r="D266" s="8">
        <v>1.32</v>
      </c>
      <c r="E266" s="4">
        <v>12</v>
      </c>
      <c r="F266" s="8">
        <v>1.5</v>
      </c>
      <c r="G266" s="4">
        <v>8</v>
      </c>
      <c r="H266" s="8">
        <v>1.1599999999999999</v>
      </c>
      <c r="I266" s="4">
        <v>0</v>
      </c>
    </row>
    <row r="267" spans="1:9" x14ac:dyDescent="0.2">
      <c r="A267" s="1"/>
      <c r="C267" s="4"/>
      <c r="D267" s="8"/>
      <c r="E267" s="4"/>
      <c r="F267" s="8"/>
      <c r="G267" s="4"/>
      <c r="H267" s="8"/>
      <c r="I267" s="4"/>
    </row>
    <row r="268" spans="1:9" x14ac:dyDescent="0.2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2">
      <c r="A269" s="2">
        <v>1</v>
      </c>
      <c r="B269" s="1" t="s">
        <v>97</v>
      </c>
      <c r="C269" s="4">
        <v>173</v>
      </c>
      <c r="D269" s="8">
        <v>11.37</v>
      </c>
      <c r="E269" s="4">
        <v>155</v>
      </c>
      <c r="F269" s="8">
        <v>15.98</v>
      </c>
      <c r="G269" s="4">
        <v>18</v>
      </c>
      <c r="H269" s="8">
        <v>3.35</v>
      </c>
      <c r="I269" s="4">
        <v>0</v>
      </c>
    </row>
    <row r="270" spans="1:9" x14ac:dyDescent="0.2">
      <c r="A270" s="2">
        <v>2</v>
      </c>
      <c r="B270" s="1" t="s">
        <v>92</v>
      </c>
      <c r="C270" s="4">
        <v>168</v>
      </c>
      <c r="D270" s="8">
        <v>11.05</v>
      </c>
      <c r="E270" s="4">
        <v>134</v>
      </c>
      <c r="F270" s="8">
        <v>13.81</v>
      </c>
      <c r="G270" s="4">
        <v>34</v>
      </c>
      <c r="H270" s="8">
        <v>6.32</v>
      </c>
      <c r="I270" s="4">
        <v>0</v>
      </c>
    </row>
    <row r="271" spans="1:9" x14ac:dyDescent="0.2">
      <c r="A271" s="2">
        <v>3</v>
      </c>
      <c r="B271" s="1" t="s">
        <v>91</v>
      </c>
      <c r="C271" s="4">
        <v>136</v>
      </c>
      <c r="D271" s="8">
        <v>8.94</v>
      </c>
      <c r="E271" s="4">
        <v>77</v>
      </c>
      <c r="F271" s="8">
        <v>7.94</v>
      </c>
      <c r="G271" s="4">
        <v>57</v>
      </c>
      <c r="H271" s="8">
        <v>10.59</v>
      </c>
      <c r="I271" s="4">
        <v>2</v>
      </c>
    </row>
    <row r="272" spans="1:9" x14ac:dyDescent="0.2">
      <c r="A272" s="2">
        <v>4</v>
      </c>
      <c r="B272" s="1" t="s">
        <v>83</v>
      </c>
      <c r="C272" s="4">
        <v>126</v>
      </c>
      <c r="D272" s="8">
        <v>8.2799999999999994</v>
      </c>
      <c r="E272" s="4">
        <v>57</v>
      </c>
      <c r="F272" s="8">
        <v>5.88</v>
      </c>
      <c r="G272" s="4">
        <v>69</v>
      </c>
      <c r="H272" s="8">
        <v>12.83</v>
      </c>
      <c r="I272" s="4">
        <v>0</v>
      </c>
    </row>
    <row r="273" spans="1:9" x14ac:dyDescent="0.2">
      <c r="A273" s="2">
        <v>5</v>
      </c>
      <c r="B273" s="1" t="s">
        <v>84</v>
      </c>
      <c r="C273" s="4">
        <v>120</v>
      </c>
      <c r="D273" s="8">
        <v>7.89</v>
      </c>
      <c r="E273" s="4">
        <v>83</v>
      </c>
      <c r="F273" s="8">
        <v>8.56</v>
      </c>
      <c r="G273" s="4">
        <v>37</v>
      </c>
      <c r="H273" s="8">
        <v>6.88</v>
      </c>
      <c r="I273" s="4">
        <v>0</v>
      </c>
    </row>
    <row r="274" spans="1:9" x14ac:dyDescent="0.2">
      <c r="A274" s="2">
        <v>6</v>
      </c>
      <c r="B274" s="1" t="s">
        <v>96</v>
      </c>
      <c r="C274" s="4">
        <v>112</v>
      </c>
      <c r="D274" s="8">
        <v>7.36</v>
      </c>
      <c r="E274" s="4">
        <v>104</v>
      </c>
      <c r="F274" s="8">
        <v>10.72</v>
      </c>
      <c r="G274" s="4">
        <v>8</v>
      </c>
      <c r="H274" s="8">
        <v>1.49</v>
      </c>
      <c r="I274" s="4">
        <v>0</v>
      </c>
    </row>
    <row r="275" spans="1:9" x14ac:dyDescent="0.2">
      <c r="A275" s="2">
        <v>7</v>
      </c>
      <c r="B275" s="1" t="s">
        <v>89</v>
      </c>
      <c r="C275" s="4">
        <v>94</v>
      </c>
      <c r="D275" s="8">
        <v>6.18</v>
      </c>
      <c r="E275" s="4">
        <v>72</v>
      </c>
      <c r="F275" s="8">
        <v>7.42</v>
      </c>
      <c r="G275" s="4">
        <v>21</v>
      </c>
      <c r="H275" s="8">
        <v>3.9</v>
      </c>
      <c r="I275" s="4">
        <v>1</v>
      </c>
    </row>
    <row r="276" spans="1:9" x14ac:dyDescent="0.2">
      <c r="A276" s="2">
        <v>8</v>
      </c>
      <c r="B276" s="1" t="s">
        <v>90</v>
      </c>
      <c r="C276" s="4">
        <v>60</v>
      </c>
      <c r="D276" s="8">
        <v>3.94</v>
      </c>
      <c r="E276" s="4">
        <v>36</v>
      </c>
      <c r="F276" s="8">
        <v>3.71</v>
      </c>
      <c r="G276" s="4">
        <v>24</v>
      </c>
      <c r="H276" s="8">
        <v>4.46</v>
      </c>
      <c r="I276" s="4">
        <v>0</v>
      </c>
    </row>
    <row r="277" spans="1:9" x14ac:dyDescent="0.2">
      <c r="A277" s="2">
        <v>9</v>
      </c>
      <c r="B277" s="1" t="s">
        <v>85</v>
      </c>
      <c r="C277" s="4">
        <v>48</v>
      </c>
      <c r="D277" s="8">
        <v>3.16</v>
      </c>
      <c r="E277" s="4">
        <v>13</v>
      </c>
      <c r="F277" s="8">
        <v>1.34</v>
      </c>
      <c r="G277" s="4">
        <v>35</v>
      </c>
      <c r="H277" s="8">
        <v>6.51</v>
      </c>
      <c r="I277" s="4">
        <v>0</v>
      </c>
    </row>
    <row r="278" spans="1:9" x14ac:dyDescent="0.2">
      <c r="A278" s="2">
        <v>10</v>
      </c>
      <c r="B278" s="1" t="s">
        <v>100</v>
      </c>
      <c r="C278" s="4">
        <v>34</v>
      </c>
      <c r="D278" s="8">
        <v>2.2400000000000002</v>
      </c>
      <c r="E278" s="4">
        <v>33</v>
      </c>
      <c r="F278" s="8">
        <v>3.4</v>
      </c>
      <c r="G278" s="4">
        <v>1</v>
      </c>
      <c r="H278" s="8">
        <v>0.19</v>
      </c>
      <c r="I278" s="4">
        <v>0</v>
      </c>
    </row>
    <row r="279" spans="1:9" x14ac:dyDescent="0.2">
      <c r="A279" s="2">
        <v>11</v>
      </c>
      <c r="B279" s="1" t="s">
        <v>99</v>
      </c>
      <c r="C279" s="4">
        <v>31</v>
      </c>
      <c r="D279" s="8">
        <v>2.04</v>
      </c>
      <c r="E279" s="4">
        <v>22</v>
      </c>
      <c r="F279" s="8">
        <v>2.27</v>
      </c>
      <c r="G279" s="4">
        <v>7</v>
      </c>
      <c r="H279" s="8">
        <v>1.3</v>
      </c>
      <c r="I279" s="4">
        <v>2</v>
      </c>
    </row>
    <row r="280" spans="1:9" x14ac:dyDescent="0.2">
      <c r="A280" s="2">
        <v>12</v>
      </c>
      <c r="B280" s="1" t="s">
        <v>102</v>
      </c>
      <c r="C280" s="4">
        <v>29</v>
      </c>
      <c r="D280" s="8">
        <v>1.91</v>
      </c>
      <c r="E280" s="4">
        <v>23</v>
      </c>
      <c r="F280" s="8">
        <v>2.37</v>
      </c>
      <c r="G280" s="4">
        <v>6</v>
      </c>
      <c r="H280" s="8">
        <v>1.1200000000000001</v>
      </c>
      <c r="I280" s="4">
        <v>0</v>
      </c>
    </row>
    <row r="281" spans="1:9" x14ac:dyDescent="0.2">
      <c r="A281" s="2">
        <v>13</v>
      </c>
      <c r="B281" s="1" t="s">
        <v>111</v>
      </c>
      <c r="C281" s="4">
        <v>28</v>
      </c>
      <c r="D281" s="8">
        <v>1.84</v>
      </c>
      <c r="E281" s="4">
        <v>19</v>
      </c>
      <c r="F281" s="8">
        <v>1.96</v>
      </c>
      <c r="G281" s="4">
        <v>9</v>
      </c>
      <c r="H281" s="8">
        <v>1.67</v>
      </c>
      <c r="I281" s="4">
        <v>0</v>
      </c>
    </row>
    <row r="282" spans="1:9" x14ac:dyDescent="0.2">
      <c r="A282" s="2">
        <v>14</v>
      </c>
      <c r="B282" s="1" t="s">
        <v>94</v>
      </c>
      <c r="C282" s="4">
        <v>21</v>
      </c>
      <c r="D282" s="8">
        <v>1.38</v>
      </c>
      <c r="E282" s="4">
        <v>9</v>
      </c>
      <c r="F282" s="8">
        <v>0.93</v>
      </c>
      <c r="G282" s="4">
        <v>10</v>
      </c>
      <c r="H282" s="8">
        <v>1.86</v>
      </c>
      <c r="I282" s="4">
        <v>1</v>
      </c>
    </row>
    <row r="283" spans="1:9" x14ac:dyDescent="0.2">
      <c r="A283" s="2">
        <v>15</v>
      </c>
      <c r="B283" s="1" t="s">
        <v>88</v>
      </c>
      <c r="C283" s="4">
        <v>20</v>
      </c>
      <c r="D283" s="8">
        <v>1.31</v>
      </c>
      <c r="E283" s="4">
        <v>12</v>
      </c>
      <c r="F283" s="8">
        <v>1.24</v>
      </c>
      <c r="G283" s="4">
        <v>8</v>
      </c>
      <c r="H283" s="8">
        <v>1.49</v>
      </c>
      <c r="I283" s="4">
        <v>0</v>
      </c>
    </row>
    <row r="284" spans="1:9" x14ac:dyDescent="0.2">
      <c r="A284" s="2">
        <v>16</v>
      </c>
      <c r="B284" s="1" t="s">
        <v>93</v>
      </c>
      <c r="C284" s="4">
        <v>18</v>
      </c>
      <c r="D284" s="8">
        <v>1.18</v>
      </c>
      <c r="E284" s="4">
        <v>15</v>
      </c>
      <c r="F284" s="8">
        <v>1.55</v>
      </c>
      <c r="G284" s="4">
        <v>3</v>
      </c>
      <c r="H284" s="8">
        <v>0.56000000000000005</v>
      </c>
      <c r="I284" s="4">
        <v>0</v>
      </c>
    </row>
    <row r="285" spans="1:9" x14ac:dyDescent="0.2">
      <c r="A285" s="2">
        <v>16</v>
      </c>
      <c r="B285" s="1" t="s">
        <v>98</v>
      </c>
      <c r="C285" s="4">
        <v>18</v>
      </c>
      <c r="D285" s="8">
        <v>1.18</v>
      </c>
      <c r="E285" s="4">
        <v>9</v>
      </c>
      <c r="F285" s="8">
        <v>0.93</v>
      </c>
      <c r="G285" s="4">
        <v>9</v>
      </c>
      <c r="H285" s="8">
        <v>1.67</v>
      </c>
      <c r="I285" s="4">
        <v>0</v>
      </c>
    </row>
    <row r="286" spans="1:9" x14ac:dyDescent="0.2">
      <c r="A286" s="2">
        <v>18</v>
      </c>
      <c r="B286" s="1" t="s">
        <v>103</v>
      </c>
      <c r="C286" s="4">
        <v>17</v>
      </c>
      <c r="D286" s="8">
        <v>1.1200000000000001</v>
      </c>
      <c r="E286" s="4">
        <v>9</v>
      </c>
      <c r="F286" s="8">
        <v>0.93</v>
      </c>
      <c r="G286" s="4">
        <v>8</v>
      </c>
      <c r="H286" s="8">
        <v>1.49</v>
      </c>
      <c r="I286" s="4">
        <v>0</v>
      </c>
    </row>
    <row r="287" spans="1:9" x14ac:dyDescent="0.2">
      <c r="A287" s="2">
        <v>19</v>
      </c>
      <c r="B287" s="1" t="s">
        <v>110</v>
      </c>
      <c r="C287" s="4">
        <v>15</v>
      </c>
      <c r="D287" s="8">
        <v>0.99</v>
      </c>
      <c r="E287" s="4">
        <v>5</v>
      </c>
      <c r="F287" s="8">
        <v>0.52</v>
      </c>
      <c r="G287" s="4">
        <v>10</v>
      </c>
      <c r="H287" s="8">
        <v>1.86</v>
      </c>
      <c r="I287" s="4">
        <v>0</v>
      </c>
    </row>
    <row r="288" spans="1:9" x14ac:dyDescent="0.2">
      <c r="A288" s="2">
        <v>19</v>
      </c>
      <c r="B288" s="1" t="s">
        <v>114</v>
      </c>
      <c r="C288" s="4">
        <v>15</v>
      </c>
      <c r="D288" s="8">
        <v>0.99</v>
      </c>
      <c r="E288" s="4">
        <v>2</v>
      </c>
      <c r="F288" s="8">
        <v>0.21</v>
      </c>
      <c r="G288" s="4">
        <v>13</v>
      </c>
      <c r="H288" s="8">
        <v>2.42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92</v>
      </c>
      <c r="C291" s="4">
        <v>81</v>
      </c>
      <c r="D291" s="8">
        <v>10.95</v>
      </c>
      <c r="E291" s="4">
        <v>57</v>
      </c>
      <c r="F291" s="8">
        <v>13.67</v>
      </c>
      <c r="G291" s="4">
        <v>24</v>
      </c>
      <c r="H291" s="8">
        <v>7.57</v>
      </c>
      <c r="I291" s="4">
        <v>0</v>
      </c>
    </row>
    <row r="292" spans="1:9" x14ac:dyDescent="0.2">
      <c r="A292" s="2">
        <v>2</v>
      </c>
      <c r="B292" s="1" t="s">
        <v>97</v>
      </c>
      <c r="C292" s="4">
        <v>77</v>
      </c>
      <c r="D292" s="8">
        <v>10.41</v>
      </c>
      <c r="E292" s="4">
        <v>67</v>
      </c>
      <c r="F292" s="8">
        <v>16.07</v>
      </c>
      <c r="G292" s="4">
        <v>10</v>
      </c>
      <c r="H292" s="8">
        <v>3.15</v>
      </c>
      <c r="I292" s="4">
        <v>0</v>
      </c>
    </row>
    <row r="293" spans="1:9" x14ac:dyDescent="0.2">
      <c r="A293" s="2">
        <v>3</v>
      </c>
      <c r="B293" s="1" t="s">
        <v>83</v>
      </c>
      <c r="C293" s="4">
        <v>72</v>
      </c>
      <c r="D293" s="8">
        <v>9.73</v>
      </c>
      <c r="E293" s="4">
        <v>29</v>
      </c>
      <c r="F293" s="8">
        <v>6.95</v>
      </c>
      <c r="G293" s="4">
        <v>43</v>
      </c>
      <c r="H293" s="8">
        <v>13.56</v>
      </c>
      <c r="I293" s="4">
        <v>0</v>
      </c>
    </row>
    <row r="294" spans="1:9" x14ac:dyDescent="0.2">
      <c r="A294" s="2">
        <v>4</v>
      </c>
      <c r="B294" s="1" t="s">
        <v>84</v>
      </c>
      <c r="C294" s="4">
        <v>62</v>
      </c>
      <c r="D294" s="8">
        <v>8.3800000000000008</v>
      </c>
      <c r="E294" s="4">
        <v>38</v>
      </c>
      <c r="F294" s="8">
        <v>9.11</v>
      </c>
      <c r="G294" s="4">
        <v>24</v>
      </c>
      <c r="H294" s="8">
        <v>7.57</v>
      </c>
      <c r="I294" s="4">
        <v>0</v>
      </c>
    </row>
    <row r="295" spans="1:9" x14ac:dyDescent="0.2">
      <c r="A295" s="2">
        <v>5</v>
      </c>
      <c r="B295" s="1" t="s">
        <v>96</v>
      </c>
      <c r="C295" s="4">
        <v>53</v>
      </c>
      <c r="D295" s="8">
        <v>7.16</v>
      </c>
      <c r="E295" s="4">
        <v>42</v>
      </c>
      <c r="F295" s="8">
        <v>10.07</v>
      </c>
      <c r="G295" s="4">
        <v>11</v>
      </c>
      <c r="H295" s="8">
        <v>3.47</v>
      </c>
      <c r="I295" s="4">
        <v>0</v>
      </c>
    </row>
    <row r="296" spans="1:9" x14ac:dyDescent="0.2">
      <c r="A296" s="2">
        <v>6</v>
      </c>
      <c r="B296" s="1" t="s">
        <v>91</v>
      </c>
      <c r="C296" s="4">
        <v>38</v>
      </c>
      <c r="D296" s="8">
        <v>5.14</v>
      </c>
      <c r="E296" s="4">
        <v>22</v>
      </c>
      <c r="F296" s="8">
        <v>5.28</v>
      </c>
      <c r="G296" s="4">
        <v>16</v>
      </c>
      <c r="H296" s="8">
        <v>5.05</v>
      </c>
      <c r="I296" s="4">
        <v>0</v>
      </c>
    </row>
    <row r="297" spans="1:9" x14ac:dyDescent="0.2">
      <c r="A297" s="2">
        <v>7</v>
      </c>
      <c r="B297" s="1" t="s">
        <v>89</v>
      </c>
      <c r="C297" s="4">
        <v>37</v>
      </c>
      <c r="D297" s="8">
        <v>5</v>
      </c>
      <c r="E297" s="4">
        <v>25</v>
      </c>
      <c r="F297" s="8">
        <v>6</v>
      </c>
      <c r="G297" s="4">
        <v>12</v>
      </c>
      <c r="H297" s="8">
        <v>3.79</v>
      </c>
      <c r="I297" s="4">
        <v>0</v>
      </c>
    </row>
    <row r="298" spans="1:9" x14ac:dyDescent="0.2">
      <c r="A298" s="2">
        <v>8</v>
      </c>
      <c r="B298" s="1" t="s">
        <v>100</v>
      </c>
      <c r="C298" s="4">
        <v>25</v>
      </c>
      <c r="D298" s="8">
        <v>3.38</v>
      </c>
      <c r="E298" s="4">
        <v>18</v>
      </c>
      <c r="F298" s="8">
        <v>4.32</v>
      </c>
      <c r="G298" s="4">
        <v>7</v>
      </c>
      <c r="H298" s="8">
        <v>2.21</v>
      </c>
      <c r="I298" s="4">
        <v>0</v>
      </c>
    </row>
    <row r="299" spans="1:9" x14ac:dyDescent="0.2">
      <c r="A299" s="2">
        <v>9</v>
      </c>
      <c r="B299" s="1" t="s">
        <v>85</v>
      </c>
      <c r="C299" s="4">
        <v>23</v>
      </c>
      <c r="D299" s="8">
        <v>3.11</v>
      </c>
      <c r="E299" s="4">
        <v>10</v>
      </c>
      <c r="F299" s="8">
        <v>2.4</v>
      </c>
      <c r="G299" s="4">
        <v>13</v>
      </c>
      <c r="H299" s="8">
        <v>4.0999999999999996</v>
      </c>
      <c r="I299" s="4">
        <v>0</v>
      </c>
    </row>
    <row r="300" spans="1:9" x14ac:dyDescent="0.2">
      <c r="A300" s="2">
        <v>10</v>
      </c>
      <c r="B300" s="1" t="s">
        <v>90</v>
      </c>
      <c r="C300" s="4">
        <v>19</v>
      </c>
      <c r="D300" s="8">
        <v>2.57</v>
      </c>
      <c r="E300" s="4">
        <v>12</v>
      </c>
      <c r="F300" s="8">
        <v>2.88</v>
      </c>
      <c r="G300" s="4">
        <v>7</v>
      </c>
      <c r="H300" s="8">
        <v>2.21</v>
      </c>
      <c r="I300" s="4">
        <v>0</v>
      </c>
    </row>
    <row r="301" spans="1:9" x14ac:dyDescent="0.2">
      <c r="A301" s="2">
        <v>11</v>
      </c>
      <c r="B301" s="1" t="s">
        <v>99</v>
      </c>
      <c r="C301" s="4">
        <v>18</v>
      </c>
      <c r="D301" s="8">
        <v>2.4300000000000002</v>
      </c>
      <c r="E301" s="4">
        <v>8</v>
      </c>
      <c r="F301" s="8">
        <v>1.92</v>
      </c>
      <c r="G301" s="4">
        <v>6</v>
      </c>
      <c r="H301" s="8">
        <v>1.89</v>
      </c>
      <c r="I301" s="4">
        <v>0</v>
      </c>
    </row>
    <row r="302" spans="1:9" x14ac:dyDescent="0.2">
      <c r="A302" s="2">
        <v>12</v>
      </c>
      <c r="B302" s="1" t="s">
        <v>101</v>
      </c>
      <c r="C302" s="4">
        <v>16</v>
      </c>
      <c r="D302" s="8">
        <v>2.16</v>
      </c>
      <c r="E302" s="4">
        <v>0</v>
      </c>
      <c r="F302" s="8">
        <v>0</v>
      </c>
      <c r="G302" s="4">
        <v>14</v>
      </c>
      <c r="H302" s="8">
        <v>4.42</v>
      </c>
      <c r="I302" s="4">
        <v>0</v>
      </c>
    </row>
    <row r="303" spans="1:9" x14ac:dyDescent="0.2">
      <c r="A303" s="2">
        <v>13</v>
      </c>
      <c r="B303" s="1" t="s">
        <v>93</v>
      </c>
      <c r="C303" s="4">
        <v>14</v>
      </c>
      <c r="D303" s="8">
        <v>1.89</v>
      </c>
      <c r="E303" s="4">
        <v>10</v>
      </c>
      <c r="F303" s="8">
        <v>2.4</v>
      </c>
      <c r="G303" s="4">
        <v>4</v>
      </c>
      <c r="H303" s="8">
        <v>1.26</v>
      </c>
      <c r="I303" s="4">
        <v>0</v>
      </c>
    </row>
    <row r="304" spans="1:9" x14ac:dyDescent="0.2">
      <c r="A304" s="2">
        <v>13</v>
      </c>
      <c r="B304" s="1" t="s">
        <v>94</v>
      </c>
      <c r="C304" s="4">
        <v>14</v>
      </c>
      <c r="D304" s="8">
        <v>1.89</v>
      </c>
      <c r="E304" s="4">
        <v>5</v>
      </c>
      <c r="F304" s="8">
        <v>1.2</v>
      </c>
      <c r="G304" s="4">
        <v>9</v>
      </c>
      <c r="H304" s="8">
        <v>2.84</v>
      </c>
      <c r="I304" s="4">
        <v>0</v>
      </c>
    </row>
    <row r="305" spans="1:9" x14ac:dyDescent="0.2">
      <c r="A305" s="2">
        <v>15</v>
      </c>
      <c r="B305" s="1" t="s">
        <v>115</v>
      </c>
      <c r="C305" s="4">
        <v>13</v>
      </c>
      <c r="D305" s="8">
        <v>1.76</v>
      </c>
      <c r="E305" s="4">
        <v>4</v>
      </c>
      <c r="F305" s="8">
        <v>0.96</v>
      </c>
      <c r="G305" s="4">
        <v>9</v>
      </c>
      <c r="H305" s="8">
        <v>2.84</v>
      </c>
      <c r="I305" s="4">
        <v>0</v>
      </c>
    </row>
    <row r="306" spans="1:9" x14ac:dyDescent="0.2">
      <c r="A306" s="2">
        <v>15</v>
      </c>
      <c r="B306" s="1" t="s">
        <v>102</v>
      </c>
      <c r="C306" s="4">
        <v>13</v>
      </c>
      <c r="D306" s="8">
        <v>1.76</v>
      </c>
      <c r="E306" s="4">
        <v>11</v>
      </c>
      <c r="F306" s="8">
        <v>2.64</v>
      </c>
      <c r="G306" s="4">
        <v>2</v>
      </c>
      <c r="H306" s="8">
        <v>0.63</v>
      </c>
      <c r="I306" s="4">
        <v>0</v>
      </c>
    </row>
    <row r="307" spans="1:9" x14ac:dyDescent="0.2">
      <c r="A307" s="2">
        <v>17</v>
      </c>
      <c r="B307" s="1" t="s">
        <v>117</v>
      </c>
      <c r="C307" s="4">
        <v>10</v>
      </c>
      <c r="D307" s="8">
        <v>1.35</v>
      </c>
      <c r="E307" s="4">
        <v>2</v>
      </c>
      <c r="F307" s="8">
        <v>0.48</v>
      </c>
      <c r="G307" s="4">
        <v>8</v>
      </c>
      <c r="H307" s="8">
        <v>2.52</v>
      </c>
      <c r="I307" s="4">
        <v>0</v>
      </c>
    </row>
    <row r="308" spans="1:9" x14ac:dyDescent="0.2">
      <c r="A308" s="2">
        <v>17</v>
      </c>
      <c r="B308" s="1" t="s">
        <v>86</v>
      </c>
      <c r="C308" s="4">
        <v>10</v>
      </c>
      <c r="D308" s="8">
        <v>1.35</v>
      </c>
      <c r="E308" s="4">
        <v>1</v>
      </c>
      <c r="F308" s="8">
        <v>0.24</v>
      </c>
      <c r="G308" s="4">
        <v>9</v>
      </c>
      <c r="H308" s="8">
        <v>2.84</v>
      </c>
      <c r="I308" s="4">
        <v>0</v>
      </c>
    </row>
    <row r="309" spans="1:9" x14ac:dyDescent="0.2">
      <c r="A309" s="2">
        <v>17</v>
      </c>
      <c r="B309" s="1" t="s">
        <v>107</v>
      </c>
      <c r="C309" s="4">
        <v>10</v>
      </c>
      <c r="D309" s="8">
        <v>1.35</v>
      </c>
      <c r="E309" s="4">
        <v>3</v>
      </c>
      <c r="F309" s="8">
        <v>0.72</v>
      </c>
      <c r="G309" s="4">
        <v>7</v>
      </c>
      <c r="H309" s="8">
        <v>2.21</v>
      </c>
      <c r="I309" s="4">
        <v>0</v>
      </c>
    </row>
    <row r="310" spans="1:9" x14ac:dyDescent="0.2">
      <c r="A310" s="2">
        <v>17</v>
      </c>
      <c r="B310" s="1" t="s">
        <v>88</v>
      </c>
      <c r="C310" s="4">
        <v>10</v>
      </c>
      <c r="D310" s="8">
        <v>1.35</v>
      </c>
      <c r="E310" s="4">
        <v>5</v>
      </c>
      <c r="F310" s="8">
        <v>1.2</v>
      </c>
      <c r="G310" s="4">
        <v>5</v>
      </c>
      <c r="H310" s="8">
        <v>1.58</v>
      </c>
      <c r="I310" s="4">
        <v>0</v>
      </c>
    </row>
    <row r="311" spans="1:9" x14ac:dyDescent="0.2">
      <c r="A311" s="1"/>
      <c r="C311" s="4"/>
      <c r="D311" s="8"/>
      <c r="E311" s="4"/>
      <c r="F311" s="8"/>
      <c r="G311" s="4"/>
      <c r="H311" s="8"/>
      <c r="I311" s="4"/>
    </row>
    <row r="312" spans="1:9" x14ac:dyDescent="0.2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2">
      <c r="A313" s="2">
        <v>1</v>
      </c>
      <c r="B313" s="1" t="s">
        <v>92</v>
      </c>
      <c r="C313" s="4">
        <v>27</v>
      </c>
      <c r="D313" s="8">
        <v>10.27</v>
      </c>
      <c r="E313" s="4">
        <v>18</v>
      </c>
      <c r="F313" s="8">
        <v>11.39</v>
      </c>
      <c r="G313" s="4">
        <v>9</v>
      </c>
      <c r="H313" s="8">
        <v>9</v>
      </c>
      <c r="I313" s="4">
        <v>0</v>
      </c>
    </row>
    <row r="314" spans="1:9" x14ac:dyDescent="0.2">
      <c r="A314" s="2">
        <v>1</v>
      </c>
      <c r="B314" s="1" t="s">
        <v>97</v>
      </c>
      <c r="C314" s="4">
        <v>27</v>
      </c>
      <c r="D314" s="8">
        <v>10.27</v>
      </c>
      <c r="E314" s="4">
        <v>26</v>
      </c>
      <c r="F314" s="8">
        <v>16.46</v>
      </c>
      <c r="G314" s="4">
        <v>1</v>
      </c>
      <c r="H314" s="8">
        <v>1</v>
      </c>
      <c r="I314" s="4">
        <v>0</v>
      </c>
    </row>
    <row r="315" spans="1:9" x14ac:dyDescent="0.2">
      <c r="A315" s="2">
        <v>3</v>
      </c>
      <c r="B315" s="1" t="s">
        <v>84</v>
      </c>
      <c r="C315" s="4">
        <v>24</v>
      </c>
      <c r="D315" s="8">
        <v>9.1300000000000008</v>
      </c>
      <c r="E315" s="4">
        <v>14</v>
      </c>
      <c r="F315" s="8">
        <v>8.86</v>
      </c>
      <c r="G315" s="4">
        <v>10</v>
      </c>
      <c r="H315" s="8">
        <v>10</v>
      </c>
      <c r="I315" s="4">
        <v>0</v>
      </c>
    </row>
    <row r="316" spans="1:9" x14ac:dyDescent="0.2">
      <c r="A316" s="2">
        <v>4</v>
      </c>
      <c r="B316" s="1" t="s">
        <v>91</v>
      </c>
      <c r="C316" s="4">
        <v>19</v>
      </c>
      <c r="D316" s="8">
        <v>7.22</v>
      </c>
      <c r="E316" s="4">
        <v>9</v>
      </c>
      <c r="F316" s="8">
        <v>5.7</v>
      </c>
      <c r="G316" s="4">
        <v>10</v>
      </c>
      <c r="H316" s="8">
        <v>10</v>
      </c>
      <c r="I316" s="4">
        <v>0</v>
      </c>
    </row>
    <row r="317" spans="1:9" x14ac:dyDescent="0.2">
      <c r="A317" s="2">
        <v>5</v>
      </c>
      <c r="B317" s="1" t="s">
        <v>83</v>
      </c>
      <c r="C317" s="4">
        <v>17</v>
      </c>
      <c r="D317" s="8">
        <v>6.46</v>
      </c>
      <c r="E317" s="4">
        <v>7</v>
      </c>
      <c r="F317" s="8">
        <v>4.43</v>
      </c>
      <c r="G317" s="4">
        <v>10</v>
      </c>
      <c r="H317" s="8">
        <v>10</v>
      </c>
      <c r="I317" s="4">
        <v>0</v>
      </c>
    </row>
    <row r="318" spans="1:9" x14ac:dyDescent="0.2">
      <c r="A318" s="2">
        <v>6</v>
      </c>
      <c r="B318" s="1" t="s">
        <v>99</v>
      </c>
      <c r="C318" s="4">
        <v>16</v>
      </c>
      <c r="D318" s="8">
        <v>6.08</v>
      </c>
      <c r="E318" s="4">
        <v>11</v>
      </c>
      <c r="F318" s="8">
        <v>6.96</v>
      </c>
      <c r="G318" s="4">
        <v>3</v>
      </c>
      <c r="H318" s="8">
        <v>3</v>
      </c>
      <c r="I318" s="4">
        <v>0</v>
      </c>
    </row>
    <row r="319" spans="1:9" x14ac:dyDescent="0.2">
      <c r="A319" s="2">
        <v>7</v>
      </c>
      <c r="B319" s="1" t="s">
        <v>90</v>
      </c>
      <c r="C319" s="4">
        <v>15</v>
      </c>
      <c r="D319" s="8">
        <v>5.7</v>
      </c>
      <c r="E319" s="4">
        <v>7</v>
      </c>
      <c r="F319" s="8">
        <v>4.43</v>
      </c>
      <c r="G319" s="4">
        <v>8</v>
      </c>
      <c r="H319" s="8">
        <v>8</v>
      </c>
      <c r="I319" s="4">
        <v>0</v>
      </c>
    </row>
    <row r="320" spans="1:9" x14ac:dyDescent="0.2">
      <c r="A320" s="2">
        <v>8</v>
      </c>
      <c r="B320" s="1" t="s">
        <v>89</v>
      </c>
      <c r="C320" s="4">
        <v>11</v>
      </c>
      <c r="D320" s="8">
        <v>4.18</v>
      </c>
      <c r="E320" s="4">
        <v>8</v>
      </c>
      <c r="F320" s="8">
        <v>5.0599999999999996</v>
      </c>
      <c r="G320" s="4">
        <v>2</v>
      </c>
      <c r="H320" s="8">
        <v>2</v>
      </c>
      <c r="I320" s="4">
        <v>1</v>
      </c>
    </row>
    <row r="321" spans="1:9" x14ac:dyDescent="0.2">
      <c r="A321" s="2">
        <v>9</v>
      </c>
      <c r="B321" s="1" t="s">
        <v>96</v>
      </c>
      <c r="C321" s="4">
        <v>9</v>
      </c>
      <c r="D321" s="8">
        <v>3.42</v>
      </c>
      <c r="E321" s="4">
        <v>9</v>
      </c>
      <c r="F321" s="8">
        <v>5.7</v>
      </c>
      <c r="G321" s="4">
        <v>0</v>
      </c>
      <c r="H321" s="8">
        <v>0</v>
      </c>
      <c r="I321" s="4">
        <v>0</v>
      </c>
    </row>
    <row r="322" spans="1:9" x14ac:dyDescent="0.2">
      <c r="A322" s="2">
        <v>9</v>
      </c>
      <c r="B322" s="1" t="s">
        <v>100</v>
      </c>
      <c r="C322" s="4">
        <v>9</v>
      </c>
      <c r="D322" s="8">
        <v>3.42</v>
      </c>
      <c r="E322" s="4">
        <v>9</v>
      </c>
      <c r="F322" s="8">
        <v>5.7</v>
      </c>
      <c r="G322" s="4">
        <v>0</v>
      </c>
      <c r="H322" s="8">
        <v>0</v>
      </c>
      <c r="I322" s="4">
        <v>0</v>
      </c>
    </row>
    <row r="323" spans="1:9" x14ac:dyDescent="0.2">
      <c r="A323" s="2">
        <v>11</v>
      </c>
      <c r="B323" s="1" t="s">
        <v>85</v>
      </c>
      <c r="C323" s="4">
        <v>8</v>
      </c>
      <c r="D323" s="8">
        <v>3.04</v>
      </c>
      <c r="E323" s="4">
        <v>4</v>
      </c>
      <c r="F323" s="8">
        <v>2.5299999999999998</v>
      </c>
      <c r="G323" s="4">
        <v>4</v>
      </c>
      <c r="H323" s="8">
        <v>4</v>
      </c>
      <c r="I323" s="4">
        <v>0</v>
      </c>
    </row>
    <row r="324" spans="1:9" x14ac:dyDescent="0.2">
      <c r="A324" s="2">
        <v>12</v>
      </c>
      <c r="B324" s="1" t="s">
        <v>94</v>
      </c>
      <c r="C324" s="4">
        <v>6</v>
      </c>
      <c r="D324" s="8">
        <v>2.2799999999999998</v>
      </c>
      <c r="E324" s="4">
        <v>4</v>
      </c>
      <c r="F324" s="8">
        <v>2.5299999999999998</v>
      </c>
      <c r="G324" s="4">
        <v>1</v>
      </c>
      <c r="H324" s="8">
        <v>1</v>
      </c>
      <c r="I324" s="4">
        <v>0</v>
      </c>
    </row>
    <row r="325" spans="1:9" x14ac:dyDescent="0.2">
      <c r="A325" s="2">
        <v>12</v>
      </c>
      <c r="B325" s="1" t="s">
        <v>102</v>
      </c>
      <c r="C325" s="4">
        <v>6</v>
      </c>
      <c r="D325" s="8">
        <v>2.2799999999999998</v>
      </c>
      <c r="E325" s="4">
        <v>3</v>
      </c>
      <c r="F325" s="8">
        <v>1.9</v>
      </c>
      <c r="G325" s="4">
        <v>3</v>
      </c>
      <c r="H325" s="8">
        <v>3</v>
      </c>
      <c r="I325" s="4">
        <v>0</v>
      </c>
    </row>
    <row r="326" spans="1:9" x14ac:dyDescent="0.2">
      <c r="A326" s="2">
        <v>14</v>
      </c>
      <c r="B326" s="1" t="s">
        <v>86</v>
      </c>
      <c r="C326" s="4">
        <v>5</v>
      </c>
      <c r="D326" s="8">
        <v>1.9</v>
      </c>
      <c r="E326" s="4">
        <v>3</v>
      </c>
      <c r="F326" s="8">
        <v>1.9</v>
      </c>
      <c r="G326" s="4">
        <v>2</v>
      </c>
      <c r="H326" s="8">
        <v>2</v>
      </c>
      <c r="I326" s="4">
        <v>0</v>
      </c>
    </row>
    <row r="327" spans="1:9" x14ac:dyDescent="0.2">
      <c r="A327" s="2">
        <v>14</v>
      </c>
      <c r="B327" s="1" t="s">
        <v>93</v>
      </c>
      <c r="C327" s="4">
        <v>5</v>
      </c>
      <c r="D327" s="8">
        <v>1.9</v>
      </c>
      <c r="E327" s="4">
        <v>3</v>
      </c>
      <c r="F327" s="8">
        <v>1.9</v>
      </c>
      <c r="G327" s="4">
        <v>2</v>
      </c>
      <c r="H327" s="8">
        <v>2</v>
      </c>
      <c r="I327" s="4">
        <v>0</v>
      </c>
    </row>
    <row r="328" spans="1:9" x14ac:dyDescent="0.2">
      <c r="A328" s="2">
        <v>16</v>
      </c>
      <c r="B328" s="1" t="s">
        <v>115</v>
      </c>
      <c r="C328" s="4">
        <v>4</v>
      </c>
      <c r="D328" s="8">
        <v>1.52</v>
      </c>
      <c r="E328" s="4">
        <v>3</v>
      </c>
      <c r="F328" s="8">
        <v>1.9</v>
      </c>
      <c r="G328" s="4">
        <v>1</v>
      </c>
      <c r="H328" s="8">
        <v>1</v>
      </c>
      <c r="I328" s="4">
        <v>0</v>
      </c>
    </row>
    <row r="329" spans="1:9" x14ac:dyDescent="0.2">
      <c r="A329" s="2">
        <v>16</v>
      </c>
      <c r="B329" s="1" t="s">
        <v>106</v>
      </c>
      <c r="C329" s="4">
        <v>4</v>
      </c>
      <c r="D329" s="8">
        <v>1.52</v>
      </c>
      <c r="E329" s="4">
        <v>2</v>
      </c>
      <c r="F329" s="8">
        <v>1.27</v>
      </c>
      <c r="G329" s="4">
        <v>2</v>
      </c>
      <c r="H329" s="8">
        <v>2</v>
      </c>
      <c r="I329" s="4">
        <v>0</v>
      </c>
    </row>
    <row r="330" spans="1:9" x14ac:dyDescent="0.2">
      <c r="A330" s="2">
        <v>16</v>
      </c>
      <c r="B330" s="1" t="s">
        <v>87</v>
      </c>
      <c r="C330" s="4">
        <v>4</v>
      </c>
      <c r="D330" s="8">
        <v>1.52</v>
      </c>
      <c r="E330" s="4">
        <v>2</v>
      </c>
      <c r="F330" s="8">
        <v>1.27</v>
      </c>
      <c r="G330" s="4">
        <v>2</v>
      </c>
      <c r="H330" s="8">
        <v>2</v>
      </c>
      <c r="I330" s="4">
        <v>0</v>
      </c>
    </row>
    <row r="331" spans="1:9" x14ac:dyDescent="0.2">
      <c r="A331" s="2">
        <v>19</v>
      </c>
      <c r="B331" s="1" t="s">
        <v>118</v>
      </c>
      <c r="C331" s="4">
        <v>3</v>
      </c>
      <c r="D331" s="8">
        <v>1.1399999999999999</v>
      </c>
      <c r="E331" s="4">
        <v>0</v>
      </c>
      <c r="F331" s="8">
        <v>0</v>
      </c>
      <c r="G331" s="4">
        <v>3</v>
      </c>
      <c r="H331" s="8">
        <v>3</v>
      </c>
      <c r="I331" s="4">
        <v>0</v>
      </c>
    </row>
    <row r="332" spans="1:9" x14ac:dyDescent="0.2">
      <c r="A332" s="2">
        <v>19</v>
      </c>
      <c r="B332" s="1" t="s">
        <v>119</v>
      </c>
      <c r="C332" s="4">
        <v>3</v>
      </c>
      <c r="D332" s="8">
        <v>1.1399999999999999</v>
      </c>
      <c r="E332" s="4">
        <v>1</v>
      </c>
      <c r="F332" s="8">
        <v>0.63</v>
      </c>
      <c r="G332" s="4">
        <v>2</v>
      </c>
      <c r="H332" s="8">
        <v>2</v>
      </c>
      <c r="I332" s="4">
        <v>0</v>
      </c>
    </row>
    <row r="333" spans="1:9" x14ac:dyDescent="0.2">
      <c r="A333" s="2">
        <v>19</v>
      </c>
      <c r="B333" s="1" t="s">
        <v>103</v>
      </c>
      <c r="C333" s="4">
        <v>3</v>
      </c>
      <c r="D333" s="8">
        <v>1.1399999999999999</v>
      </c>
      <c r="E333" s="4">
        <v>1</v>
      </c>
      <c r="F333" s="8">
        <v>0.63</v>
      </c>
      <c r="G333" s="4">
        <v>2</v>
      </c>
      <c r="H333" s="8">
        <v>2</v>
      </c>
      <c r="I333" s="4">
        <v>0</v>
      </c>
    </row>
    <row r="334" spans="1:9" x14ac:dyDescent="0.2">
      <c r="A334" s="2">
        <v>19</v>
      </c>
      <c r="B334" s="1" t="s">
        <v>120</v>
      </c>
      <c r="C334" s="4">
        <v>3</v>
      </c>
      <c r="D334" s="8">
        <v>1.1399999999999999</v>
      </c>
      <c r="E334" s="4">
        <v>0</v>
      </c>
      <c r="F334" s="8">
        <v>0</v>
      </c>
      <c r="G334" s="4">
        <v>3</v>
      </c>
      <c r="H334" s="8">
        <v>3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91</v>
      </c>
      <c r="C337" s="4">
        <v>23</v>
      </c>
      <c r="D337" s="8">
        <v>12.5</v>
      </c>
      <c r="E337" s="4">
        <v>10</v>
      </c>
      <c r="F337" s="8">
        <v>10.99</v>
      </c>
      <c r="G337" s="4">
        <v>13</v>
      </c>
      <c r="H337" s="8">
        <v>14.61</v>
      </c>
      <c r="I337" s="4">
        <v>0</v>
      </c>
    </row>
    <row r="338" spans="1:9" x14ac:dyDescent="0.2">
      <c r="A338" s="2">
        <v>2</v>
      </c>
      <c r="B338" s="1" t="s">
        <v>97</v>
      </c>
      <c r="C338" s="4">
        <v>20</v>
      </c>
      <c r="D338" s="8">
        <v>10.87</v>
      </c>
      <c r="E338" s="4">
        <v>19</v>
      </c>
      <c r="F338" s="8">
        <v>20.88</v>
      </c>
      <c r="G338" s="4">
        <v>1</v>
      </c>
      <c r="H338" s="8">
        <v>1.1200000000000001</v>
      </c>
      <c r="I338" s="4">
        <v>0</v>
      </c>
    </row>
    <row r="339" spans="1:9" x14ac:dyDescent="0.2">
      <c r="A339" s="2">
        <v>3</v>
      </c>
      <c r="B339" s="1" t="s">
        <v>84</v>
      </c>
      <c r="C339" s="4">
        <v>18</v>
      </c>
      <c r="D339" s="8">
        <v>9.7799999999999994</v>
      </c>
      <c r="E339" s="4">
        <v>10</v>
      </c>
      <c r="F339" s="8">
        <v>10.99</v>
      </c>
      <c r="G339" s="4">
        <v>8</v>
      </c>
      <c r="H339" s="8">
        <v>8.99</v>
      </c>
      <c r="I339" s="4">
        <v>0</v>
      </c>
    </row>
    <row r="340" spans="1:9" x14ac:dyDescent="0.2">
      <c r="A340" s="2">
        <v>3</v>
      </c>
      <c r="B340" s="1" t="s">
        <v>89</v>
      </c>
      <c r="C340" s="4">
        <v>18</v>
      </c>
      <c r="D340" s="8">
        <v>9.7799999999999994</v>
      </c>
      <c r="E340" s="4">
        <v>12</v>
      </c>
      <c r="F340" s="8">
        <v>13.19</v>
      </c>
      <c r="G340" s="4">
        <v>6</v>
      </c>
      <c r="H340" s="8">
        <v>6.74</v>
      </c>
      <c r="I340" s="4">
        <v>0</v>
      </c>
    </row>
    <row r="341" spans="1:9" x14ac:dyDescent="0.2">
      <c r="A341" s="2">
        <v>5</v>
      </c>
      <c r="B341" s="1" t="s">
        <v>83</v>
      </c>
      <c r="C341" s="4">
        <v>17</v>
      </c>
      <c r="D341" s="8">
        <v>9.24</v>
      </c>
      <c r="E341" s="4">
        <v>2</v>
      </c>
      <c r="F341" s="8">
        <v>2.2000000000000002</v>
      </c>
      <c r="G341" s="4">
        <v>15</v>
      </c>
      <c r="H341" s="8">
        <v>16.850000000000001</v>
      </c>
      <c r="I341" s="4">
        <v>0</v>
      </c>
    </row>
    <row r="342" spans="1:9" x14ac:dyDescent="0.2">
      <c r="A342" s="2">
        <v>6</v>
      </c>
      <c r="B342" s="1" t="s">
        <v>92</v>
      </c>
      <c r="C342" s="4">
        <v>10</v>
      </c>
      <c r="D342" s="8">
        <v>5.43</v>
      </c>
      <c r="E342" s="4">
        <v>4</v>
      </c>
      <c r="F342" s="8">
        <v>4.4000000000000004</v>
      </c>
      <c r="G342" s="4">
        <v>6</v>
      </c>
      <c r="H342" s="8">
        <v>6.74</v>
      </c>
      <c r="I342" s="4">
        <v>0</v>
      </c>
    </row>
    <row r="343" spans="1:9" x14ac:dyDescent="0.2">
      <c r="A343" s="2">
        <v>7</v>
      </c>
      <c r="B343" s="1" t="s">
        <v>85</v>
      </c>
      <c r="C343" s="4">
        <v>9</v>
      </c>
      <c r="D343" s="8">
        <v>4.8899999999999997</v>
      </c>
      <c r="E343" s="4">
        <v>5</v>
      </c>
      <c r="F343" s="8">
        <v>5.49</v>
      </c>
      <c r="G343" s="4">
        <v>4</v>
      </c>
      <c r="H343" s="8">
        <v>4.49</v>
      </c>
      <c r="I343" s="4">
        <v>0</v>
      </c>
    </row>
    <row r="344" spans="1:9" x14ac:dyDescent="0.2">
      <c r="A344" s="2">
        <v>8</v>
      </c>
      <c r="B344" s="1" t="s">
        <v>96</v>
      </c>
      <c r="C344" s="4">
        <v>7</v>
      </c>
      <c r="D344" s="8">
        <v>3.8</v>
      </c>
      <c r="E344" s="4">
        <v>6</v>
      </c>
      <c r="F344" s="8">
        <v>6.59</v>
      </c>
      <c r="G344" s="4">
        <v>1</v>
      </c>
      <c r="H344" s="8">
        <v>1.1200000000000001</v>
      </c>
      <c r="I344" s="4">
        <v>0</v>
      </c>
    </row>
    <row r="345" spans="1:9" x14ac:dyDescent="0.2">
      <c r="A345" s="2">
        <v>9</v>
      </c>
      <c r="B345" s="1" t="s">
        <v>90</v>
      </c>
      <c r="C345" s="4">
        <v>6</v>
      </c>
      <c r="D345" s="8">
        <v>3.26</v>
      </c>
      <c r="E345" s="4">
        <v>4</v>
      </c>
      <c r="F345" s="8">
        <v>4.4000000000000004</v>
      </c>
      <c r="G345" s="4">
        <v>2</v>
      </c>
      <c r="H345" s="8">
        <v>2.25</v>
      </c>
      <c r="I345" s="4">
        <v>0</v>
      </c>
    </row>
    <row r="346" spans="1:9" x14ac:dyDescent="0.2">
      <c r="A346" s="2">
        <v>10</v>
      </c>
      <c r="B346" s="1" t="s">
        <v>88</v>
      </c>
      <c r="C346" s="4">
        <v>5</v>
      </c>
      <c r="D346" s="8">
        <v>2.72</v>
      </c>
      <c r="E346" s="4">
        <v>4</v>
      </c>
      <c r="F346" s="8">
        <v>4.4000000000000004</v>
      </c>
      <c r="G346" s="4">
        <v>1</v>
      </c>
      <c r="H346" s="8">
        <v>1.1200000000000001</v>
      </c>
      <c r="I346" s="4">
        <v>0</v>
      </c>
    </row>
    <row r="347" spans="1:9" x14ac:dyDescent="0.2">
      <c r="A347" s="2">
        <v>10</v>
      </c>
      <c r="B347" s="1" t="s">
        <v>99</v>
      </c>
      <c r="C347" s="4">
        <v>5</v>
      </c>
      <c r="D347" s="8">
        <v>2.72</v>
      </c>
      <c r="E347" s="4">
        <v>2</v>
      </c>
      <c r="F347" s="8">
        <v>2.2000000000000002</v>
      </c>
      <c r="G347" s="4">
        <v>1</v>
      </c>
      <c r="H347" s="8">
        <v>1.1200000000000001</v>
      </c>
      <c r="I347" s="4">
        <v>0</v>
      </c>
    </row>
    <row r="348" spans="1:9" x14ac:dyDescent="0.2">
      <c r="A348" s="2">
        <v>12</v>
      </c>
      <c r="B348" s="1" t="s">
        <v>94</v>
      </c>
      <c r="C348" s="4">
        <v>4</v>
      </c>
      <c r="D348" s="8">
        <v>2.17</v>
      </c>
      <c r="E348" s="4">
        <v>1</v>
      </c>
      <c r="F348" s="8">
        <v>1.1000000000000001</v>
      </c>
      <c r="G348" s="4">
        <v>3</v>
      </c>
      <c r="H348" s="8">
        <v>3.37</v>
      </c>
      <c r="I348" s="4">
        <v>0</v>
      </c>
    </row>
    <row r="349" spans="1:9" x14ac:dyDescent="0.2">
      <c r="A349" s="2">
        <v>12</v>
      </c>
      <c r="B349" s="1" t="s">
        <v>113</v>
      </c>
      <c r="C349" s="4">
        <v>4</v>
      </c>
      <c r="D349" s="8">
        <v>2.17</v>
      </c>
      <c r="E349" s="4">
        <v>0</v>
      </c>
      <c r="F349" s="8">
        <v>0</v>
      </c>
      <c r="G349" s="4">
        <v>3</v>
      </c>
      <c r="H349" s="8">
        <v>3.37</v>
      </c>
      <c r="I349" s="4">
        <v>0</v>
      </c>
    </row>
    <row r="350" spans="1:9" x14ac:dyDescent="0.2">
      <c r="A350" s="2">
        <v>12</v>
      </c>
      <c r="B350" s="1" t="s">
        <v>102</v>
      </c>
      <c r="C350" s="4">
        <v>4</v>
      </c>
      <c r="D350" s="8">
        <v>2.17</v>
      </c>
      <c r="E350" s="4">
        <v>3</v>
      </c>
      <c r="F350" s="8">
        <v>3.3</v>
      </c>
      <c r="G350" s="4">
        <v>1</v>
      </c>
      <c r="H350" s="8">
        <v>1.1200000000000001</v>
      </c>
      <c r="I350" s="4">
        <v>0</v>
      </c>
    </row>
    <row r="351" spans="1:9" x14ac:dyDescent="0.2">
      <c r="A351" s="2">
        <v>15</v>
      </c>
      <c r="B351" s="1" t="s">
        <v>98</v>
      </c>
      <c r="C351" s="4">
        <v>3</v>
      </c>
      <c r="D351" s="8">
        <v>1.63</v>
      </c>
      <c r="E351" s="4">
        <v>2</v>
      </c>
      <c r="F351" s="8">
        <v>2.2000000000000002</v>
      </c>
      <c r="G351" s="4">
        <v>1</v>
      </c>
      <c r="H351" s="8">
        <v>1.1200000000000001</v>
      </c>
      <c r="I351" s="4">
        <v>0</v>
      </c>
    </row>
    <row r="352" spans="1:9" x14ac:dyDescent="0.2">
      <c r="A352" s="2">
        <v>15</v>
      </c>
      <c r="B352" s="1" t="s">
        <v>123</v>
      </c>
      <c r="C352" s="4">
        <v>3</v>
      </c>
      <c r="D352" s="8">
        <v>1.63</v>
      </c>
      <c r="E352" s="4">
        <v>0</v>
      </c>
      <c r="F352" s="8">
        <v>0</v>
      </c>
      <c r="G352" s="4">
        <v>3</v>
      </c>
      <c r="H352" s="8">
        <v>3.37</v>
      </c>
      <c r="I352" s="4">
        <v>0</v>
      </c>
    </row>
    <row r="353" spans="1:9" x14ac:dyDescent="0.2">
      <c r="A353" s="2">
        <v>17</v>
      </c>
      <c r="B353" s="1" t="s">
        <v>110</v>
      </c>
      <c r="C353" s="4">
        <v>2</v>
      </c>
      <c r="D353" s="8">
        <v>1.0900000000000001</v>
      </c>
      <c r="E353" s="4">
        <v>1</v>
      </c>
      <c r="F353" s="8">
        <v>1.1000000000000001</v>
      </c>
      <c r="G353" s="4">
        <v>1</v>
      </c>
      <c r="H353" s="8">
        <v>1.1200000000000001</v>
      </c>
      <c r="I353" s="4">
        <v>0</v>
      </c>
    </row>
    <row r="354" spans="1:9" x14ac:dyDescent="0.2">
      <c r="A354" s="2">
        <v>17</v>
      </c>
      <c r="B354" s="1" t="s">
        <v>121</v>
      </c>
      <c r="C354" s="4">
        <v>2</v>
      </c>
      <c r="D354" s="8">
        <v>1.0900000000000001</v>
      </c>
      <c r="E354" s="4">
        <v>0</v>
      </c>
      <c r="F354" s="8">
        <v>0</v>
      </c>
      <c r="G354" s="4">
        <v>2</v>
      </c>
      <c r="H354" s="8">
        <v>2.25</v>
      </c>
      <c r="I354" s="4">
        <v>0</v>
      </c>
    </row>
    <row r="355" spans="1:9" x14ac:dyDescent="0.2">
      <c r="A355" s="2">
        <v>17</v>
      </c>
      <c r="B355" s="1" t="s">
        <v>122</v>
      </c>
      <c r="C355" s="4">
        <v>2</v>
      </c>
      <c r="D355" s="8">
        <v>1.0900000000000001</v>
      </c>
      <c r="E355" s="4">
        <v>1</v>
      </c>
      <c r="F355" s="8">
        <v>1.1000000000000001</v>
      </c>
      <c r="G355" s="4">
        <v>1</v>
      </c>
      <c r="H355" s="8">
        <v>1.1200000000000001</v>
      </c>
      <c r="I355" s="4">
        <v>0</v>
      </c>
    </row>
    <row r="356" spans="1:9" x14ac:dyDescent="0.2">
      <c r="A356" s="2">
        <v>17</v>
      </c>
      <c r="B356" s="1" t="s">
        <v>106</v>
      </c>
      <c r="C356" s="4">
        <v>2</v>
      </c>
      <c r="D356" s="8">
        <v>1.0900000000000001</v>
      </c>
      <c r="E356" s="4">
        <v>1</v>
      </c>
      <c r="F356" s="8">
        <v>1.1000000000000001</v>
      </c>
      <c r="G356" s="4">
        <v>1</v>
      </c>
      <c r="H356" s="8">
        <v>1.1200000000000001</v>
      </c>
      <c r="I356" s="4">
        <v>0</v>
      </c>
    </row>
    <row r="357" spans="1:9" x14ac:dyDescent="0.2">
      <c r="A357" s="2">
        <v>17</v>
      </c>
      <c r="B357" s="1" t="s">
        <v>87</v>
      </c>
      <c r="C357" s="4">
        <v>2</v>
      </c>
      <c r="D357" s="8">
        <v>1.0900000000000001</v>
      </c>
      <c r="E357" s="4">
        <v>0</v>
      </c>
      <c r="F357" s="8">
        <v>0</v>
      </c>
      <c r="G357" s="4">
        <v>2</v>
      </c>
      <c r="H357" s="8">
        <v>2.25</v>
      </c>
      <c r="I357" s="4">
        <v>0</v>
      </c>
    </row>
    <row r="358" spans="1:9" x14ac:dyDescent="0.2">
      <c r="A358" s="2">
        <v>17</v>
      </c>
      <c r="B358" s="1" t="s">
        <v>100</v>
      </c>
      <c r="C358" s="4">
        <v>2</v>
      </c>
      <c r="D358" s="8">
        <v>1.0900000000000001</v>
      </c>
      <c r="E358" s="4">
        <v>1</v>
      </c>
      <c r="F358" s="8">
        <v>1.1000000000000001</v>
      </c>
      <c r="G358" s="4">
        <v>1</v>
      </c>
      <c r="H358" s="8">
        <v>1.1200000000000001</v>
      </c>
      <c r="I358" s="4">
        <v>0</v>
      </c>
    </row>
    <row r="359" spans="1:9" x14ac:dyDescent="0.2">
      <c r="A359" s="2">
        <v>17</v>
      </c>
      <c r="B359" s="1" t="s">
        <v>101</v>
      </c>
      <c r="C359" s="4">
        <v>2</v>
      </c>
      <c r="D359" s="8">
        <v>1.0900000000000001</v>
      </c>
      <c r="E359" s="4">
        <v>0</v>
      </c>
      <c r="F359" s="8">
        <v>0</v>
      </c>
      <c r="G359" s="4">
        <v>2</v>
      </c>
      <c r="H359" s="8">
        <v>2.25</v>
      </c>
      <c r="I359" s="4">
        <v>0</v>
      </c>
    </row>
    <row r="360" spans="1:9" x14ac:dyDescent="0.2">
      <c r="A360" s="2">
        <v>17</v>
      </c>
      <c r="B360" s="1" t="s">
        <v>108</v>
      </c>
      <c r="C360" s="4">
        <v>2</v>
      </c>
      <c r="D360" s="8">
        <v>1.0900000000000001</v>
      </c>
      <c r="E360" s="4">
        <v>0</v>
      </c>
      <c r="F360" s="8">
        <v>0</v>
      </c>
      <c r="G360" s="4">
        <v>2</v>
      </c>
      <c r="H360" s="8">
        <v>2.25</v>
      </c>
      <c r="I360" s="4">
        <v>0</v>
      </c>
    </row>
    <row r="361" spans="1:9" x14ac:dyDescent="0.2">
      <c r="A361" s="1"/>
      <c r="C361" s="4"/>
      <c r="D361" s="8"/>
      <c r="E361" s="4"/>
      <c r="F361" s="8"/>
      <c r="G361" s="4"/>
      <c r="H361" s="8"/>
      <c r="I361" s="4"/>
    </row>
    <row r="362" spans="1:9" x14ac:dyDescent="0.2">
      <c r="A362" s="1" t="s">
        <v>16</v>
      </c>
      <c r="C362" s="4"/>
      <c r="D362" s="8"/>
      <c r="E362" s="4"/>
      <c r="F362" s="8"/>
      <c r="G362" s="4"/>
      <c r="H362" s="8"/>
      <c r="I362" s="4"/>
    </row>
    <row r="363" spans="1:9" x14ac:dyDescent="0.2">
      <c r="A363" s="2">
        <v>1</v>
      </c>
      <c r="B363" s="1" t="s">
        <v>97</v>
      </c>
      <c r="C363" s="4">
        <v>46</v>
      </c>
      <c r="D363" s="8">
        <v>12.07</v>
      </c>
      <c r="E363" s="4">
        <v>40</v>
      </c>
      <c r="F363" s="8">
        <v>16.88</v>
      </c>
      <c r="G363" s="4">
        <v>6</v>
      </c>
      <c r="H363" s="8">
        <v>4.32</v>
      </c>
      <c r="I363" s="4">
        <v>0</v>
      </c>
    </row>
    <row r="364" spans="1:9" x14ac:dyDescent="0.2">
      <c r="A364" s="2">
        <v>2</v>
      </c>
      <c r="B364" s="1" t="s">
        <v>92</v>
      </c>
      <c r="C364" s="4">
        <v>38</v>
      </c>
      <c r="D364" s="8">
        <v>9.9700000000000006</v>
      </c>
      <c r="E364" s="4">
        <v>31</v>
      </c>
      <c r="F364" s="8">
        <v>13.08</v>
      </c>
      <c r="G364" s="4">
        <v>7</v>
      </c>
      <c r="H364" s="8">
        <v>5.04</v>
      </c>
      <c r="I364" s="4">
        <v>0</v>
      </c>
    </row>
    <row r="365" spans="1:9" x14ac:dyDescent="0.2">
      <c r="A365" s="2">
        <v>3</v>
      </c>
      <c r="B365" s="1" t="s">
        <v>91</v>
      </c>
      <c r="C365" s="4">
        <v>30</v>
      </c>
      <c r="D365" s="8">
        <v>7.87</v>
      </c>
      <c r="E365" s="4">
        <v>19</v>
      </c>
      <c r="F365" s="8">
        <v>8.02</v>
      </c>
      <c r="G365" s="4">
        <v>11</v>
      </c>
      <c r="H365" s="8">
        <v>7.91</v>
      </c>
      <c r="I365" s="4">
        <v>0</v>
      </c>
    </row>
    <row r="366" spans="1:9" x14ac:dyDescent="0.2">
      <c r="A366" s="2">
        <v>4</v>
      </c>
      <c r="B366" s="1" t="s">
        <v>83</v>
      </c>
      <c r="C366" s="4">
        <v>27</v>
      </c>
      <c r="D366" s="8">
        <v>7.09</v>
      </c>
      <c r="E366" s="4">
        <v>8</v>
      </c>
      <c r="F366" s="8">
        <v>3.38</v>
      </c>
      <c r="G366" s="4">
        <v>19</v>
      </c>
      <c r="H366" s="8">
        <v>13.67</v>
      </c>
      <c r="I366" s="4">
        <v>0</v>
      </c>
    </row>
    <row r="367" spans="1:9" x14ac:dyDescent="0.2">
      <c r="A367" s="2">
        <v>5</v>
      </c>
      <c r="B367" s="1" t="s">
        <v>96</v>
      </c>
      <c r="C367" s="4">
        <v>21</v>
      </c>
      <c r="D367" s="8">
        <v>5.51</v>
      </c>
      <c r="E367" s="4">
        <v>20</v>
      </c>
      <c r="F367" s="8">
        <v>8.44</v>
      </c>
      <c r="G367" s="4">
        <v>1</v>
      </c>
      <c r="H367" s="8">
        <v>0.72</v>
      </c>
      <c r="I367" s="4">
        <v>0</v>
      </c>
    </row>
    <row r="368" spans="1:9" x14ac:dyDescent="0.2">
      <c r="A368" s="2">
        <v>6</v>
      </c>
      <c r="B368" s="1" t="s">
        <v>89</v>
      </c>
      <c r="C368" s="4">
        <v>18</v>
      </c>
      <c r="D368" s="8">
        <v>4.72</v>
      </c>
      <c r="E368" s="4">
        <v>13</v>
      </c>
      <c r="F368" s="8">
        <v>5.49</v>
      </c>
      <c r="G368" s="4">
        <v>5</v>
      </c>
      <c r="H368" s="8">
        <v>3.6</v>
      </c>
      <c r="I368" s="4">
        <v>0</v>
      </c>
    </row>
    <row r="369" spans="1:9" x14ac:dyDescent="0.2">
      <c r="A369" s="2">
        <v>7</v>
      </c>
      <c r="B369" s="1" t="s">
        <v>84</v>
      </c>
      <c r="C369" s="4">
        <v>17</v>
      </c>
      <c r="D369" s="8">
        <v>4.46</v>
      </c>
      <c r="E369" s="4">
        <v>10</v>
      </c>
      <c r="F369" s="8">
        <v>4.22</v>
      </c>
      <c r="G369" s="4">
        <v>7</v>
      </c>
      <c r="H369" s="8">
        <v>5.04</v>
      </c>
      <c r="I369" s="4">
        <v>0</v>
      </c>
    </row>
    <row r="370" spans="1:9" x14ac:dyDescent="0.2">
      <c r="A370" s="2">
        <v>7</v>
      </c>
      <c r="B370" s="1" t="s">
        <v>88</v>
      </c>
      <c r="C370" s="4">
        <v>17</v>
      </c>
      <c r="D370" s="8">
        <v>4.46</v>
      </c>
      <c r="E370" s="4">
        <v>10</v>
      </c>
      <c r="F370" s="8">
        <v>4.22</v>
      </c>
      <c r="G370" s="4">
        <v>7</v>
      </c>
      <c r="H370" s="8">
        <v>5.04</v>
      </c>
      <c r="I370" s="4">
        <v>0</v>
      </c>
    </row>
    <row r="371" spans="1:9" x14ac:dyDescent="0.2">
      <c r="A371" s="2">
        <v>9</v>
      </c>
      <c r="B371" s="1" t="s">
        <v>85</v>
      </c>
      <c r="C371" s="4">
        <v>15</v>
      </c>
      <c r="D371" s="8">
        <v>3.94</v>
      </c>
      <c r="E371" s="4">
        <v>8</v>
      </c>
      <c r="F371" s="8">
        <v>3.38</v>
      </c>
      <c r="G371" s="4">
        <v>7</v>
      </c>
      <c r="H371" s="8">
        <v>5.04</v>
      </c>
      <c r="I371" s="4">
        <v>0</v>
      </c>
    </row>
    <row r="372" spans="1:9" x14ac:dyDescent="0.2">
      <c r="A372" s="2">
        <v>9</v>
      </c>
      <c r="B372" s="1" t="s">
        <v>90</v>
      </c>
      <c r="C372" s="4">
        <v>15</v>
      </c>
      <c r="D372" s="8">
        <v>3.94</v>
      </c>
      <c r="E372" s="4">
        <v>9</v>
      </c>
      <c r="F372" s="8">
        <v>3.8</v>
      </c>
      <c r="G372" s="4">
        <v>6</v>
      </c>
      <c r="H372" s="8">
        <v>4.32</v>
      </c>
      <c r="I372" s="4">
        <v>0</v>
      </c>
    </row>
    <row r="373" spans="1:9" x14ac:dyDescent="0.2">
      <c r="A373" s="2">
        <v>11</v>
      </c>
      <c r="B373" s="1" t="s">
        <v>122</v>
      </c>
      <c r="C373" s="4">
        <v>10</v>
      </c>
      <c r="D373" s="8">
        <v>2.62</v>
      </c>
      <c r="E373" s="4">
        <v>6</v>
      </c>
      <c r="F373" s="8">
        <v>2.5299999999999998</v>
      </c>
      <c r="G373" s="4">
        <v>4</v>
      </c>
      <c r="H373" s="8">
        <v>2.88</v>
      </c>
      <c r="I373" s="4">
        <v>0</v>
      </c>
    </row>
    <row r="374" spans="1:9" x14ac:dyDescent="0.2">
      <c r="A374" s="2">
        <v>12</v>
      </c>
      <c r="B374" s="1" t="s">
        <v>99</v>
      </c>
      <c r="C374" s="4">
        <v>9</v>
      </c>
      <c r="D374" s="8">
        <v>2.36</v>
      </c>
      <c r="E374" s="4">
        <v>7</v>
      </c>
      <c r="F374" s="8">
        <v>2.95</v>
      </c>
      <c r="G374" s="4">
        <v>1</v>
      </c>
      <c r="H374" s="8">
        <v>0.72</v>
      </c>
      <c r="I374" s="4">
        <v>1</v>
      </c>
    </row>
    <row r="375" spans="1:9" x14ac:dyDescent="0.2">
      <c r="A375" s="2">
        <v>13</v>
      </c>
      <c r="B375" s="1" t="s">
        <v>100</v>
      </c>
      <c r="C375" s="4">
        <v>8</v>
      </c>
      <c r="D375" s="8">
        <v>2.1</v>
      </c>
      <c r="E375" s="4">
        <v>8</v>
      </c>
      <c r="F375" s="8">
        <v>3.38</v>
      </c>
      <c r="G375" s="4">
        <v>0</v>
      </c>
      <c r="H375" s="8">
        <v>0</v>
      </c>
      <c r="I375" s="4">
        <v>0</v>
      </c>
    </row>
    <row r="376" spans="1:9" x14ac:dyDescent="0.2">
      <c r="A376" s="2">
        <v>13</v>
      </c>
      <c r="B376" s="1" t="s">
        <v>102</v>
      </c>
      <c r="C376" s="4">
        <v>8</v>
      </c>
      <c r="D376" s="8">
        <v>2.1</v>
      </c>
      <c r="E376" s="4">
        <v>5</v>
      </c>
      <c r="F376" s="8">
        <v>2.11</v>
      </c>
      <c r="G376" s="4">
        <v>3</v>
      </c>
      <c r="H376" s="8">
        <v>2.16</v>
      </c>
      <c r="I376" s="4">
        <v>0</v>
      </c>
    </row>
    <row r="377" spans="1:9" x14ac:dyDescent="0.2">
      <c r="A377" s="2">
        <v>15</v>
      </c>
      <c r="B377" s="1" t="s">
        <v>111</v>
      </c>
      <c r="C377" s="4">
        <v>7</v>
      </c>
      <c r="D377" s="8">
        <v>1.84</v>
      </c>
      <c r="E377" s="4">
        <v>2</v>
      </c>
      <c r="F377" s="8">
        <v>0.84</v>
      </c>
      <c r="G377" s="4">
        <v>5</v>
      </c>
      <c r="H377" s="8">
        <v>3.6</v>
      </c>
      <c r="I377" s="4">
        <v>0</v>
      </c>
    </row>
    <row r="378" spans="1:9" x14ac:dyDescent="0.2">
      <c r="A378" s="2">
        <v>15</v>
      </c>
      <c r="B378" s="1" t="s">
        <v>103</v>
      </c>
      <c r="C378" s="4">
        <v>7</v>
      </c>
      <c r="D378" s="8">
        <v>1.84</v>
      </c>
      <c r="E378" s="4">
        <v>2</v>
      </c>
      <c r="F378" s="8">
        <v>0.84</v>
      </c>
      <c r="G378" s="4">
        <v>5</v>
      </c>
      <c r="H378" s="8">
        <v>3.6</v>
      </c>
      <c r="I378" s="4">
        <v>0</v>
      </c>
    </row>
    <row r="379" spans="1:9" x14ac:dyDescent="0.2">
      <c r="A379" s="2">
        <v>15</v>
      </c>
      <c r="B379" s="1" t="s">
        <v>108</v>
      </c>
      <c r="C379" s="4">
        <v>7</v>
      </c>
      <c r="D379" s="8">
        <v>1.84</v>
      </c>
      <c r="E379" s="4">
        <v>1</v>
      </c>
      <c r="F379" s="8">
        <v>0.42</v>
      </c>
      <c r="G379" s="4">
        <v>5</v>
      </c>
      <c r="H379" s="8">
        <v>3.6</v>
      </c>
      <c r="I379" s="4">
        <v>1</v>
      </c>
    </row>
    <row r="380" spans="1:9" x14ac:dyDescent="0.2">
      <c r="A380" s="2">
        <v>18</v>
      </c>
      <c r="B380" s="1" t="s">
        <v>114</v>
      </c>
      <c r="C380" s="4">
        <v>6</v>
      </c>
      <c r="D380" s="8">
        <v>1.57</v>
      </c>
      <c r="E380" s="4">
        <v>3</v>
      </c>
      <c r="F380" s="8">
        <v>1.27</v>
      </c>
      <c r="G380" s="4">
        <v>3</v>
      </c>
      <c r="H380" s="8">
        <v>2.16</v>
      </c>
      <c r="I380" s="4">
        <v>0</v>
      </c>
    </row>
    <row r="381" spans="1:9" x14ac:dyDescent="0.2">
      <c r="A381" s="2">
        <v>18</v>
      </c>
      <c r="B381" s="1" t="s">
        <v>94</v>
      </c>
      <c r="C381" s="4">
        <v>6</v>
      </c>
      <c r="D381" s="8">
        <v>1.57</v>
      </c>
      <c r="E381" s="4">
        <v>3</v>
      </c>
      <c r="F381" s="8">
        <v>1.27</v>
      </c>
      <c r="G381" s="4">
        <v>3</v>
      </c>
      <c r="H381" s="8">
        <v>2.16</v>
      </c>
      <c r="I381" s="4">
        <v>0</v>
      </c>
    </row>
    <row r="382" spans="1:9" x14ac:dyDescent="0.2">
      <c r="A382" s="2">
        <v>20</v>
      </c>
      <c r="B382" s="1" t="s">
        <v>86</v>
      </c>
      <c r="C382" s="4">
        <v>5</v>
      </c>
      <c r="D382" s="8">
        <v>1.31</v>
      </c>
      <c r="E382" s="4">
        <v>2</v>
      </c>
      <c r="F382" s="8">
        <v>0.84</v>
      </c>
      <c r="G382" s="4">
        <v>3</v>
      </c>
      <c r="H382" s="8">
        <v>2.16</v>
      </c>
      <c r="I382" s="4">
        <v>0</v>
      </c>
    </row>
    <row r="383" spans="1:9" x14ac:dyDescent="0.2">
      <c r="A383" s="1"/>
      <c r="C383" s="4"/>
      <c r="D383" s="8"/>
      <c r="E383" s="4"/>
      <c r="F383" s="8"/>
      <c r="G383" s="4"/>
      <c r="H383" s="8"/>
      <c r="I383" s="4"/>
    </row>
    <row r="384" spans="1:9" x14ac:dyDescent="0.2">
      <c r="A384" s="1" t="s">
        <v>17</v>
      </c>
      <c r="C384" s="4"/>
      <c r="D384" s="8"/>
      <c r="E384" s="4"/>
      <c r="F384" s="8"/>
      <c r="G384" s="4"/>
      <c r="H384" s="8"/>
      <c r="I384" s="4"/>
    </row>
    <row r="385" spans="1:9" x14ac:dyDescent="0.2">
      <c r="A385" s="2">
        <v>1</v>
      </c>
      <c r="B385" s="1" t="s">
        <v>97</v>
      </c>
      <c r="C385" s="4">
        <v>17</v>
      </c>
      <c r="D385" s="8">
        <v>11.81</v>
      </c>
      <c r="E385" s="4">
        <v>16</v>
      </c>
      <c r="F385" s="8">
        <v>21.33</v>
      </c>
      <c r="G385" s="4">
        <v>1</v>
      </c>
      <c r="H385" s="8">
        <v>1.52</v>
      </c>
      <c r="I385" s="4">
        <v>0</v>
      </c>
    </row>
    <row r="386" spans="1:9" x14ac:dyDescent="0.2">
      <c r="A386" s="2">
        <v>2</v>
      </c>
      <c r="B386" s="1" t="s">
        <v>83</v>
      </c>
      <c r="C386" s="4">
        <v>15</v>
      </c>
      <c r="D386" s="8">
        <v>10.42</v>
      </c>
      <c r="E386" s="4">
        <v>7</v>
      </c>
      <c r="F386" s="8">
        <v>9.33</v>
      </c>
      <c r="G386" s="4">
        <v>8</v>
      </c>
      <c r="H386" s="8">
        <v>12.12</v>
      </c>
      <c r="I386" s="4">
        <v>0</v>
      </c>
    </row>
    <row r="387" spans="1:9" x14ac:dyDescent="0.2">
      <c r="A387" s="2">
        <v>3</v>
      </c>
      <c r="B387" s="1" t="s">
        <v>84</v>
      </c>
      <c r="C387" s="4">
        <v>11</v>
      </c>
      <c r="D387" s="8">
        <v>7.64</v>
      </c>
      <c r="E387" s="4">
        <v>7</v>
      </c>
      <c r="F387" s="8">
        <v>9.33</v>
      </c>
      <c r="G387" s="4">
        <v>4</v>
      </c>
      <c r="H387" s="8">
        <v>6.06</v>
      </c>
      <c r="I387" s="4">
        <v>0</v>
      </c>
    </row>
    <row r="388" spans="1:9" x14ac:dyDescent="0.2">
      <c r="A388" s="2">
        <v>3</v>
      </c>
      <c r="B388" s="1" t="s">
        <v>89</v>
      </c>
      <c r="C388" s="4">
        <v>11</v>
      </c>
      <c r="D388" s="8">
        <v>7.64</v>
      </c>
      <c r="E388" s="4">
        <v>9</v>
      </c>
      <c r="F388" s="8">
        <v>12</v>
      </c>
      <c r="G388" s="4">
        <v>2</v>
      </c>
      <c r="H388" s="8">
        <v>3.03</v>
      </c>
      <c r="I388" s="4">
        <v>0</v>
      </c>
    </row>
    <row r="389" spans="1:9" x14ac:dyDescent="0.2">
      <c r="A389" s="2">
        <v>5</v>
      </c>
      <c r="B389" s="1" t="s">
        <v>85</v>
      </c>
      <c r="C389" s="4">
        <v>10</v>
      </c>
      <c r="D389" s="8">
        <v>6.94</v>
      </c>
      <c r="E389" s="4">
        <v>2</v>
      </c>
      <c r="F389" s="8">
        <v>2.67</v>
      </c>
      <c r="G389" s="4">
        <v>8</v>
      </c>
      <c r="H389" s="8">
        <v>12.12</v>
      </c>
      <c r="I389" s="4">
        <v>0</v>
      </c>
    </row>
    <row r="390" spans="1:9" x14ac:dyDescent="0.2">
      <c r="A390" s="2">
        <v>5</v>
      </c>
      <c r="B390" s="1" t="s">
        <v>91</v>
      </c>
      <c r="C390" s="4">
        <v>10</v>
      </c>
      <c r="D390" s="8">
        <v>6.94</v>
      </c>
      <c r="E390" s="4">
        <v>4</v>
      </c>
      <c r="F390" s="8">
        <v>5.33</v>
      </c>
      <c r="G390" s="4">
        <v>6</v>
      </c>
      <c r="H390" s="8">
        <v>9.09</v>
      </c>
      <c r="I390" s="4">
        <v>0</v>
      </c>
    </row>
    <row r="391" spans="1:9" x14ac:dyDescent="0.2">
      <c r="A391" s="2">
        <v>7</v>
      </c>
      <c r="B391" s="1" t="s">
        <v>96</v>
      </c>
      <c r="C391" s="4">
        <v>9</v>
      </c>
      <c r="D391" s="8">
        <v>6.25</v>
      </c>
      <c r="E391" s="4">
        <v>8</v>
      </c>
      <c r="F391" s="8">
        <v>10.67</v>
      </c>
      <c r="G391" s="4">
        <v>1</v>
      </c>
      <c r="H391" s="8">
        <v>1.52</v>
      </c>
      <c r="I391" s="4">
        <v>0</v>
      </c>
    </row>
    <row r="392" spans="1:9" x14ac:dyDescent="0.2">
      <c r="A392" s="2">
        <v>8</v>
      </c>
      <c r="B392" s="1" t="s">
        <v>90</v>
      </c>
      <c r="C392" s="4">
        <v>7</v>
      </c>
      <c r="D392" s="8">
        <v>4.8600000000000003</v>
      </c>
      <c r="E392" s="4">
        <v>3</v>
      </c>
      <c r="F392" s="8">
        <v>4</v>
      </c>
      <c r="G392" s="4">
        <v>4</v>
      </c>
      <c r="H392" s="8">
        <v>6.06</v>
      </c>
      <c r="I392" s="4">
        <v>0</v>
      </c>
    </row>
    <row r="393" spans="1:9" x14ac:dyDescent="0.2">
      <c r="A393" s="2">
        <v>9</v>
      </c>
      <c r="B393" s="1" t="s">
        <v>93</v>
      </c>
      <c r="C393" s="4">
        <v>6</v>
      </c>
      <c r="D393" s="8">
        <v>4.17</v>
      </c>
      <c r="E393" s="4">
        <v>5</v>
      </c>
      <c r="F393" s="8">
        <v>6.67</v>
      </c>
      <c r="G393" s="4">
        <v>1</v>
      </c>
      <c r="H393" s="8">
        <v>1.52</v>
      </c>
      <c r="I393" s="4">
        <v>0</v>
      </c>
    </row>
    <row r="394" spans="1:9" x14ac:dyDescent="0.2">
      <c r="A394" s="2">
        <v>9</v>
      </c>
      <c r="B394" s="1" t="s">
        <v>95</v>
      </c>
      <c r="C394" s="4">
        <v>6</v>
      </c>
      <c r="D394" s="8">
        <v>4.17</v>
      </c>
      <c r="E394" s="4">
        <v>1</v>
      </c>
      <c r="F394" s="8">
        <v>1.33</v>
      </c>
      <c r="G394" s="4">
        <v>5</v>
      </c>
      <c r="H394" s="8">
        <v>7.58</v>
      </c>
      <c r="I394" s="4">
        <v>0</v>
      </c>
    </row>
    <row r="395" spans="1:9" x14ac:dyDescent="0.2">
      <c r="A395" s="2">
        <v>11</v>
      </c>
      <c r="B395" s="1" t="s">
        <v>99</v>
      </c>
      <c r="C395" s="4">
        <v>4</v>
      </c>
      <c r="D395" s="8">
        <v>2.78</v>
      </c>
      <c r="E395" s="4">
        <v>3</v>
      </c>
      <c r="F395" s="8">
        <v>4</v>
      </c>
      <c r="G395" s="4">
        <v>1</v>
      </c>
      <c r="H395" s="8">
        <v>1.52</v>
      </c>
      <c r="I395" s="4">
        <v>0</v>
      </c>
    </row>
    <row r="396" spans="1:9" x14ac:dyDescent="0.2">
      <c r="A396" s="2">
        <v>11</v>
      </c>
      <c r="B396" s="1" t="s">
        <v>100</v>
      </c>
      <c r="C396" s="4">
        <v>4</v>
      </c>
      <c r="D396" s="8">
        <v>2.78</v>
      </c>
      <c r="E396" s="4">
        <v>4</v>
      </c>
      <c r="F396" s="8">
        <v>5.33</v>
      </c>
      <c r="G396" s="4">
        <v>0</v>
      </c>
      <c r="H396" s="8">
        <v>0</v>
      </c>
      <c r="I396" s="4">
        <v>0</v>
      </c>
    </row>
    <row r="397" spans="1:9" x14ac:dyDescent="0.2">
      <c r="A397" s="2">
        <v>13</v>
      </c>
      <c r="B397" s="1" t="s">
        <v>101</v>
      </c>
      <c r="C397" s="4">
        <v>3</v>
      </c>
      <c r="D397" s="8">
        <v>2.08</v>
      </c>
      <c r="E397" s="4">
        <v>0</v>
      </c>
      <c r="F397" s="8">
        <v>0</v>
      </c>
      <c r="G397" s="4">
        <v>2</v>
      </c>
      <c r="H397" s="8">
        <v>3.03</v>
      </c>
      <c r="I397" s="4">
        <v>0</v>
      </c>
    </row>
    <row r="398" spans="1:9" x14ac:dyDescent="0.2">
      <c r="A398" s="2">
        <v>13</v>
      </c>
      <c r="B398" s="1" t="s">
        <v>120</v>
      </c>
      <c r="C398" s="4">
        <v>3</v>
      </c>
      <c r="D398" s="8">
        <v>2.08</v>
      </c>
      <c r="E398" s="4">
        <v>0</v>
      </c>
      <c r="F398" s="8">
        <v>0</v>
      </c>
      <c r="G398" s="4">
        <v>3</v>
      </c>
      <c r="H398" s="8">
        <v>4.55</v>
      </c>
      <c r="I398" s="4">
        <v>0</v>
      </c>
    </row>
    <row r="399" spans="1:9" x14ac:dyDescent="0.2">
      <c r="A399" s="2">
        <v>15</v>
      </c>
      <c r="B399" s="1" t="s">
        <v>110</v>
      </c>
      <c r="C399" s="4">
        <v>2</v>
      </c>
      <c r="D399" s="8">
        <v>1.39</v>
      </c>
      <c r="E399" s="4">
        <v>0</v>
      </c>
      <c r="F399" s="8">
        <v>0</v>
      </c>
      <c r="G399" s="4">
        <v>2</v>
      </c>
      <c r="H399" s="8">
        <v>3.03</v>
      </c>
      <c r="I399" s="4">
        <v>0</v>
      </c>
    </row>
    <row r="400" spans="1:9" x14ac:dyDescent="0.2">
      <c r="A400" s="2">
        <v>15</v>
      </c>
      <c r="B400" s="1" t="s">
        <v>87</v>
      </c>
      <c r="C400" s="4">
        <v>2</v>
      </c>
      <c r="D400" s="8">
        <v>1.39</v>
      </c>
      <c r="E400" s="4">
        <v>0</v>
      </c>
      <c r="F400" s="8">
        <v>0</v>
      </c>
      <c r="G400" s="4">
        <v>2</v>
      </c>
      <c r="H400" s="8">
        <v>3.03</v>
      </c>
      <c r="I400" s="4">
        <v>0</v>
      </c>
    </row>
    <row r="401" spans="1:9" x14ac:dyDescent="0.2">
      <c r="A401" s="2">
        <v>15</v>
      </c>
      <c r="B401" s="1" t="s">
        <v>88</v>
      </c>
      <c r="C401" s="4">
        <v>2</v>
      </c>
      <c r="D401" s="8">
        <v>1.39</v>
      </c>
      <c r="E401" s="4">
        <v>2</v>
      </c>
      <c r="F401" s="8">
        <v>2.67</v>
      </c>
      <c r="G401" s="4">
        <v>0</v>
      </c>
      <c r="H401" s="8">
        <v>0</v>
      </c>
      <c r="I401" s="4">
        <v>0</v>
      </c>
    </row>
    <row r="402" spans="1:9" x14ac:dyDescent="0.2">
      <c r="A402" s="2">
        <v>15</v>
      </c>
      <c r="B402" s="1" t="s">
        <v>103</v>
      </c>
      <c r="C402" s="4">
        <v>2</v>
      </c>
      <c r="D402" s="8">
        <v>1.39</v>
      </c>
      <c r="E402" s="4">
        <v>0</v>
      </c>
      <c r="F402" s="8">
        <v>0</v>
      </c>
      <c r="G402" s="4">
        <v>2</v>
      </c>
      <c r="H402" s="8">
        <v>3.03</v>
      </c>
      <c r="I402" s="4">
        <v>0</v>
      </c>
    </row>
    <row r="403" spans="1:9" x14ac:dyDescent="0.2">
      <c r="A403" s="2">
        <v>15</v>
      </c>
      <c r="B403" s="1" t="s">
        <v>102</v>
      </c>
      <c r="C403" s="4">
        <v>2</v>
      </c>
      <c r="D403" s="8">
        <v>1.39</v>
      </c>
      <c r="E403" s="4">
        <v>1</v>
      </c>
      <c r="F403" s="8">
        <v>1.33</v>
      </c>
      <c r="G403" s="4">
        <v>1</v>
      </c>
      <c r="H403" s="8">
        <v>1.52</v>
      </c>
      <c r="I403" s="4">
        <v>0</v>
      </c>
    </row>
    <row r="404" spans="1:9" x14ac:dyDescent="0.2">
      <c r="A404" s="2">
        <v>20</v>
      </c>
      <c r="B404" s="1" t="s">
        <v>124</v>
      </c>
      <c r="C404" s="4">
        <v>1</v>
      </c>
      <c r="D404" s="8">
        <v>0.69</v>
      </c>
      <c r="E404" s="4">
        <v>0</v>
      </c>
      <c r="F404" s="8">
        <v>0</v>
      </c>
      <c r="G404" s="4">
        <v>1</v>
      </c>
      <c r="H404" s="8">
        <v>1.52</v>
      </c>
      <c r="I404" s="4">
        <v>0</v>
      </c>
    </row>
    <row r="405" spans="1:9" x14ac:dyDescent="0.2">
      <c r="A405" s="2">
        <v>20</v>
      </c>
      <c r="B405" s="1" t="s">
        <v>121</v>
      </c>
      <c r="C405" s="4">
        <v>1</v>
      </c>
      <c r="D405" s="8">
        <v>0.69</v>
      </c>
      <c r="E405" s="4">
        <v>0</v>
      </c>
      <c r="F405" s="8">
        <v>0</v>
      </c>
      <c r="G405" s="4">
        <v>1</v>
      </c>
      <c r="H405" s="8">
        <v>1.52</v>
      </c>
      <c r="I405" s="4">
        <v>0</v>
      </c>
    </row>
    <row r="406" spans="1:9" x14ac:dyDescent="0.2">
      <c r="A406" s="2">
        <v>20</v>
      </c>
      <c r="B406" s="1" t="s">
        <v>112</v>
      </c>
      <c r="C406" s="4">
        <v>1</v>
      </c>
      <c r="D406" s="8">
        <v>0.69</v>
      </c>
      <c r="E406" s="4">
        <v>1</v>
      </c>
      <c r="F406" s="8">
        <v>1.33</v>
      </c>
      <c r="G406" s="4">
        <v>0</v>
      </c>
      <c r="H406" s="8">
        <v>0</v>
      </c>
      <c r="I406" s="4">
        <v>0</v>
      </c>
    </row>
    <row r="407" spans="1:9" x14ac:dyDescent="0.2">
      <c r="A407" s="2">
        <v>20</v>
      </c>
      <c r="B407" s="1" t="s">
        <v>115</v>
      </c>
      <c r="C407" s="4">
        <v>1</v>
      </c>
      <c r="D407" s="8">
        <v>0.69</v>
      </c>
      <c r="E407" s="4">
        <v>0</v>
      </c>
      <c r="F407" s="8">
        <v>0</v>
      </c>
      <c r="G407" s="4">
        <v>1</v>
      </c>
      <c r="H407" s="8">
        <v>1.52</v>
      </c>
      <c r="I407" s="4">
        <v>0</v>
      </c>
    </row>
    <row r="408" spans="1:9" x14ac:dyDescent="0.2">
      <c r="A408" s="2">
        <v>20</v>
      </c>
      <c r="B408" s="1" t="s">
        <v>114</v>
      </c>
      <c r="C408" s="4">
        <v>1</v>
      </c>
      <c r="D408" s="8">
        <v>0.69</v>
      </c>
      <c r="E408" s="4">
        <v>0</v>
      </c>
      <c r="F408" s="8">
        <v>0</v>
      </c>
      <c r="G408" s="4">
        <v>1</v>
      </c>
      <c r="H408" s="8">
        <v>1.52</v>
      </c>
      <c r="I408" s="4">
        <v>0</v>
      </c>
    </row>
    <row r="409" spans="1:9" x14ac:dyDescent="0.2">
      <c r="A409" s="2">
        <v>20</v>
      </c>
      <c r="B409" s="1" t="s">
        <v>125</v>
      </c>
      <c r="C409" s="4">
        <v>1</v>
      </c>
      <c r="D409" s="8">
        <v>0.69</v>
      </c>
      <c r="E409" s="4">
        <v>0</v>
      </c>
      <c r="F409" s="8">
        <v>0</v>
      </c>
      <c r="G409" s="4">
        <v>1</v>
      </c>
      <c r="H409" s="8">
        <v>1.52</v>
      </c>
      <c r="I409" s="4">
        <v>0</v>
      </c>
    </row>
    <row r="410" spans="1:9" x14ac:dyDescent="0.2">
      <c r="A410" s="2">
        <v>20</v>
      </c>
      <c r="B410" s="1" t="s">
        <v>126</v>
      </c>
      <c r="C410" s="4">
        <v>1</v>
      </c>
      <c r="D410" s="8">
        <v>0.69</v>
      </c>
      <c r="E410" s="4">
        <v>0</v>
      </c>
      <c r="F410" s="8">
        <v>0</v>
      </c>
      <c r="G410" s="4">
        <v>1</v>
      </c>
      <c r="H410" s="8">
        <v>1.52</v>
      </c>
      <c r="I410" s="4">
        <v>0</v>
      </c>
    </row>
    <row r="411" spans="1:9" x14ac:dyDescent="0.2">
      <c r="A411" s="2">
        <v>20</v>
      </c>
      <c r="B411" s="1" t="s">
        <v>127</v>
      </c>
      <c r="C411" s="4">
        <v>1</v>
      </c>
      <c r="D411" s="8">
        <v>0.69</v>
      </c>
      <c r="E411" s="4">
        <v>0</v>
      </c>
      <c r="F411" s="8">
        <v>0</v>
      </c>
      <c r="G411" s="4">
        <v>0</v>
      </c>
      <c r="H411" s="8">
        <v>0</v>
      </c>
      <c r="I411" s="4">
        <v>0</v>
      </c>
    </row>
    <row r="412" spans="1:9" x14ac:dyDescent="0.2">
      <c r="A412" s="2">
        <v>20</v>
      </c>
      <c r="B412" s="1" t="s">
        <v>128</v>
      </c>
      <c r="C412" s="4">
        <v>1</v>
      </c>
      <c r="D412" s="8">
        <v>0.69</v>
      </c>
      <c r="E412" s="4">
        <v>0</v>
      </c>
      <c r="F412" s="8">
        <v>0</v>
      </c>
      <c r="G412" s="4">
        <v>1</v>
      </c>
      <c r="H412" s="8">
        <v>1.52</v>
      </c>
      <c r="I412" s="4">
        <v>0</v>
      </c>
    </row>
    <row r="413" spans="1:9" x14ac:dyDescent="0.2">
      <c r="A413" s="2">
        <v>20</v>
      </c>
      <c r="B413" s="1" t="s">
        <v>86</v>
      </c>
      <c r="C413" s="4">
        <v>1</v>
      </c>
      <c r="D413" s="8">
        <v>0.69</v>
      </c>
      <c r="E413" s="4">
        <v>0</v>
      </c>
      <c r="F413" s="8">
        <v>0</v>
      </c>
      <c r="G413" s="4">
        <v>1</v>
      </c>
      <c r="H413" s="8">
        <v>1.52</v>
      </c>
      <c r="I413" s="4">
        <v>0</v>
      </c>
    </row>
    <row r="414" spans="1:9" x14ac:dyDescent="0.2">
      <c r="A414" s="2">
        <v>20</v>
      </c>
      <c r="B414" s="1" t="s">
        <v>107</v>
      </c>
      <c r="C414" s="4">
        <v>1</v>
      </c>
      <c r="D414" s="8">
        <v>0.69</v>
      </c>
      <c r="E414" s="4">
        <v>1</v>
      </c>
      <c r="F414" s="8">
        <v>1.33</v>
      </c>
      <c r="G414" s="4">
        <v>0</v>
      </c>
      <c r="H414" s="8">
        <v>0</v>
      </c>
      <c r="I414" s="4">
        <v>0</v>
      </c>
    </row>
    <row r="415" spans="1:9" x14ac:dyDescent="0.2">
      <c r="A415" s="2">
        <v>20</v>
      </c>
      <c r="B415" s="1" t="s">
        <v>104</v>
      </c>
      <c r="C415" s="4">
        <v>1</v>
      </c>
      <c r="D415" s="8">
        <v>0.69</v>
      </c>
      <c r="E415" s="4">
        <v>1</v>
      </c>
      <c r="F415" s="8">
        <v>1.33</v>
      </c>
      <c r="G415" s="4">
        <v>0</v>
      </c>
      <c r="H415" s="8">
        <v>0</v>
      </c>
      <c r="I415" s="4">
        <v>0</v>
      </c>
    </row>
    <row r="416" spans="1:9" x14ac:dyDescent="0.2">
      <c r="A416" s="2">
        <v>20</v>
      </c>
      <c r="B416" s="1" t="s">
        <v>92</v>
      </c>
      <c r="C416" s="4">
        <v>1</v>
      </c>
      <c r="D416" s="8">
        <v>0.69</v>
      </c>
      <c r="E416" s="4">
        <v>0</v>
      </c>
      <c r="F416" s="8">
        <v>0</v>
      </c>
      <c r="G416" s="4">
        <v>1</v>
      </c>
      <c r="H416" s="8">
        <v>1.52</v>
      </c>
      <c r="I416" s="4">
        <v>0</v>
      </c>
    </row>
    <row r="417" spans="1:9" x14ac:dyDescent="0.2">
      <c r="A417" s="2">
        <v>20</v>
      </c>
      <c r="B417" s="1" t="s">
        <v>113</v>
      </c>
      <c r="C417" s="4">
        <v>1</v>
      </c>
      <c r="D417" s="8">
        <v>0.69</v>
      </c>
      <c r="E417" s="4">
        <v>0</v>
      </c>
      <c r="F417" s="8">
        <v>0</v>
      </c>
      <c r="G417" s="4">
        <v>1</v>
      </c>
      <c r="H417" s="8">
        <v>1.52</v>
      </c>
      <c r="I417" s="4">
        <v>0</v>
      </c>
    </row>
    <row r="418" spans="1:9" x14ac:dyDescent="0.2">
      <c r="A418" s="2">
        <v>20</v>
      </c>
      <c r="B418" s="1" t="s">
        <v>98</v>
      </c>
      <c r="C418" s="4">
        <v>1</v>
      </c>
      <c r="D418" s="8">
        <v>0.69</v>
      </c>
      <c r="E418" s="4">
        <v>0</v>
      </c>
      <c r="F418" s="8">
        <v>0</v>
      </c>
      <c r="G418" s="4">
        <v>1</v>
      </c>
      <c r="H418" s="8">
        <v>1.52</v>
      </c>
      <c r="I418" s="4">
        <v>0</v>
      </c>
    </row>
    <row r="419" spans="1:9" x14ac:dyDescent="0.2">
      <c r="A419" s="2">
        <v>20</v>
      </c>
      <c r="B419" s="1" t="s">
        <v>129</v>
      </c>
      <c r="C419" s="4">
        <v>1</v>
      </c>
      <c r="D419" s="8">
        <v>0.69</v>
      </c>
      <c r="E419" s="4">
        <v>0</v>
      </c>
      <c r="F419" s="8">
        <v>0</v>
      </c>
      <c r="G419" s="4">
        <v>0</v>
      </c>
      <c r="H419" s="8">
        <v>0</v>
      </c>
      <c r="I419" s="4">
        <v>0</v>
      </c>
    </row>
    <row r="420" spans="1:9" x14ac:dyDescent="0.2">
      <c r="A420" s="2">
        <v>20</v>
      </c>
      <c r="B420" s="1" t="s">
        <v>123</v>
      </c>
      <c r="C420" s="4">
        <v>1</v>
      </c>
      <c r="D420" s="8">
        <v>0.69</v>
      </c>
      <c r="E420" s="4">
        <v>0</v>
      </c>
      <c r="F420" s="8">
        <v>0</v>
      </c>
      <c r="G420" s="4">
        <v>1</v>
      </c>
      <c r="H420" s="8">
        <v>1.52</v>
      </c>
      <c r="I420" s="4">
        <v>0</v>
      </c>
    </row>
    <row r="421" spans="1:9" x14ac:dyDescent="0.2">
      <c r="A421" s="2">
        <v>20</v>
      </c>
      <c r="B421" s="1" t="s">
        <v>108</v>
      </c>
      <c r="C421" s="4">
        <v>1</v>
      </c>
      <c r="D421" s="8">
        <v>0.69</v>
      </c>
      <c r="E421" s="4">
        <v>0</v>
      </c>
      <c r="F421" s="8">
        <v>0</v>
      </c>
      <c r="G421" s="4">
        <v>1</v>
      </c>
      <c r="H421" s="8">
        <v>1.52</v>
      </c>
      <c r="I421" s="4">
        <v>0</v>
      </c>
    </row>
    <row r="422" spans="1:9" x14ac:dyDescent="0.2">
      <c r="A422" s="1"/>
      <c r="C422" s="4"/>
      <c r="D422" s="8"/>
      <c r="E422" s="4"/>
      <c r="F422" s="8"/>
      <c r="G422" s="4"/>
      <c r="H422" s="8"/>
      <c r="I422" s="4"/>
    </row>
    <row r="423" spans="1:9" x14ac:dyDescent="0.2">
      <c r="A423" s="1" t="s">
        <v>18</v>
      </c>
      <c r="C423" s="4"/>
      <c r="D423" s="8"/>
      <c r="E423" s="4"/>
      <c r="F423" s="8"/>
      <c r="G423" s="4"/>
      <c r="H423" s="8"/>
      <c r="I423" s="4"/>
    </row>
    <row r="424" spans="1:9" x14ac:dyDescent="0.2">
      <c r="A424" s="2">
        <v>1</v>
      </c>
      <c r="B424" s="1" t="s">
        <v>97</v>
      </c>
      <c r="C424" s="4">
        <v>38</v>
      </c>
      <c r="D424" s="8">
        <v>11.99</v>
      </c>
      <c r="E424" s="4">
        <v>30</v>
      </c>
      <c r="F424" s="8">
        <v>19.350000000000001</v>
      </c>
      <c r="G424" s="4">
        <v>8</v>
      </c>
      <c r="H424" s="8">
        <v>5.19</v>
      </c>
      <c r="I424" s="4">
        <v>0</v>
      </c>
    </row>
    <row r="425" spans="1:9" x14ac:dyDescent="0.2">
      <c r="A425" s="2">
        <v>2</v>
      </c>
      <c r="B425" s="1" t="s">
        <v>96</v>
      </c>
      <c r="C425" s="4">
        <v>29</v>
      </c>
      <c r="D425" s="8">
        <v>9.15</v>
      </c>
      <c r="E425" s="4">
        <v>25</v>
      </c>
      <c r="F425" s="8">
        <v>16.13</v>
      </c>
      <c r="G425" s="4">
        <v>4</v>
      </c>
      <c r="H425" s="8">
        <v>2.6</v>
      </c>
      <c r="I425" s="4">
        <v>0</v>
      </c>
    </row>
    <row r="426" spans="1:9" x14ac:dyDescent="0.2">
      <c r="A426" s="2">
        <v>3</v>
      </c>
      <c r="B426" s="1" t="s">
        <v>84</v>
      </c>
      <c r="C426" s="4">
        <v>24</v>
      </c>
      <c r="D426" s="8">
        <v>7.57</v>
      </c>
      <c r="E426" s="4">
        <v>13</v>
      </c>
      <c r="F426" s="8">
        <v>8.39</v>
      </c>
      <c r="G426" s="4">
        <v>11</v>
      </c>
      <c r="H426" s="8">
        <v>7.14</v>
      </c>
      <c r="I426" s="4">
        <v>0</v>
      </c>
    </row>
    <row r="427" spans="1:9" x14ac:dyDescent="0.2">
      <c r="A427" s="2">
        <v>3</v>
      </c>
      <c r="B427" s="1" t="s">
        <v>91</v>
      </c>
      <c r="C427" s="4">
        <v>24</v>
      </c>
      <c r="D427" s="8">
        <v>7.57</v>
      </c>
      <c r="E427" s="4">
        <v>11</v>
      </c>
      <c r="F427" s="8">
        <v>7.1</v>
      </c>
      <c r="G427" s="4">
        <v>13</v>
      </c>
      <c r="H427" s="8">
        <v>8.44</v>
      </c>
      <c r="I427" s="4">
        <v>0</v>
      </c>
    </row>
    <row r="428" spans="1:9" x14ac:dyDescent="0.2">
      <c r="A428" s="2">
        <v>5</v>
      </c>
      <c r="B428" s="1" t="s">
        <v>89</v>
      </c>
      <c r="C428" s="4">
        <v>18</v>
      </c>
      <c r="D428" s="8">
        <v>5.68</v>
      </c>
      <c r="E428" s="4">
        <v>11</v>
      </c>
      <c r="F428" s="8">
        <v>7.1</v>
      </c>
      <c r="G428" s="4">
        <v>7</v>
      </c>
      <c r="H428" s="8">
        <v>4.55</v>
      </c>
      <c r="I428" s="4">
        <v>0</v>
      </c>
    </row>
    <row r="429" spans="1:9" x14ac:dyDescent="0.2">
      <c r="A429" s="2">
        <v>6</v>
      </c>
      <c r="B429" s="1" t="s">
        <v>90</v>
      </c>
      <c r="C429" s="4">
        <v>13</v>
      </c>
      <c r="D429" s="8">
        <v>4.0999999999999996</v>
      </c>
      <c r="E429" s="4">
        <v>6</v>
      </c>
      <c r="F429" s="8">
        <v>3.87</v>
      </c>
      <c r="G429" s="4">
        <v>7</v>
      </c>
      <c r="H429" s="8">
        <v>4.55</v>
      </c>
      <c r="I429" s="4">
        <v>0</v>
      </c>
    </row>
    <row r="430" spans="1:9" x14ac:dyDescent="0.2">
      <c r="A430" s="2">
        <v>7</v>
      </c>
      <c r="B430" s="1" t="s">
        <v>83</v>
      </c>
      <c r="C430" s="4">
        <v>12</v>
      </c>
      <c r="D430" s="8">
        <v>3.79</v>
      </c>
      <c r="E430" s="4">
        <v>3</v>
      </c>
      <c r="F430" s="8">
        <v>1.94</v>
      </c>
      <c r="G430" s="4">
        <v>9</v>
      </c>
      <c r="H430" s="8">
        <v>5.84</v>
      </c>
      <c r="I430" s="4">
        <v>0</v>
      </c>
    </row>
    <row r="431" spans="1:9" x14ac:dyDescent="0.2">
      <c r="A431" s="2">
        <v>7</v>
      </c>
      <c r="B431" s="1" t="s">
        <v>115</v>
      </c>
      <c r="C431" s="4">
        <v>12</v>
      </c>
      <c r="D431" s="8">
        <v>3.79</v>
      </c>
      <c r="E431" s="4">
        <v>5</v>
      </c>
      <c r="F431" s="8">
        <v>3.23</v>
      </c>
      <c r="G431" s="4">
        <v>7</v>
      </c>
      <c r="H431" s="8">
        <v>4.55</v>
      </c>
      <c r="I431" s="4">
        <v>0</v>
      </c>
    </row>
    <row r="432" spans="1:9" x14ac:dyDescent="0.2">
      <c r="A432" s="2">
        <v>9</v>
      </c>
      <c r="B432" s="1" t="s">
        <v>85</v>
      </c>
      <c r="C432" s="4">
        <v>11</v>
      </c>
      <c r="D432" s="8">
        <v>3.47</v>
      </c>
      <c r="E432" s="4">
        <v>3</v>
      </c>
      <c r="F432" s="8">
        <v>1.94</v>
      </c>
      <c r="G432" s="4">
        <v>8</v>
      </c>
      <c r="H432" s="8">
        <v>5.19</v>
      </c>
      <c r="I432" s="4">
        <v>0</v>
      </c>
    </row>
    <row r="433" spans="1:9" x14ac:dyDescent="0.2">
      <c r="A433" s="2">
        <v>9</v>
      </c>
      <c r="B433" s="1" t="s">
        <v>92</v>
      </c>
      <c r="C433" s="4">
        <v>11</v>
      </c>
      <c r="D433" s="8">
        <v>3.47</v>
      </c>
      <c r="E433" s="4">
        <v>7</v>
      </c>
      <c r="F433" s="8">
        <v>4.5199999999999996</v>
      </c>
      <c r="G433" s="4">
        <v>4</v>
      </c>
      <c r="H433" s="8">
        <v>2.6</v>
      </c>
      <c r="I433" s="4">
        <v>0</v>
      </c>
    </row>
    <row r="434" spans="1:9" x14ac:dyDescent="0.2">
      <c r="A434" s="2">
        <v>11</v>
      </c>
      <c r="B434" s="1" t="s">
        <v>88</v>
      </c>
      <c r="C434" s="4">
        <v>10</v>
      </c>
      <c r="D434" s="8">
        <v>3.15</v>
      </c>
      <c r="E434" s="4">
        <v>4</v>
      </c>
      <c r="F434" s="8">
        <v>2.58</v>
      </c>
      <c r="G434" s="4">
        <v>6</v>
      </c>
      <c r="H434" s="8">
        <v>3.9</v>
      </c>
      <c r="I434" s="4">
        <v>0</v>
      </c>
    </row>
    <row r="435" spans="1:9" x14ac:dyDescent="0.2">
      <c r="A435" s="2">
        <v>12</v>
      </c>
      <c r="B435" s="1" t="s">
        <v>100</v>
      </c>
      <c r="C435" s="4">
        <v>9</v>
      </c>
      <c r="D435" s="8">
        <v>2.84</v>
      </c>
      <c r="E435" s="4">
        <v>7</v>
      </c>
      <c r="F435" s="8">
        <v>4.5199999999999996</v>
      </c>
      <c r="G435" s="4">
        <v>2</v>
      </c>
      <c r="H435" s="8">
        <v>1.3</v>
      </c>
      <c r="I435" s="4">
        <v>0</v>
      </c>
    </row>
    <row r="436" spans="1:9" x14ac:dyDescent="0.2">
      <c r="A436" s="2">
        <v>13</v>
      </c>
      <c r="B436" s="1" t="s">
        <v>99</v>
      </c>
      <c r="C436" s="4">
        <v>8</v>
      </c>
      <c r="D436" s="8">
        <v>2.52</v>
      </c>
      <c r="E436" s="4">
        <v>5</v>
      </c>
      <c r="F436" s="8">
        <v>3.23</v>
      </c>
      <c r="G436" s="4">
        <v>3</v>
      </c>
      <c r="H436" s="8">
        <v>1.95</v>
      </c>
      <c r="I436" s="4">
        <v>0</v>
      </c>
    </row>
    <row r="437" spans="1:9" x14ac:dyDescent="0.2">
      <c r="A437" s="2">
        <v>14</v>
      </c>
      <c r="B437" s="1" t="s">
        <v>101</v>
      </c>
      <c r="C437" s="4">
        <v>7</v>
      </c>
      <c r="D437" s="8">
        <v>2.21</v>
      </c>
      <c r="E437" s="4">
        <v>0</v>
      </c>
      <c r="F437" s="8">
        <v>0</v>
      </c>
      <c r="G437" s="4">
        <v>2</v>
      </c>
      <c r="H437" s="8">
        <v>1.3</v>
      </c>
      <c r="I437" s="4">
        <v>0</v>
      </c>
    </row>
    <row r="438" spans="1:9" x14ac:dyDescent="0.2">
      <c r="A438" s="2">
        <v>15</v>
      </c>
      <c r="B438" s="1" t="s">
        <v>130</v>
      </c>
      <c r="C438" s="4">
        <v>6</v>
      </c>
      <c r="D438" s="8">
        <v>1.89</v>
      </c>
      <c r="E438" s="4">
        <v>1</v>
      </c>
      <c r="F438" s="8">
        <v>0.65</v>
      </c>
      <c r="G438" s="4">
        <v>5</v>
      </c>
      <c r="H438" s="8">
        <v>3.25</v>
      </c>
      <c r="I438" s="4">
        <v>0</v>
      </c>
    </row>
    <row r="439" spans="1:9" x14ac:dyDescent="0.2">
      <c r="A439" s="2">
        <v>15</v>
      </c>
      <c r="B439" s="1" t="s">
        <v>107</v>
      </c>
      <c r="C439" s="4">
        <v>6</v>
      </c>
      <c r="D439" s="8">
        <v>1.89</v>
      </c>
      <c r="E439" s="4">
        <v>0</v>
      </c>
      <c r="F439" s="8">
        <v>0</v>
      </c>
      <c r="G439" s="4">
        <v>6</v>
      </c>
      <c r="H439" s="8">
        <v>3.9</v>
      </c>
      <c r="I439" s="4">
        <v>0</v>
      </c>
    </row>
    <row r="440" spans="1:9" x14ac:dyDescent="0.2">
      <c r="A440" s="2">
        <v>15</v>
      </c>
      <c r="B440" s="1" t="s">
        <v>94</v>
      </c>
      <c r="C440" s="4">
        <v>6</v>
      </c>
      <c r="D440" s="8">
        <v>1.89</v>
      </c>
      <c r="E440" s="4">
        <v>3</v>
      </c>
      <c r="F440" s="8">
        <v>1.94</v>
      </c>
      <c r="G440" s="4">
        <v>3</v>
      </c>
      <c r="H440" s="8">
        <v>1.95</v>
      </c>
      <c r="I440" s="4">
        <v>0</v>
      </c>
    </row>
    <row r="441" spans="1:9" x14ac:dyDescent="0.2">
      <c r="A441" s="2">
        <v>18</v>
      </c>
      <c r="B441" s="1" t="s">
        <v>106</v>
      </c>
      <c r="C441" s="4">
        <v>5</v>
      </c>
      <c r="D441" s="8">
        <v>1.58</v>
      </c>
      <c r="E441" s="4">
        <v>1</v>
      </c>
      <c r="F441" s="8">
        <v>0.65</v>
      </c>
      <c r="G441" s="4">
        <v>4</v>
      </c>
      <c r="H441" s="8">
        <v>2.6</v>
      </c>
      <c r="I441" s="4">
        <v>0</v>
      </c>
    </row>
    <row r="442" spans="1:9" x14ac:dyDescent="0.2">
      <c r="A442" s="2">
        <v>18</v>
      </c>
      <c r="B442" s="1" t="s">
        <v>93</v>
      </c>
      <c r="C442" s="4">
        <v>5</v>
      </c>
      <c r="D442" s="8">
        <v>1.58</v>
      </c>
      <c r="E442" s="4">
        <v>5</v>
      </c>
      <c r="F442" s="8">
        <v>3.23</v>
      </c>
      <c r="G442" s="4">
        <v>0</v>
      </c>
      <c r="H442" s="8">
        <v>0</v>
      </c>
      <c r="I442" s="4">
        <v>0</v>
      </c>
    </row>
    <row r="443" spans="1:9" x14ac:dyDescent="0.2">
      <c r="A443" s="2">
        <v>18</v>
      </c>
      <c r="B443" s="1" t="s">
        <v>98</v>
      </c>
      <c r="C443" s="4">
        <v>5</v>
      </c>
      <c r="D443" s="8">
        <v>1.58</v>
      </c>
      <c r="E443" s="4">
        <v>2</v>
      </c>
      <c r="F443" s="8">
        <v>1.29</v>
      </c>
      <c r="G443" s="4">
        <v>3</v>
      </c>
      <c r="H443" s="8">
        <v>1.95</v>
      </c>
      <c r="I443" s="4">
        <v>0</v>
      </c>
    </row>
    <row r="444" spans="1:9" x14ac:dyDescent="0.2">
      <c r="A444" s="1"/>
      <c r="C444" s="4"/>
      <c r="D444" s="8"/>
      <c r="E444" s="4"/>
      <c r="F444" s="8"/>
      <c r="G444" s="4"/>
      <c r="H444" s="8"/>
      <c r="I444" s="4"/>
    </row>
    <row r="445" spans="1:9" x14ac:dyDescent="0.2">
      <c r="A445" s="1" t="s">
        <v>19</v>
      </c>
      <c r="C445" s="4"/>
      <c r="D445" s="8"/>
      <c r="E445" s="4"/>
      <c r="F445" s="8"/>
      <c r="G445" s="4"/>
      <c r="H445" s="8"/>
      <c r="I445" s="4"/>
    </row>
    <row r="446" spans="1:9" x14ac:dyDescent="0.2">
      <c r="A446" s="2">
        <v>1</v>
      </c>
      <c r="B446" s="1" t="s">
        <v>83</v>
      </c>
      <c r="C446" s="4">
        <v>15</v>
      </c>
      <c r="D446" s="8">
        <v>11.72</v>
      </c>
      <c r="E446" s="4">
        <v>6</v>
      </c>
      <c r="F446" s="8">
        <v>8.33</v>
      </c>
      <c r="G446" s="4">
        <v>9</v>
      </c>
      <c r="H446" s="8">
        <v>17.309999999999999</v>
      </c>
      <c r="I446" s="4">
        <v>0</v>
      </c>
    </row>
    <row r="447" spans="1:9" x14ac:dyDescent="0.2">
      <c r="A447" s="2">
        <v>2</v>
      </c>
      <c r="B447" s="1" t="s">
        <v>89</v>
      </c>
      <c r="C447" s="4">
        <v>14</v>
      </c>
      <c r="D447" s="8">
        <v>10.94</v>
      </c>
      <c r="E447" s="4">
        <v>11</v>
      </c>
      <c r="F447" s="8">
        <v>15.28</v>
      </c>
      <c r="G447" s="4">
        <v>3</v>
      </c>
      <c r="H447" s="8">
        <v>5.77</v>
      </c>
      <c r="I447" s="4">
        <v>0</v>
      </c>
    </row>
    <row r="448" spans="1:9" x14ac:dyDescent="0.2">
      <c r="A448" s="2">
        <v>3</v>
      </c>
      <c r="B448" s="1" t="s">
        <v>95</v>
      </c>
      <c r="C448" s="4">
        <v>13</v>
      </c>
      <c r="D448" s="8">
        <v>10.16</v>
      </c>
      <c r="E448" s="4">
        <v>11</v>
      </c>
      <c r="F448" s="8">
        <v>15.28</v>
      </c>
      <c r="G448" s="4">
        <v>2</v>
      </c>
      <c r="H448" s="8">
        <v>3.85</v>
      </c>
      <c r="I448" s="4">
        <v>0</v>
      </c>
    </row>
    <row r="449" spans="1:9" x14ac:dyDescent="0.2">
      <c r="A449" s="2">
        <v>4</v>
      </c>
      <c r="B449" s="1" t="s">
        <v>84</v>
      </c>
      <c r="C449" s="4">
        <v>11</v>
      </c>
      <c r="D449" s="8">
        <v>8.59</v>
      </c>
      <c r="E449" s="4">
        <v>7</v>
      </c>
      <c r="F449" s="8">
        <v>9.7200000000000006</v>
      </c>
      <c r="G449" s="4">
        <v>4</v>
      </c>
      <c r="H449" s="8">
        <v>7.69</v>
      </c>
      <c r="I449" s="4">
        <v>0</v>
      </c>
    </row>
    <row r="450" spans="1:9" x14ac:dyDescent="0.2">
      <c r="A450" s="2">
        <v>5</v>
      </c>
      <c r="B450" s="1" t="s">
        <v>97</v>
      </c>
      <c r="C450" s="4">
        <v>9</v>
      </c>
      <c r="D450" s="8">
        <v>7.03</v>
      </c>
      <c r="E450" s="4">
        <v>8</v>
      </c>
      <c r="F450" s="8">
        <v>11.11</v>
      </c>
      <c r="G450" s="4">
        <v>1</v>
      </c>
      <c r="H450" s="8">
        <v>1.92</v>
      </c>
      <c r="I450" s="4">
        <v>0</v>
      </c>
    </row>
    <row r="451" spans="1:9" x14ac:dyDescent="0.2">
      <c r="A451" s="2">
        <v>6</v>
      </c>
      <c r="B451" s="1" t="s">
        <v>96</v>
      </c>
      <c r="C451" s="4">
        <v>8</v>
      </c>
      <c r="D451" s="8">
        <v>6.25</v>
      </c>
      <c r="E451" s="4">
        <v>8</v>
      </c>
      <c r="F451" s="8">
        <v>11.11</v>
      </c>
      <c r="G451" s="4">
        <v>0</v>
      </c>
      <c r="H451" s="8">
        <v>0</v>
      </c>
      <c r="I451" s="4">
        <v>0</v>
      </c>
    </row>
    <row r="452" spans="1:9" x14ac:dyDescent="0.2">
      <c r="A452" s="2">
        <v>7</v>
      </c>
      <c r="B452" s="1" t="s">
        <v>91</v>
      </c>
      <c r="C452" s="4">
        <v>7</v>
      </c>
      <c r="D452" s="8">
        <v>5.47</v>
      </c>
      <c r="E452" s="4">
        <v>4</v>
      </c>
      <c r="F452" s="8">
        <v>5.56</v>
      </c>
      <c r="G452" s="4">
        <v>3</v>
      </c>
      <c r="H452" s="8">
        <v>5.77</v>
      </c>
      <c r="I452" s="4">
        <v>0</v>
      </c>
    </row>
    <row r="453" spans="1:9" x14ac:dyDescent="0.2">
      <c r="A453" s="2">
        <v>8</v>
      </c>
      <c r="B453" s="1" t="s">
        <v>110</v>
      </c>
      <c r="C453" s="4">
        <v>5</v>
      </c>
      <c r="D453" s="8">
        <v>3.91</v>
      </c>
      <c r="E453" s="4">
        <v>2</v>
      </c>
      <c r="F453" s="8">
        <v>2.78</v>
      </c>
      <c r="G453" s="4">
        <v>3</v>
      </c>
      <c r="H453" s="8">
        <v>5.77</v>
      </c>
      <c r="I453" s="4">
        <v>0</v>
      </c>
    </row>
    <row r="454" spans="1:9" x14ac:dyDescent="0.2">
      <c r="A454" s="2">
        <v>9</v>
      </c>
      <c r="B454" s="1" t="s">
        <v>85</v>
      </c>
      <c r="C454" s="4">
        <v>4</v>
      </c>
      <c r="D454" s="8">
        <v>3.13</v>
      </c>
      <c r="E454" s="4">
        <v>2</v>
      </c>
      <c r="F454" s="8">
        <v>2.78</v>
      </c>
      <c r="G454" s="4">
        <v>2</v>
      </c>
      <c r="H454" s="8">
        <v>3.85</v>
      </c>
      <c r="I454" s="4">
        <v>0</v>
      </c>
    </row>
    <row r="455" spans="1:9" x14ac:dyDescent="0.2">
      <c r="A455" s="2">
        <v>9</v>
      </c>
      <c r="B455" s="1" t="s">
        <v>113</v>
      </c>
      <c r="C455" s="4">
        <v>4</v>
      </c>
      <c r="D455" s="8">
        <v>3.13</v>
      </c>
      <c r="E455" s="4">
        <v>0</v>
      </c>
      <c r="F455" s="8">
        <v>0</v>
      </c>
      <c r="G455" s="4">
        <v>3</v>
      </c>
      <c r="H455" s="8">
        <v>5.77</v>
      </c>
      <c r="I455" s="4">
        <v>0</v>
      </c>
    </row>
    <row r="456" spans="1:9" x14ac:dyDescent="0.2">
      <c r="A456" s="2">
        <v>11</v>
      </c>
      <c r="B456" s="1" t="s">
        <v>104</v>
      </c>
      <c r="C456" s="4">
        <v>3</v>
      </c>
      <c r="D456" s="8">
        <v>2.34</v>
      </c>
      <c r="E456" s="4">
        <v>0</v>
      </c>
      <c r="F456" s="8">
        <v>0</v>
      </c>
      <c r="G456" s="4">
        <v>3</v>
      </c>
      <c r="H456" s="8">
        <v>5.77</v>
      </c>
      <c r="I456" s="4">
        <v>0</v>
      </c>
    </row>
    <row r="457" spans="1:9" x14ac:dyDescent="0.2">
      <c r="A457" s="2">
        <v>12</v>
      </c>
      <c r="B457" s="1" t="s">
        <v>112</v>
      </c>
      <c r="C457" s="4">
        <v>2</v>
      </c>
      <c r="D457" s="8">
        <v>1.56</v>
      </c>
      <c r="E457" s="4">
        <v>0</v>
      </c>
      <c r="F457" s="8">
        <v>0</v>
      </c>
      <c r="G457" s="4">
        <v>2</v>
      </c>
      <c r="H457" s="8">
        <v>3.85</v>
      </c>
      <c r="I457" s="4">
        <v>0</v>
      </c>
    </row>
    <row r="458" spans="1:9" x14ac:dyDescent="0.2">
      <c r="A458" s="2">
        <v>12</v>
      </c>
      <c r="B458" s="1" t="s">
        <v>128</v>
      </c>
      <c r="C458" s="4">
        <v>2</v>
      </c>
      <c r="D458" s="8">
        <v>1.56</v>
      </c>
      <c r="E458" s="4">
        <v>1</v>
      </c>
      <c r="F458" s="8">
        <v>1.39</v>
      </c>
      <c r="G458" s="4">
        <v>1</v>
      </c>
      <c r="H458" s="8">
        <v>1.92</v>
      </c>
      <c r="I458" s="4">
        <v>0</v>
      </c>
    </row>
    <row r="459" spans="1:9" x14ac:dyDescent="0.2">
      <c r="A459" s="2">
        <v>12</v>
      </c>
      <c r="B459" s="1" t="s">
        <v>106</v>
      </c>
      <c r="C459" s="4">
        <v>2</v>
      </c>
      <c r="D459" s="8">
        <v>1.56</v>
      </c>
      <c r="E459" s="4">
        <v>1</v>
      </c>
      <c r="F459" s="8">
        <v>1.39</v>
      </c>
      <c r="G459" s="4">
        <v>1</v>
      </c>
      <c r="H459" s="8">
        <v>1.92</v>
      </c>
      <c r="I459" s="4">
        <v>0</v>
      </c>
    </row>
    <row r="460" spans="1:9" x14ac:dyDescent="0.2">
      <c r="A460" s="2">
        <v>12</v>
      </c>
      <c r="B460" s="1" t="s">
        <v>99</v>
      </c>
      <c r="C460" s="4">
        <v>2</v>
      </c>
      <c r="D460" s="8">
        <v>1.56</v>
      </c>
      <c r="E460" s="4">
        <v>1</v>
      </c>
      <c r="F460" s="8">
        <v>1.39</v>
      </c>
      <c r="G460" s="4">
        <v>0</v>
      </c>
      <c r="H460" s="8">
        <v>0</v>
      </c>
      <c r="I460" s="4">
        <v>0</v>
      </c>
    </row>
    <row r="461" spans="1:9" x14ac:dyDescent="0.2">
      <c r="A461" s="2">
        <v>12</v>
      </c>
      <c r="B461" s="1" t="s">
        <v>100</v>
      </c>
      <c r="C461" s="4">
        <v>2</v>
      </c>
      <c r="D461" s="8">
        <v>1.56</v>
      </c>
      <c r="E461" s="4">
        <v>1</v>
      </c>
      <c r="F461" s="8">
        <v>1.39</v>
      </c>
      <c r="G461" s="4">
        <v>1</v>
      </c>
      <c r="H461" s="8">
        <v>1.92</v>
      </c>
      <c r="I461" s="4">
        <v>0</v>
      </c>
    </row>
    <row r="462" spans="1:9" x14ac:dyDescent="0.2">
      <c r="A462" s="2">
        <v>12</v>
      </c>
      <c r="B462" s="1" t="s">
        <v>101</v>
      </c>
      <c r="C462" s="4">
        <v>2</v>
      </c>
      <c r="D462" s="8">
        <v>1.56</v>
      </c>
      <c r="E462" s="4">
        <v>0</v>
      </c>
      <c r="F462" s="8">
        <v>0</v>
      </c>
      <c r="G462" s="4">
        <v>2</v>
      </c>
      <c r="H462" s="8">
        <v>3.85</v>
      </c>
      <c r="I462" s="4">
        <v>0</v>
      </c>
    </row>
    <row r="463" spans="1:9" x14ac:dyDescent="0.2">
      <c r="A463" s="2">
        <v>12</v>
      </c>
      <c r="B463" s="1" t="s">
        <v>120</v>
      </c>
      <c r="C463" s="4">
        <v>2</v>
      </c>
      <c r="D463" s="8">
        <v>1.56</v>
      </c>
      <c r="E463" s="4">
        <v>0</v>
      </c>
      <c r="F463" s="8">
        <v>0</v>
      </c>
      <c r="G463" s="4">
        <v>2</v>
      </c>
      <c r="H463" s="8">
        <v>3.85</v>
      </c>
      <c r="I463" s="4">
        <v>0</v>
      </c>
    </row>
    <row r="464" spans="1:9" x14ac:dyDescent="0.2">
      <c r="A464" s="2">
        <v>12</v>
      </c>
      <c r="B464" s="1" t="s">
        <v>102</v>
      </c>
      <c r="C464" s="4">
        <v>2</v>
      </c>
      <c r="D464" s="8">
        <v>1.56</v>
      </c>
      <c r="E464" s="4">
        <v>2</v>
      </c>
      <c r="F464" s="8">
        <v>2.78</v>
      </c>
      <c r="G464" s="4">
        <v>0</v>
      </c>
      <c r="H464" s="8">
        <v>0</v>
      </c>
      <c r="I464" s="4">
        <v>0</v>
      </c>
    </row>
    <row r="465" spans="1:9" x14ac:dyDescent="0.2">
      <c r="A465" s="2">
        <v>20</v>
      </c>
      <c r="B465" s="1" t="s">
        <v>131</v>
      </c>
      <c r="C465" s="4">
        <v>1</v>
      </c>
      <c r="D465" s="8">
        <v>0.78</v>
      </c>
      <c r="E465" s="4">
        <v>0</v>
      </c>
      <c r="F465" s="8">
        <v>0</v>
      </c>
      <c r="G465" s="4">
        <v>1</v>
      </c>
      <c r="H465" s="8">
        <v>1.92</v>
      </c>
      <c r="I465" s="4">
        <v>0</v>
      </c>
    </row>
    <row r="466" spans="1:9" x14ac:dyDescent="0.2">
      <c r="A466" s="2">
        <v>20</v>
      </c>
      <c r="B466" s="1" t="s">
        <v>132</v>
      </c>
      <c r="C466" s="4">
        <v>1</v>
      </c>
      <c r="D466" s="8">
        <v>0.78</v>
      </c>
      <c r="E466" s="4">
        <v>0</v>
      </c>
      <c r="F466" s="8">
        <v>0</v>
      </c>
      <c r="G466" s="4">
        <v>1</v>
      </c>
      <c r="H466" s="8">
        <v>1.92</v>
      </c>
      <c r="I466" s="4">
        <v>0</v>
      </c>
    </row>
    <row r="467" spans="1:9" x14ac:dyDescent="0.2">
      <c r="A467" s="2">
        <v>20</v>
      </c>
      <c r="B467" s="1" t="s">
        <v>111</v>
      </c>
      <c r="C467" s="4">
        <v>1</v>
      </c>
      <c r="D467" s="8">
        <v>0.78</v>
      </c>
      <c r="E467" s="4">
        <v>0</v>
      </c>
      <c r="F467" s="8">
        <v>0</v>
      </c>
      <c r="G467" s="4">
        <v>1</v>
      </c>
      <c r="H467" s="8">
        <v>1.92</v>
      </c>
      <c r="I467" s="4">
        <v>0</v>
      </c>
    </row>
    <row r="468" spans="1:9" x14ac:dyDescent="0.2">
      <c r="A468" s="2">
        <v>20</v>
      </c>
      <c r="B468" s="1" t="s">
        <v>124</v>
      </c>
      <c r="C468" s="4">
        <v>1</v>
      </c>
      <c r="D468" s="8">
        <v>0.78</v>
      </c>
      <c r="E468" s="4">
        <v>0</v>
      </c>
      <c r="F468" s="8">
        <v>0</v>
      </c>
      <c r="G468" s="4">
        <v>1</v>
      </c>
      <c r="H468" s="8">
        <v>1.92</v>
      </c>
      <c r="I468" s="4">
        <v>0</v>
      </c>
    </row>
    <row r="469" spans="1:9" x14ac:dyDescent="0.2">
      <c r="A469" s="2">
        <v>20</v>
      </c>
      <c r="B469" s="1" t="s">
        <v>116</v>
      </c>
      <c r="C469" s="4">
        <v>1</v>
      </c>
      <c r="D469" s="8">
        <v>0.78</v>
      </c>
      <c r="E469" s="4">
        <v>1</v>
      </c>
      <c r="F469" s="8">
        <v>1.39</v>
      </c>
      <c r="G469" s="4">
        <v>0</v>
      </c>
      <c r="H469" s="8">
        <v>0</v>
      </c>
      <c r="I469" s="4">
        <v>0</v>
      </c>
    </row>
    <row r="470" spans="1:9" x14ac:dyDescent="0.2">
      <c r="A470" s="2">
        <v>20</v>
      </c>
      <c r="B470" s="1" t="s">
        <v>133</v>
      </c>
      <c r="C470" s="4">
        <v>1</v>
      </c>
      <c r="D470" s="8">
        <v>0.78</v>
      </c>
      <c r="E470" s="4">
        <v>0</v>
      </c>
      <c r="F470" s="8">
        <v>0</v>
      </c>
      <c r="G470" s="4">
        <v>1</v>
      </c>
      <c r="H470" s="8">
        <v>1.92</v>
      </c>
      <c r="I470" s="4">
        <v>0</v>
      </c>
    </row>
    <row r="471" spans="1:9" x14ac:dyDescent="0.2">
      <c r="A471" s="2">
        <v>20</v>
      </c>
      <c r="B471" s="1" t="s">
        <v>115</v>
      </c>
      <c r="C471" s="4">
        <v>1</v>
      </c>
      <c r="D471" s="8">
        <v>0.78</v>
      </c>
      <c r="E471" s="4">
        <v>0</v>
      </c>
      <c r="F471" s="8">
        <v>0</v>
      </c>
      <c r="G471" s="4">
        <v>1</v>
      </c>
      <c r="H471" s="8">
        <v>1.92</v>
      </c>
      <c r="I471" s="4">
        <v>0</v>
      </c>
    </row>
    <row r="472" spans="1:9" x14ac:dyDescent="0.2">
      <c r="A472" s="2">
        <v>20</v>
      </c>
      <c r="B472" s="1" t="s">
        <v>127</v>
      </c>
      <c r="C472" s="4">
        <v>1</v>
      </c>
      <c r="D472" s="8">
        <v>0.78</v>
      </c>
      <c r="E472" s="4">
        <v>0</v>
      </c>
      <c r="F472" s="8">
        <v>0</v>
      </c>
      <c r="G472" s="4">
        <v>0</v>
      </c>
      <c r="H472" s="8">
        <v>0</v>
      </c>
      <c r="I472" s="4">
        <v>0</v>
      </c>
    </row>
    <row r="473" spans="1:9" x14ac:dyDescent="0.2">
      <c r="A473" s="2">
        <v>20</v>
      </c>
      <c r="B473" s="1" t="s">
        <v>134</v>
      </c>
      <c r="C473" s="4">
        <v>1</v>
      </c>
      <c r="D473" s="8">
        <v>0.78</v>
      </c>
      <c r="E473" s="4">
        <v>1</v>
      </c>
      <c r="F473" s="8">
        <v>1.39</v>
      </c>
      <c r="G473" s="4">
        <v>0</v>
      </c>
      <c r="H473" s="8">
        <v>0</v>
      </c>
      <c r="I473" s="4">
        <v>0</v>
      </c>
    </row>
    <row r="474" spans="1:9" x14ac:dyDescent="0.2">
      <c r="A474" s="2">
        <v>20</v>
      </c>
      <c r="B474" s="1" t="s">
        <v>135</v>
      </c>
      <c r="C474" s="4">
        <v>1</v>
      </c>
      <c r="D474" s="8">
        <v>0.78</v>
      </c>
      <c r="E474" s="4">
        <v>0</v>
      </c>
      <c r="F474" s="8">
        <v>0</v>
      </c>
      <c r="G474" s="4">
        <v>1</v>
      </c>
      <c r="H474" s="8">
        <v>1.92</v>
      </c>
      <c r="I474" s="4">
        <v>0</v>
      </c>
    </row>
    <row r="475" spans="1:9" x14ac:dyDescent="0.2">
      <c r="A475" s="2">
        <v>20</v>
      </c>
      <c r="B475" s="1" t="s">
        <v>136</v>
      </c>
      <c r="C475" s="4">
        <v>1</v>
      </c>
      <c r="D475" s="8">
        <v>0.78</v>
      </c>
      <c r="E475" s="4">
        <v>0</v>
      </c>
      <c r="F475" s="8">
        <v>0</v>
      </c>
      <c r="G475" s="4">
        <v>1</v>
      </c>
      <c r="H475" s="8">
        <v>1.92</v>
      </c>
      <c r="I475" s="4">
        <v>0</v>
      </c>
    </row>
    <row r="476" spans="1:9" x14ac:dyDescent="0.2">
      <c r="A476" s="2">
        <v>20</v>
      </c>
      <c r="B476" s="1" t="s">
        <v>137</v>
      </c>
      <c r="C476" s="4">
        <v>1</v>
      </c>
      <c r="D476" s="8">
        <v>0.78</v>
      </c>
      <c r="E476" s="4">
        <v>0</v>
      </c>
      <c r="F476" s="8">
        <v>0</v>
      </c>
      <c r="G476" s="4">
        <v>1</v>
      </c>
      <c r="H476" s="8">
        <v>1.92</v>
      </c>
      <c r="I476" s="4">
        <v>0</v>
      </c>
    </row>
    <row r="477" spans="1:9" x14ac:dyDescent="0.2">
      <c r="A477" s="2">
        <v>20</v>
      </c>
      <c r="B477" s="1" t="s">
        <v>86</v>
      </c>
      <c r="C477" s="4">
        <v>1</v>
      </c>
      <c r="D477" s="8">
        <v>0.78</v>
      </c>
      <c r="E477" s="4">
        <v>1</v>
      </c>
      <c r="F477" s="8">
        <v>1.39</v>
      </c>
      <c r="G477" s="4">
        <v>0</v>
      </c>
      <c r="H477" s="8">
        <v>0</v>
      </c>
      <c r="I477" s="4">
        <v>0</v>
      </c>
    </row>
    <row r="478" spans="1:9" x14ac:dyDescent="0.2">
      <c r="A478" s="2">
        <v>20</v>
      </c>
      <c r="B478" s="1" t="s">
        <v>87</v>
      </c>
      <c r="C478" s="4">
        <v>1</v>
      </c>
      <c r="D478" s="8">
        <v>0.78</v>
      </c>
      <c r="E478" s="4">
        <v>0</v>
      </c>
      <c r="F478" s="8">
        <v>0</v>
      </c>
      <c r="G478" s="4">
        <v>1</v>
      </c>
      <c r="H478" s="8">
        <v>1.92</v>
      </c>
      <c r="I478" s="4">
        <v>0</v>
      </c>
    </row>
    <row r="479" spans="1:9" x14ac:dyDescent="0.2">
      <c r="A479" s="2">
        <v>20</v>
      </c>
      <c r="B479" s="1" t="s">
        <v>107</v>
      </c>
      <c r="C479" s="4">
        <v>1</v>
      </c>
      <c r="D479" s="8">
        <v>0.78</v>
      </c>
      <c r="E479" s="4">
        <v>1</v>
      </c>
      <c r="F479" s="8">
        <v>1.39</v>
      </c>
      <c r="G479" s="4">
        <v>0</v>
      </c>
      <c r="H479" s="8">
        <v>0</v>
      </c>
      <c r="I479" s="4">
        <v>0</v>
      </c>
    </row>
    <row r="480" spans="1:9" x14ac:dyDescent="0.2">
      <c r="A480" s="2">
        <v>20</v>
      </c>
      <c r="B480" s="1" t="s">
        <v>88</v>
      </c>
      <c r="C480" s="4">
        <v>1</v>
      </c>
      <c r="D480" s="8">
        <v>0.78</v>
      </c>
      <c r="E480" s="4">
        <v>1</v>
      </c>
      <c r="F480" s="8">
        <v>1.39</v>
      </c>
      <c r="G480" s="4">
        <v>0</v>
      </c>
      <c r="H480" s="8">
        <v>0</v>
      </c>
      <c r="I480" s="4">
        <v>0</v>
      </c>
    </row>
    <row r="481" spans="1:9" x14ac:dyDescent="0.2">
      <c r="A481" s="2">
        <v>20</v>
      </c>
      <c r="B481" s="1" t="s">
        <v>90</v>
      </c>
      <c r="C481" s="4">
        <v>1</v>
      </c>
      <c r="D481" s="8">
        <v>0.78</v>
      </c>
      <c r="E481" s="4">
        <v>1</v>
      </c>
      <c r="F481" s="8">
        <v>1.39</v>
      </c>
      <c r="G481" s="4">
        <v>0</v>
      </c>
      <c r="H481" s="8">
        <v>0</v>
      </c>
      <c r="I481" s="4">
        <v>0</v>
      </c>
    </row>
    <row r="482" spans="1:9" x14ac:dyDescent="0.2">
      <c r="A482" s="2">
        <v>20</v>
      </c>
      <c r="B482" s="1" t="s">
        <v>129</v>
      </c>
      <c r="C482" s="4">
        <v>1</v>
      </c>
      <c r="D482" s="8">
        <v>0.78</v>
      </c>
      <c r="E482" s="4">
        <v>1</v>
      </c>
      <c r="F482" s="8">
        <v>1.39</v>
      </c>
      <c r="G482" s="4">
        <v>0</v>
      </c>
      <c r="H482" s="8">
        <v>0</v>
      </c>
      <c r="I482" s="4">
        <v>0</v>
      </c>
    </row>
    <row r="483" spans="1:9" x14ac:dyDescent="0.2">
      <c r="A483" s="2">
        <v>20</v>
      </c>
      <c r="B483" s="1" t="s">
        <v>123</v>
      </c>
      <c r="C483" s="4">
        <v>1</v>
      </c>
      <c r="D483" s="8">
        <v>0.78</v>
      </c>
      <c r="E483" s="4">
        <v>0</v>
      </c>
      <c r="F483" s="8">
        <v>0</v>
      </c>
      <c r="G483" s="4">
        <v>0</v>
      </c>
      <c r="H483" s="8">
        <v>0</v>
      </c>
      <c r="I483" s="4">
        <v>1</v>
      </c>
    </row>
    <row r="484" spans="1:9" x14ac:dyDescent="0.2">
      <c r="A484" s="1"/>
      <c r="C484" s="4"/>
      <c r="D484" s="8"/>
      <c r="E484" s="4"/>
      <c r="F484" s="8"/>
      <c r="G484" s="4"/>
      <c r="H484" s="8"/>
      <c r="I484" s="4"/>
    </row>
    <row r="485" spans="1:9" x14ac:dyDescent="0.2">
      <c r="A485" s="1" t="s">
        <v>20</v>
      </c>
      <c r="C485" s="4"/>
      <c r="D485" s="8"/>
      <c r="E485" s="4"/>
      <c r="F485" s="8"/>
      <c r="G485" s="4"/>
      <c r="H485" s="8"/>
      <c r="I485" s="4"/>
    </row>
    <row r="486" spans="1:9" x14ac:dyDescent="0.2">
      <c r="A486" s="2">
        <v>1</v>
      </c>
      <c r="B486" s="1" t="s">
        <v>91</v>
      </c>
      <c r="C486" s="4">
        <v>34</v>
      </c>
      <c r="D486" s="8">
        <v>14.66</v>
      </c>
      <c r="E486" s="4">
        <v>23</v>
      </c>
      <c r="F486" s="8">
        <v>15.75</v>
      </c>
      <c r="G486" s="4">
        <v>11</v>
      </c>
      <c r="H486" s="8">
        <v>14.47</v>
      </c>
      <c r="I486" s="4">
        <v>0</v>
      </c>
    </row>
    <row r="487" spans="1:9" x14ac:dyDescent="0.2">
      <c r="A487" s="2">
        <v>2</v>
      </c>
      <c r="B487" s="1" t="s">
        <v>89</v>
      </c>
      <c r="C487" s="4">
        <v>27</v>
      </c>
      <c r="D487" s="8">
        <v>11.64</v>
      </c>
      <c r="E487" s="4">
        <v>19</v>
      </c>
      <c r="F487" s="8">
        <v>13.01</v>
      </c>
      <c r="G487" s="4">
        <v>8</v>
      </c>
      <c r="H487" s="8">
        <v>10.53</v>
      </c>
      <c r="I487" s="4">
        <v>0</v>
      </c>
    </row>
    <row r="488" spans="1:9" x14ac:dyDescent="0.2">
      <c r="A488" s="2">
        <v>2</v>
      </c>
      <c r="B488" s="1" t="s">
        <v>96</v>
      </c>
      <c r="C488" s="4">
        <v>27</v>
      </c>
      <c r="D488" s="8">
        <v>11.64</v>
      </c>
      <c r="E488" s="4">
        <v>23</v>
      </c>
      <c r="F488" s="8">
        <v>15.75</v>
      </c>
      <c r="G488" s="4">
        <v>4</v>
      </c>
      <c r="H488" s="8">
        <v>5.26</v>
      </c>
      <c r="I488" s="4">
        <v>0</v>
      </c>
    </row>
    <row r="489" spans="1:9" x14ac:dyDescent="0.2">
      <c r="A489" s="2">
        <v>2</v>
      </c>
      <c r="B489" s="1" t="s">
        <v>97</v>
      </c>
      <c r="C489" s="4">
        <v>27</v>
      </c>
      <c r="D489" s="8">
        <v>11.64</v>
      </c>
      <c r="E489" s="4">
        <v>25</v>
      </c>
      <c r="F489" s="8">
        <v>17.12</v>
      </c>
      <c r="G489" s="4">
        <v>2</v>
      </c>
      <c r="H489" s="8">
        <v>2.63</v>
      </c>
      <c r="I489" s="4">
        <v>0</v>
      </c>
    </row>
    <row r="490" spans="1:9" x14ac:dyDescent="0.2">
      <c r="A490" s="2">
        <v>5</v>
      </c>
      <c r="B490" s="1" t="s">
        <v>83</v>
      </c>
      <c r="C490" s="4">
        <v>21</v>
      </c>
      <c r="D490" s="8">
        <v>9.0500000000000007</v>
      </c>
      <c r="E490" s="4">
        <v>7</v>
      </c>
      <c r="F490" s="8">
        <v>4.79</v>
      </c>
      <c r="G490" s="4">
        <v>14</v>
      </c>
      <c r="H490" s="8">
        <v>18.420000000000002</v>
      </c>
      <c r="I490" s="4">
        <v>0</v>
      </c>
    </row>
    <row r="491" spans="1:9" x14ac:dyDescent="0.2">
      <c r="A491" s="2">
        <v>6</v>
      </c>
      <c r="B491" s="1" t="s">
        <v>95</v>
      </c>
      <c r="C491" s="4">
        <v>17</v>
      </c>
      <c r="D491" s="8">
        <v>7.33</v>
      </c>
      <c r="E491" s="4">
        <v>12</v>
      </c>
      <c r="F491" s="8">
        <v>8.2200000000000006</v>
      </c>
      <c r="G491" s="4">
        <v>5</v>
      </c>
      <c r="H491" s="8">
        <v>6.58</v>
      </c>
      <c r="I491" s="4">
        <v>0</v>
      </c>
    </row>
    <row r="492" spans="1:9" x14ac:dyDescent="0.2">
      <c r="A492" s="2">
        <v>7</v>
      </c>
      <c r="B492" s="1" t="s">
        <v>84</v>
      </c>
      <c r="C492" s="4">
        <v>8</v>
      </c>
      <c r="D492" s="8">
        <v>3.45</v>
      </c>
      <c r="E492" s="4">
        <v>6</v>
      </c>
      <c r="F492" s="8">
        <v>4.1100000000000003</v>
      </c>
      <c r="G492" s="4">
        <v>2</v>
      </c>
      <c r="H492" s="8">
        <v>2.63</v>
      </c>
      <c r="I492" s="4">
        <v>0</v>
      </c>
    </row>
    <row r="493" spans="1:9" x14ac:dyDescent="0.2">
      <c r="A493" s="2">
        <v>8</v>
      </c>
      <c r="B493" s="1" t="s">
        <v>85</v>
      </c>
      <c r="C493" s="4">
        <v>6</v>
      </c>
      <c r="D493" s="8">
        <v>2.59</v>
      </c>
      <c r="E493" s="4">
        <v>1</v>
      </c>
      <c r="F493" s="8">
        <v>0.68</v>
      </c>
      <c r="G493" s="4">
        <v>5</v>
      </c>
      <c r="H493" s="8">
        <v>6.58</v>
      </c>
      <c r="I493" s="4">
        <v>0</v>
      </c>
    </row>
    <row r="494" spans="1:9" x14ac:dyDescent="0.2">
      <c r="A494" s="2">
        <v>9</v>
      </c>
      <c r="B494" s="1" t="s">
        <v>129</v>
      </c>
      <c r="C494" s="4">
        <v>5</v>
      </c>
      <c r="D494" s="8">
        <v>2.16</v>
      </c>
      <c r="E494" s="4">
        <v>1</v>
      </c>
      <c r="F494" s="8">
        <v>0.68</v>
      </c>
      <c r="G494" s="4">
        <v>1</v>
      </c>
      <c r="H494" s="8">
        <v>1.32</v>
      </c>
      <c r="I494" s="4">
        <v>1</v>
      </c>
    </row>
    <row r="495" spans="1:9" x14ac:dyDescent="0.2">
      <c r="A495" s="2">
        <v>10</v>
      </c>
      <c r="B495" s="1" t="s">
        <v>110</v>
      </c>
      <c r="C495" s="4">
        <v>4</v>
      </c>
      <c r="D495" s="8">
        <v>1.72</v>
      </c>
      <c r="E495" s="4">
        <v>4</v>
      </c>
      <c r="F495" s="8">
        <v>2.74</v>
      </c>
      <c r="G495" s="4">
        <v>0</v>
      </c>
      <c r="H495" s="8">
        <v>0</v>
      </c>
      <c r="I495" s="4">
        <v>0</v>
      </c>
    </row>
    <row r="496" spans="1:9" x14ac:dyDescent="0.2">
      <c r="A496" s="2">
        <v>10</v>
      </c>
      <c r="B496" s="1" t="s">
        <v>107</v>
      </c>
      <c r="C496" s="4">
        <v>4</v>
      </c>
      <c r="D496" s="8">
        <v>1.72</v>
      </c>
      <c r="E496" s="4">
        <v>2</v>
      </c>
      <c r="F496" s="8">
        <v>1.37</v>
      </c>
      <c r="G496" s="4">
        <v>2</v>
      </c>
      <c r="H496" s="8">
        <v>2.63</v>
      </c>
      <c r="I496" s="4">
        <v>0</v>
      </c>
    </row>
    <row r="497" spans="1:9" x14ac:dyDescent="0.2">
      <c r="A497" s="2">
        <v>10</v>
      </c>
      <c r="B497" s="1" t="s">
        <v>94</v>
      </c>
      <c r="C497" s="4">
        <v>4</v>
      </c>
      <c r="D497" s="8">
        <v>1.72</v>
      </c>
      <c r="E497" s="4">
        <v>1</v>
      </c>
      <c r="F497" s="8">
        <v>0.68</v>
      </c>
      <c r="G497" s="4">
        <v>3</v>
      </c>
      <c r="H497" s="8">
        <v>3.95</v>
      </c>
      <c r="I497" s="4">
        <v>0</v>
      </c>
    </row>
    <row r="498" spans="1:9" x14ac:dyDescent="0.2">
      <c r="A498" s="2">
        <v>10</v>
      </c>
      <c r="B498" s="1" t="s">
        <v>113</v>
      </c>
      <c r="C498" s="4">
        <v>4</v>
      </c>
      <c r="D498" s="8">
        <v>1.72</v>
      </c>
      <c r="E498" s="4">
        <v>0</v>
      </c>
      <c r="F498" s="8">
        <v>0</v>
      </c>
      <c r="G498" s="4">
        <v>4</v>
      </c>
      <c r="H498" s="8">
        <v>5.26</v>
      </c>
      <c r="I498" s="4">
        <v>0</v>
      </c>
    </row>
    <row r="499" spans="1:9" x14ac:dyDescent="0.2">
      <c r="A499" s="2">
        <v>10</v>
      </c>
      <c r="B499" s="1" t="s">
        <v>101</v>
      </c>
      <c r="C499" s="4">
        <v>4</v>
      </c>
      <c r="D499" s="8">
        <v>1.72</v>
      </c>
      <c r="E499" s="4">
        <v>0</v>
      </c>
      <c r="F499" s="8">
        <v>0</v>
      </c>
      <c r="G499" s="4">
        <v>2</v>
      </c>
      <c r="H499" s="8">
        <v>2.63</v>
      </c>
      <c r="I499" s="4">
        <v>0</v>
      </c>
    </row>
    <row r="500" spans="1:9" x14ac:dyDescent="0.2">
      <c r="A500" s="2">
        <v>15</v>
      </c>
      <c r="B500" s="1" t="s">
        <v>88</v>
      </c>
      <c r="C500" s="4">
        <v>3</v>
      </c>
      <c r="D500" s="8">
        <v>1.29</v>
      </c>
      <c r="E500" s="4">
        <v>3</v>
      </c>
      <c r="F500" s="8">
        <v>2.0499999999999998</v>
      </c>
      <c r="G500" s="4">
        <v>0</v>
      </c>
      <c r="H500" s="8">
        <v>0</v>
      </c>
      <c r="I500" s="4">
        <v>0</v>
      </c>
    </row>
    <row r="501" spans="1:9" x14ac:dyDescent="0.2">
      <c r="A501" s="2">
        <v>15</v>
      </c>
      <c r="B501" s="1" t="s">
        <v>90</v>
      </c>
      <c r="C501" s="4">
        <v>3</v>
      </c>
      <c r="D501" s="8">
        <v>1.29</v>
      </c>
      <c r="E501" s="4">
        <v>2</v>
      </c>
      <c r="F501" s="8">
        <v>1.37</v>
      </c>
      <c r="G501" s="4">
        <v>1</v>
      </c>
      <c r="H501" s="8">
        <v>1.32</v>
      </c>
      <c r="I501" s="4">
        <v>0</v>
      </c>
    </row>
    <row r="502" spans="1:9" x14ac:dyDescent="0.2">
      <c r="A502" s="2">
        <v>15</v>
      </c>
      <c r="B502" s="1" t="s">
        <v>99</v>
      </c>
      <c r="C502" s="4">
        <v>3</v>
      </c>
      <c r="D502" s="8">
        <v>1.29</v>
      </c>
      <c r="E502" s="4">
        <v>1</v>
      </c>
      <c r="F502" s="8">
        <v>0.68</v>
      </c>
      <c r="G502" s="4">
        <v>1</v>
      </c>
      <c r="H502" s="8">
        <v>1.32</v>
      </c>
      <c r="I502" s="4">
        <v>0</v>
      </c>
    </row>
    <row r="503" spans="1:9" x14ac:dyDescent="0.2">
      <c r="A503" s="2">
        <v>15</v>
      </c>
      <c r="B503" s="1" t="s">
        <v>102</v>
      </c>
      <c r="C503" s="4">
        <v>3</v>
      </c>
      <c r="D503" s="8">
        <v>1.29</v>
      </c>
      <c r="E503" s="4">
        <v>3</v>
      </c>
      <c r="F503" s="8">
        <v>2.0499999999999998</v>
      </c>
      <c r="G503" s="4">
        <v>0</v>
      </c>
      <c r="H503" s="8">
        <v>0</v>
      </c>
      <c r="I503" s="4">
        <v>0</v>
      </c>
    </row>
    <row r="504" spans="1:9" x14ac:dyDescent="0.2">
      <c r="A504" s="2">
        <v>19</v>
      </c>
      <c r="B504" s="1" t="s">
        <v>138</v>
      </c>
      <c r="C504" s="4">
        <v>2</v>
      </c>
      <c r="D504" s="8">
        <v>0.86</v>
      </c>
      <c r="E504" s="4">
        <v>1</v>
      </c>
      <c r="F504" s="8">
        <v>0.68</v>
      </c>
      <c r="G504" s="4">
        <v>1</v>
      </c>
      <c r="H504" s="8">
        <v>1.32</v>
      </c>
      <c r="I504" s="4">
        <v>0</v>
      </c>
    </row>
    <row r="505" spans="1:9" x14ac:dyDescent="0.2">
      <c r="A505" s="2">
        <v>19</v>
      </c>
      <c r="B505" s="1" t="s">
        <v>136</v>
      </c>
      <c r="C505" s="4">
        <v>2</v>
      </c>
      <c r="D505" s="8">
        <v>0.86</v>
      </c>
      <c r="E505" s="4">
        <v>1</v>
      </c>
      <c r="F505" s="8">
        <v>0.68</v>
      </c>
      <c r="G505" s="4">
        <v>1</v>
      </c>
      <c r="H505" s="8">
        <v>1.32</v>
      </c>
      <c r="I505" s="4">
        <v>0</v>
      </c>
    </row>
    <row r="506" spans="1:9" x14ac:dyDescent="0.2">
      <c r="A506" s="2">
        <v>19</v>
      </c>
      <c r="B506" s="1" t="s">
        <v>117</v>
      </c>
      <c r="C506" s="4">
        <v>2</v>
      </c>
      <c r="D506" s="8">
        <v>0.86</v>
      </c>
      <c r="E506" s="4">
        <v>1</v>
      </c>
      <c r="F506" s="8">
        <v>0.68</v>
      </c>
      <c r="G506" s="4">
        <v>1</v>
      </c>
      <c r="H506" s="8">
        <v>1.32</v>
      </c>
      <c r="I506" s="4">
        <v>0</v>
      </c>
    </row>
    <row r="507" spans="1:9" x14ac:dyDescent="0.2">
      <c r="A507" s="2">
        <v>19</v>
      </c>
      <c r="B507" s="1" t="s">
        <v>109</v>
      </c>
      <c r="C507" s="4">
        <v>2</v>
      </c>
      <c r="D507" s="8">
        <v>0.86</v>
      </c>
      <c r="E507" s="4">
        <v>0</v>
      </c>
      <c r="F507" s="8">
        <v>0</v>
      </c>
      <c r="G507" s="4">
        <v>2</v>
      </c>
      <c r="H507" s="8">
        <v>2.63</v>
      </c>
      <c r="I507" s="4">
        <v>0</v>
      </c>
    </row>
    <row r="508" spans="1:9" x14ac:dyDescent="0.2">
      <c r="A508" s="2">
        <v>19</v>
      </c>
      <c r="B508" s="1" t="s">
        <v>92</v>
      </c>
      <c r="C508" s="4">
        <v>2</v>
      </c>
      <c r="D508" s="8">
        <v>0.86</v>
      </c>
      <c r="E508" s="4">
        <v>1</v>
      </c>
      <c r="F508" s="8">
        <v>0.68</v>
      </c>
      <c r="G508" s="4">
        <v>0</v>
      </c>
      <c r="H508" s="8">
        <v>0</v>
      </c>
      <c r="I508" s="4">
        <v>0</v>
      </c>
    </row>
    <row r="509" spans="1:9" x14ac:dyDescent="0.2">
      <c r="A509" s="2">
        <v>19</v>
      </c>
      <c r="B509" s="1" t="s">
        <v>139</v>
      </c>
      <c r="C509" s="4">
        <v>2</v>
      </c>
      <c r="D509" s="8">
        <v>0.86</v>
      </c>
      <c r="E509" s="4">
        <v>1</v>
      </c>
      <c r="F509" s="8">
        <v>0.68</v>
      </c>
      <c r="G509" s="4">
        <v>1</v>
      </c>
      <c r="H509" s="8">
        <v>1.32</v>
      </c>
      <c r="I509" s="4">
        <v>0</v>
      </c>
    </row>
    <row r="510" spans="1:9" x14ac:dyDescent="0.2">
      <c r="A510" s="2">
        <v>19</v>
      </c>
      <c r="B510" s="1" t="s">
        <v>100</v>
      </c>
      <c r="C510" s="4">
        <v>2</v>
      </c>
      <c r="D510" s="8">
        <v>0.86</v>
      </c>
      <c r="E510" s="4">
        <v>2</v>
      </c>
      <c r="F510" s="8">
        <v>1.37</v>
      </c>
      <c r="G510" s="4">
        <v>0</v>
      </c>
      <c r="H510" s="8">
        <v>0</v>
      </c>
      <c r="I510" s="4">
        <v>0</v>
      </c>
    </row>
    <row r="511" spans="1:9" x14ac:dyDescent="0.2">
      <c r="A511" s="2">
        <v>19</v>
      </c>
      <c r="B511" s="1" t="s">
        <v>120</v>
      </c>
      <c r="C511" s="4">
        <v>2</v>
      </c>
      <c r="D511" s="8">
        <v>0.86</v>
      </c>
      <c r="E511" s="4">
        <v>1</v>
      </c>
      <c r="F511" s="8">
        <v>0.68</v>
      </c>
      <c r="G511" s="4">
        <v>1</v>
      </c>
      <c r="H511" s="8">
        <v>1.32</v>
      </c>
      <c r="I511" s="4">
        <v>0</v>
      </c>
    </row>
    <row r="512" spans="1:9" x14ac:dyDescent="0.2">
      <c r="A512" s="2">
        <v>19</v>
      </c>
      <c r="B512" s="1" t="s">
        <v>140</v>
      </c>
      <c r="C512" s="4">
        <v>2</v>
      </c>
      <c r="D512" s="8">
        <v>0.86</v>
      </c>
      <c r="E512" s="4">
        <v>0</v>
      </c>
      <c r="F512" s="8">
        <v>0</v>
      </c>
      <c r="G512" s="4">
        <v>0</v>
      </c>
      <c r="H512" s="8">
        <v>0</v>
      </c>
      <c r="I512" s="4">
        <v>0</v>
      </c>
    </row>
    <row r="513" spans="1:9" x14ac:dyDescent="0.2">
      <c r="A513" s="1"/>
      <c r="C513" s="4"/>
      <c r="D513" s="8"/>
      <c r="E513" s="4"/>
      <c r="F513" s="8"/>
      <c r="G513" s="4"/>
      <c r="H513" s="8"/>
      <c r="I513" s="4"/>
    </row>
    <row r="514" spans="1:9" x14ac:dyDescent="0.2">
      <c r="A514" s="1" t="s">
        <v>21</v>
      </c>
      <c r="C514" s="4"/>
      <c r="D514" s="8"/>
      <c r="E514" s="4"/>
      <c r="F514" s="8"/>
      <c r="G514" s="4"/>
      <c r="H514" s="8"/>
      <c r="I514" s="4"/>
    </row>
    <row r="515" spans="1:9" x14ac:dyDescent="0.2">
      <c r="A515" s="2">
        <v>1</v>
      </c>
      <c r="B515" s="1" t="s">
        <v>95</v>
      </c>
      <c r="C515" s="4">
        <v>41</v>
      </c>
      <c r="D515" s="8">
        <v>57.75</v>
      </c>
      <c r="E515" s="4">
        <v>34</v>
      </c>
      <c r="F515" s="8">
        <v>65.38</v>
      </c>
      <c r="G515" s="4">
        <v>6</v>
      </c>
      <c r="H515" s="8">
        <v>54.55</v>
      </c>
      <c r="I515" s="4">
        <v>0</v>
      </c>
    </row>
    <row r="516" spans="1:9" x14ac:dyDescent="0.2">
      <c r="A516" s="2">
        <v>2</v>
      </c>
      <c r="B516" s="1" t="s">
        <v>96</v>
      </c>
      <c r="C516" s="4">
        <v>6</v>
      </c>
      <c r="D516" s="8">
        <v>8.4499999999999993</v>
      </c>
      <c r="E516" s="4">
        <v>6</v>
      </c>
      <c r="F516" s="8">
        <v>11.54</v>
      </c>
      <c r="G516" s="4">
        <v>0</v>
      </c>
      <c r="H516" s="8">
        <v>0</v>
      </c>
      <c r="I516" s="4">
        <v>0</v>
      </c>
    </row>
    <row r="517" spans="1:9" x14ac:dyDescent="0.2">
      <c r="A517" s="2">
        <v>3</v>
      </c>
      <c r="B517" s="1" t="s">
        <v>89</v>
      </c>
      <c r="C517" s="4">
        <v>5</v>
      </c>
      <c r="D517" s="8">
        <v>7.04</v>
      </c>
      <c r="E517" s="4">
        <v>4</v>
      </c>
      <c r="F517" s="8">
        <v>7.69</v>
      </c>
      <c r="G517" s="4">
        <v>0</v>
      </c>
      <c r="H517" s="8">
        <v>0</v>
      </c>
      <c r="I517" s="4">
        <v>0</v>
      </c>
    </row>
    <row r="518" spans="1:9" x14ac:dyDescent="0.2">
      <c r="A518" s="2">
        <v>4</v>
      </c>
      <c r="B518" s="1" t="s">
        <v>129</v>
      </c>
      <c r="C518" s="4">
        <v>4</v>
      </c>
      <c r="D518" s="8">
        <v>5.63</v>
      </c>
      <c r="E518" s="4">
        <v>2</v>
      </c>
      <c r="F518" s="8">
        <v>3.85</v>
      </c>
      <c r="G518" s="4">
        <v>0</v>
      </c>
      <c r="H518" s="8">
        <v>0</v>
      </c>
      <c r="I518" s="4">
        <v>0</v>
      </c>
    </row>
    <row r="519" spans="1:9" x14ac:dyDescent="0.2">
      <c r="A519" s="2">
        <v>5</v>
      </c>
      <c r="B519" s="1" t="s">
        <v>83</v>
      </c>
      <c r="C519" s="4">
        <v>3</v>
      </c>
      <c r="D519" s="8">
        <v>4.2300000000000004</v>
      </c>
      <c r="E519" s="4">
        <v>1</v>
      </c>
      <c r="F519" s="8">
        <v>1.92</v>
      </c>
      <c r="G519" s="4">
        <v>2</v>
      </c>
      <c r="H519" s="8">
        <v>18.18</v>
      </c>
      <c r="I519" s="4">
        <v>0</v>
      </c>
    </row>
    <row r="520" spans="1:9" x14ac:dyDescent="0.2">
      <c r="A520" s="2">
        <v>6</v>
      </c>
      <c r="B520" s="1" t="s">
        <v>91</v>
      </c>
      <c r="C520" s="4">
        <v>2</v>
      </c>
      <c r="D520" s="8">
        <v>2.82</v>
      </c>
      <c r="E520" s="4">
        <v>0</v>
      </c>
      <c r="F520" s="8">
        <v>0</v>
      </c>
      <c r="G520" s="4">
        <v>1</v>
      </c>
      <c r="H520" s="8">
        <v>9.09</v>
      </c>
      <c r="I520" s="4">
        <v>0</v>
      </c>
    </row>
    <row r="521" spans="1:9" x14ac:dyDescent="0.2">
      <c r="A521" s="2">
        <v>6</v>
      </c>
      <c r="B521" s="1" t="s">
        <v>97</v>
      </c>
      <c r="C521" s="4">
        <v>2</v>
      </c>
      <c r="D521" s="8">
        <v>2.82</v>
      </c>
      <c r="E521" s="4">
        <v>2</v>
      </c>
      <c r="F521" s="8">
        <v>3.85</v>
      </c>
      <c r="G521" s="4">
        <v>0</v>
      </c>
      <c r="H521" s="8">
        <v>0</v>
      </c>
      <c r="I521" s="4">
        <v>0</v>
      </c>
    </row>
    <row r="522" spans="1:9" x14ac:dyDescent="0.2">
      <c r="A522" s="2">
        <v>6</v>
      </c>
      <c r="B522" s="1" t="s">
        <v>99</v>
      </c>
      <c r="C522" s="4">
        <v>2</v>
      </c>
      <c r="D522" s="8">
        <v>2.82</v>
      </c>
      <c r="E522" s="4">
        <v>1</v>
      </c>
      <c r="F522" s="8">
        <v>1.92</v>
      </c>
      <c r="G522" s="4">
        <v>0</v>
      </c>
      <c r="H522" s="8">
        <v>0</v>
      </c>
      <c r="I522" s="4">
        <v>1</v>
      </c>
    </row>
    <row r="523" spans="1:9" x14ac:dyDescent="0.2">
      <c r="A523" s="2">
        <v>9</v>
      </c>
      <c r="B523" s="1" t="s">
        <v>85</v>
      </c>
      <c r="C523" s="4">
        <v>1</v>
      </c>
      <c r="D523" s="8">
        <v>1.41</v>
      </c>
      <c r="E523" s="4">
        <v>0</v>
      </c>
      <c r="F523" s="8">
        <v>0</v>
      </c>
      <c r="G523" s="4">
        <v>1</v>
      </c>
      <c r="H523" s="8">
        <v>9.09</v>
      </c>
      <c r="I523" s="4">
        <v>0</v>
      </c>
    </row>
    <row r="524" spans="1:9" x14ac:dyDescent="0.2">
      <c r="A524" s="2">
        <v>9</v>
      </c>
      <c r="B524" s="1" t="s">
        <v>110</v>
      </c>
      <c r="C524" s="4">
        <v>1</v>
      </c>
      <c r="D524" s="8">
        <v>1.41</v>
      </c>
      <c r="E524" s="4">
        <v>0</v>
      </c>
      <c r="F524" s="8">
        <v>0</v>
      </c>
      <c r="G524" s="4">
        <v>1</v>
      </c>
      <c r="H524" s="8">
        <v>9.09</v>
      </c>
      <c r="I524" s="4">
        <v>0</v>
      </c>
    </row>
    <row r="525" spans="1:9" x14ac:dyDescent="0.2">
      <c r="A525" s="2">
        <v>9</v>
      </c>
      <c r="B525" s="1" t="s">
        <v>117</v>
      </c>
      <c r="C525" s="4">
        <v>1</v>
      </c>
      <c r="D525" s="8">
        <v>1.41</v>
      </c>
      <c r="E525" s="4">
        <v>1</v>
      </c>
      <c r="F525" s="8">
        <v>1.92</v>
      </c>
      <c r="G525" s="4">
        <v>0</v>
      </c>
      <c r="H525" s="8">
        <v>0</v>
      </c>
      <c r="I525" s="4">
        <v>0</v>
      </c>
    </row>
    <row r="526" spans="1:9" x14ac:dyDescent="0.2">
      <c r="A526" s="2">
        <v>9</v>
      </c>
      <c r="B526" s="1" t="s">
        <v>141</v>
      </c>
      <c r="C526" s="4">
        <v>1</v>
      </c>
      <c r="D526" s="8">
        <v>1.41</v>
      </c>
      <c r="E526" s="4">
        <v>0</v>
      </c>
      <c r="F526" s="8">
        <v>0</v>
      </c>
      <c r="G526" s="4">
        <v>0</v>
      </c>
      <c r="H526" s="8">
        <v>0</v>
      </c>
      <c r="I526" s="4">
        <v>1</v>
      </c>
    </row>
    <row r="527" spans="1:9" x14ac:dyDescent="0.2">
      <c r="A527" s="2">
        <v>9</v>
      </c>
      <c r="B527" s="1" t="s">
        <v>100</v>
      </c>
      <c r="C527" s="4">
        <v>1</v>
      </c>
      <c r="D527" s="8">
        <v>1.41</v>
      </c>
      <c r="E527" s="4">
        <v>1</v>
      </c>
      <c r="F527" s="8">
        <v>1.92</v>
      </c>
      <c r="G527" s="4">
        <v>0</v>
      </c>
      <c r="H527" s="8">
        <v>0</v>
      </c>
      <c r="I527" s="4">
        <v>0</v>
      </c>
    </row>
    <row r="528" spans="1:9" x14ac:dyDescent="0.2">
      <c r="A528" s="2">
        <v>9</v>
      </c>
      <c r="B528" s="1" t="s">
        <v>101</v>
      </c>
      <c r="C528" s="4">
        <v>1</v>
      </c>
      <c r="D528" s="8">
        <v>1.41</v>
      </c>
      <c r="E528" s="4">
        <v>0</v>
      </c>
      <c r="F528" s="8">
        <v>0</v>
      </c>
      <c r="G528" s="4">
        <v>0</v>
      </c>
      <c r="H528" s="8">
        <v>0</v>
      </c>
      <c r="I528" s="4">
        <v>0</v>
      </c>
    </row>
    <row r="529" spans="1:9" x14ac:dyDescent="0.2">
      <c r="A529" s="1"/>
      <c r="C529" s="4"/>
      <c r="D529" s="8"/>
      <c r="E529" s="4"/>
      <c r="F529" s="8"/>
      <c r="G529" s="4"/>
      <c r="H529" s="8"/>
      <c r="I529" s="4"/>
    </row>
    <row r="530" spans="1:9" x14ac:dyDescent="0.2">
      <c r="A530" s="1" t="s">
        <v>22</v>
      </c>
      <c r="C530" s="4"/>
      <c r="D530" s="8"/>
      <c r="E530" s="4"/>
      <c r="F530" s="8"/>
      <c r="G530" s="4"/>
      <c r="H530" s="8"/>
      <c r="I530" s="4"/>
    </row>
    <row r="531" spans="1:9" x14ac:dyDescent="0.2">
      <c r="A531" s="2">
        <v>1</v>
      </c>
      <c r="B531" s="1" t="s">
        <v>95</v>
      </c>
      <c r="C531" s="4">
        <v>31</v>
      </c>
      <c r="D531" s="8">
        <v>16.23</v>
      </c>
      <c r="E531" s="4">
        <v>29</v>
      </c>
      <c r="F531" s="8">
        <v>21.48</v>
      </c>
      <c r="G531" s="4">
        <v>2</v>
      </c>
      <c r="H531" s="8">
        <v>3.92</v>
      </c>
      <c r="I531" s="4">
        <v>0</v>
      </c>
    </row>
    <row r="532" spans="1:9" x14ac:dyDescent="0.2">
      <c r="A532" s="2">
        <v>2</v>
      </c>
      <c r="B532" s="1" t="s">
        <v>97</v>
      </c>
      <c r="C532" s="4">
        <v>22</v>
      </c>
      <c r="D532" s="8">
        <v>11.52</v>
      </c>
      <c r="E532" s="4">
        <v>22</v>
      </c>
      <c r="F532" s="8">
        <v>16.3</v>
      </c>
      <c r="G532" s="4">
        <v>0</v>
      </c>
      <c r="H532" s="8">
        <v>0</v>
      </c>
      <c r="I532" s="4">
        <v>0</v>
      </c>
    </row>
    <row r="533" spans="1:9" x14ac:dyDescent="0.2">
      <c r="A533" s="2">
        <v>3</v>
      </c>
      <c r="B533" s="1" t="s">
        <v>89</v>
      </c>
      <c r="C533" s="4">
        <v>19</v>
      </c>
      <c r="D533" s="8">
        <v>9.9499999999999993</v>
      </c>
      <c r="E533" s="4">
        <v>16</v>
      </c>
      <c r="F533" s="8">
        <v>11.85</v>
      </c>
      <c r="G533" s="4">
        <v>3</v>
      </c>
      <c r="H533" s="8">
        <v>5.88</v>
      </c>
      <c r="I533" s="4">
        <v>0</v>
      </c>
    </row>
    <row r="534" spans="1:9" x14ac:dyDescent="0.2">
      <c r="A534" s="2">
        <v>4</v>
      </c>
      <c r="B534" s="1" t="s">
        <v>84</v>
      </c>
      <c r="C534" s="4">
        <v>15</v>
      </c>
      <c r="D534" s="8">
        <v>7.85</v>
      </c>
      <c r="E534" s="4">
        <v>12</v>
      </c>
      <c r="F534" s="8">
        <v>8.89</v>
      </c>
      <c r="G534" s="4">
        <v>3</v>
      </c>
      <c r="H534" s="8">
        <v>5.88</v>
      </c>
      <c r="I534" s="4">
        <v>0</v>
      </c>
    </row>
    <row r="535" spans="1:9" x14ac:dyDescent="0.2">
      <c r="A535" s="2">
        <v>5</v>
      </c>
      <c r="B535" s="1" t="s">
        <v>96</v>
      </c>
      <c r="C535" s="4">
        <v>13</v>
      </c>
      <c r="D535" s="8">
        <v>6.81</v>
      </c>
      <c r="E535" s="4">
        <v>12</v>
      </c>
      <c r="F535" s="8">
        <v>8.89</v>
      </c>
      <c r="G535" s="4">
        <v>1</v>
      </c>
      <c r="H535" s="8">
        <v>1.96</v>
      </c>
      <c r="I535" s="4">
        <v>0</v>
      </c>
    </row>
    <row r="536" spans="1:9" x14ac:dyDescent="0.2">
      <c r="A536" s="2">
        <v>6</v>
      </c>
      <c r="B536" s="1" t="s">
        <v>83</v>
      </c>
      <c r="C536" s="4">
        <v>12</v>
      </c>
      <c r="D536" s="8">
        <v>6.28</v>
      </c>
      <c r="E536" s="4">
        <v>4</v>
      </c>
      <c r="F536" s="8">
        <v>2.96</v>
      </c>
      <c r="G536" s="4">
        <v>8</v>
      </c>
      <c r="H536" s="8">
        <v>15.69</v>
      </c>
      <c r="I536" s="4">
        <v>0</v>
      </c>
    </row>
    <row r="537" spans="1:9" x14ac:dyDescent="0.2">
      <c r="A537" s="2">
        <v>7</v>
      </c>
      <c r="B537" s="1" t="s">
        <v>91</v>
      </c>
      <c r="C537" s="4">
        <v>10</v>
      </c>
      <c r="D537" s="8">
        <v>5.24</v>
      </c>
      <c r="E537" s="4">
        <v>4</v>
      </c>
      <c r="F537" s="8">
        <v>2.96</v>
      </c>
      <c r="G537" s="4">
        <v>6</v>
      </c>
      <c r="H537" s="8">
        <v>11.76</v>
      </c>
      <c r="I537" s="4">
        <v>0</v>
      </c>
    </row>
    <row r="538" spans="1:9" x14ac:dyDescent="0.2">
      <c r="A538" s="2">
        <v>8</v>
      </c>
      <c r="B538" s="1" t="s">
        <v>110</v>
      </c>
      <c r="C538" s="4">
        <v>8</v>
      </c>
      <c r="D538" s="8">
        <v>4.1900000000000004</v>
      </c>
      <c r="E538" s="4">
        <v>3</v>
      </c>
      <c r="F538" s="8">
        <v>2.2200000000000002</v>
      </c>
      <c r="G538" s="4">
        <v>5</v>
      </c>
      <c r="H538" s="8">
        <v>9.8000000000000007</v>
      </c>
      <c r="I538" s="4">
        <v>0</v>
      </c>
    </row>
    <row r="539" spans="1:9" x14ac:dyDescent="0.2">
      <c r="A539" s="2">
        <v>9</v>
      </c>
      <c r="B539" s="1" t="s">
        <v>85</v>
      </c>
      <c r="C539" s="4">
        <v>6</v>
      </c>
      <c r="D539" s="8">
        <v>3.14</v>
      </c>
      <c r="E539" s="4">
        <v>6</v>
      </c>
      <c r="F539" s="8">
        <v>4.4400000000000004</v>
      </c>
      <c r="G539" s="4">
        <v>0</v>
      </c>
      <c r="H539" s="8">
        <v>0</v>
      </c>
      <c r="I539" s="4">
        <v>0</v>
      </c>
    </row>
    <row r="540" spans="1:9" x14ac:dyDescent="0.2">
      <c r="A540" s="2">
        <v>9</v>
      </c>
      <c r="B540" s="1" t="s">
        <v>100</v>
      </c>
      <c r="C540" s="4">
        <v>6</v>
      </c>
      <c r="D540" s="8">
        <v>3.14</v>
      </c>
      <c r="E540" s="4">
        <v>6</v>
      </c>
      <c r="F540" s="8">
        <v>4.4400000000000004</v>
      </c>
      <c r="G540" s="4">
        <v>0</v>
      </c>
      <c r="H540" s="8">
        <v>0</v>
      </c>
      <c r="I540" s="4">
        <v>0</v>
      </c>
    </row>
    <row r="541" spans="1:9" x14ac:dyDescent="0.2">
      <c r="A541" s="2">
        <v>11</v>
      </c>
      <c r="B541" s="1" t="s">
        <v>90</v>
      </c>
      <c r="C541" s="4">
        <v>4</v>
      </c>
      <c r="D541" s="8">
        <v>2.09</v>
      </c>
      <c r="E541" s="4">
        <v>3</v>
      </c>
      <c r="F541" s="8">
        <v>2.2200000000000002</v>
      </c>
      <c r="G541" s="4">
        <v>1</v>
      </c>
      <c r="H541" s="8">
        <v>1.96</v>
      </c>
      <c r="I541" s="4">
        <v>0</v>
      </c>
    </row>
    <row r="542" spans="1:9" x14ac:dyDescent="0.2">
      <c r="A542" s="2">
        <v>11</v>
      </c>
      <c r="B542" s="1" t="s">
        <v>113</v>
      </c>
      <c r="C542" s="4">
        <v>4</v>
      </c>
      <c r="D542" s="8">
        <v>2.09</v>
      </c>
      <c r="E542" s="4">
        <v>0</v>
      </c>
      <c r="F542" s="8">
        <v>0</v>
      </c>
      <c r="G542" s="4">
        <v>4</v>
      </c>
      <c r="H542" s="8">
        <v>7.84</v>
      </c>
      <c r="I542" s="4">
        <v>0</v>
      </c>
    </row>
    <row r="543" spans="1:9" x14ac:dyDescent="0.2">
      <c r="A543" s="2">
        <v>13</v>
      </c>
      <c r="B543" s="1" t="s">
        <v>124</v>
      </c>
      <c r="C543" s="4">
        <v>3</v>
      </c>
      <c r="D543" s="8">
        <v>1.57</v>
      </c>
      <c r="E543" s="4">
        <v>1</v>
      </c>
      <c r="F543" s="8">
        <v>0.74</v>
      </c>
      <c r="G543" s="4">
        <v>2</v>
      </c>
      <c r="H543" s="8">
        <v>3.92</v>
      </c>
      <c r="I543" s="4">
        <v>0</v>
      </c>
    </row>
    <row r="544" spans="1:9" x14ac:dyDescent="0.2">
      <c r="A544" s="2">
        <v>13</v>
      </c>
      <c r="B544" s="1" t="s">
        <v>142</v>
      </c>
      <c r="C544" s="4">
        <v>3</v>
      </c>
      <c r="D544" s="8">
        <v>1.57</v>
      </c>
      <c r="E544" s="4">
        <v>2</v>
      </c>
      <c r="F544" s="8">
        <v>1.48</v>
      </c>
      <c r="G544" s="4">
        <v>1</v>
      </c>
      <c r="H544" s="8">
        <v>1.96</v>
      </c>
      <c r="I544" s="4">
        <v>0</v>
      </c>
    </row>
    <row r="545" spans="1:9" x14ac:dyDescent="0.2">
      <c r="A545" s="2">
        <v>13</v>
      </c>
      <c r="B545" s="1" t="s">
        <v>139</v>
      </c>
      <c r="C545" s="4">
        <v>3</v>
      </c>
      <c r="D545" s="8">
        <v>1.57</v>
      </c>
      <c r="E545" s="4">
        <v>1</v>
      </c>
      <c r="F545" s="8">
        <v>0.74</v>
      </c>
      <c r="G545" s="4">
        <v>2</v>
      </c>
      <c r="H545" s="8">
        <v>3.92</v>
      </c>
      <c r="I545" s="4">
        <v>0</v>
      </c>
    </row>
    <row r="546" spans="1:9" x14ac:dyDescent="0.2">
      <c r="A546" s="2">
        <v>13</v>
      </c>
      <c r="B546" s="1" t="s">
        <v>94</v>
      </c>
      <c r="C546" s="4">
        <v>3</v>
      </c>
      <c r="D546" s="8">
        <v>1.57</v>
      </c>
      <c r="E546" s="4">
        <v>1</v>
      </c>
      <c r="F546" s="8">
        <v>0.74</v>
      </c>
      <c r="G546" s="4">
        <v>2</v>
      </c>
      <c r="H546" s="8">
        <v>3.92</v>
      </c>
      <c r="I546" s="4">
        <v>0</v>
      </c>
    </row>
    <row r="547" spans="1:9" x14ac:dyDescent="0.2">
      <c r="A547" s="2">
        <v>13</v>
      </c>
      <c r="B547" s="1" t="s">
        <v>101</v>
      </c>
      <c r="C547" s="4">
        <v>3</v>
      </c>
      <c r="D547" s="8">
        <v>1.57</v>
      </c>
      <c r="E547" s="4">
        <v>0</v>
      </c>
      <c r="F547" s="8">
        <v>0</v>
      </c>
      <c r="G547" s="4">
        <v>2</v>
      </c>
      <c r="H547" s="8">
        <v>3.92</v>
      </c>
      <c r="I547" s="4">
        <v>0</v>
      </c>
    </row>
    <row r="548" spans="1:9" x14ac:dyDescent="0.2">
      <c r="A548" s="2">
        <v>13</v>
      </c>
      <c r="B548" s="1" t="s">
        <v>140</v>
      </c>
      <c r="C548" s="4">
        <v>3</v>
      </c>
      <c r="D548" s="8">
        <v>1.57</v>
      </c>
      <c r="E548" s="4">
        <v>0</v>
      </c>
      <c r="F548" s="8">
        <v>0</v>
      </c>
      <c r="G548" s="4">
        <v>0</v>
      </c>
      <c r="H548" s="8">
        <v>0</v>
      </c>
      <c r="I548" s="4">
        <v>0</v>
      </c>
    </row>
    <row r="549" spans="1:9" x14ac:dyDescent="0.2">
      <c r="A549" s="2">
        <v>19</v>
      </c>
      <c r="B549" s="1" t="s">
        <v>88</v>
      </c>
      <c r="C549" s="4">
        <v>2</v>
      </c>
      <c r="D549" s="8">
        <v>1.05</v>
      </c>
      <c r="E549" s="4">
        <v>2</v>
      </c>
      <c r="F549" s="8">
        <v>1.48</v>
      </c>
      <c r="G549" s="4">
        <v>0</v>
      </c>
      <c r="H549" s="8">
        <v>0</v>
      </c>
      <c r="I549" s="4">
        <v>0</v>
      </c>
    </row>
    <row r="550" spans="1:9" x14ac:dyDescent="0.2">
      <c r="A550" s="2">
        <v>19</v>
      </c>
      <c r="B550" s="1" t="s">
        <v>109</v>
      </c>
      <c r="C550" s="4">
        <v>2</v>
      </c>
      <c r="D550" s="8">
        <v>1.05</v>
      </c>
      <c r="E550" s="4">
        <v>0</v>
      </c>
      <c r="F550" s="8">
        <v>0</v>
      </c>
      <c r="G550" s="4">
        <v>2</v>
      </c>
      <c r="H550" s="8">
        <v>3.92</v>
      </c>
      <c r="I550" s="4">
        <v>0</v>
      </c>
    </row>
    <row r="551" spans="1:9" x14ac:dyDescent="0.2">
      <c r="A551" s="2">
        <v>19</v>
      </c>
      <c r="B551" s="1" t="s">
        <v>93</v>
      </c>
      <c r="C551" s="4">
        <v>2</v>
      </c>
      <c r="D551" s="8">
        <v>1.05</v>
      </c>
      <c r="E551" s="4">
        <v>2</v>
      </c>
      <c r="F551" s="8">
        <v>1.48</v>
      </c>
      <c r="G551" s="4">
        <v>0</v>
      </c>
      <c r="H551" s="8">
        <v>0</v>
      </c>
      <c r="I551" s="4">
        <v>0</v>
      </c>
    </row>
    <row r="552" spans="1:9" x14ac:dyDescent="0.2">
      <c r="A552" s="2">
        <v>19</v>
      </c>
      <c r="B552" s="1" t="s">
        <v>98</v>
      </c>
      <c r="C552" s="4">
        <v>2</v>
      </c>
      <c r="D552" s="8">
        <v>1.05</v>
      </c>
      <c r="E552" s="4">
        <v>2</v>
      </c>
      <c r="F552" s="8">
        <v>1.48</v>
      </c>
      <c r="G552" s="4">
        <v>0</v>
      </c>
      <c r="H552" s="8">
        <v>0</v>
      </c>
      <c r="I552" s="4">
        <v>0</v>
      </c>
    </row>
    <row r="553" spans="1:9" x14ac:dyDescent="0.2">
      <c r="A553" s="2">
        <v>19</v>
      </c>
      <c r="B553" s="1" t="s">
        <v>99</v>
      </c>
      <c r="C553" s="4">
        <v>2</v>
      </c>
      <c r="D553" s="8">
        <v>1.05</v>
      </c>
      <c r="E553" s="4">
        <v>1</v>
      </c>
      <c r="F553" s="8">
        <v>0.74</v>
      </c>
      <c r="G553" s="4">
        <v>1</v>
      </c>
      <c r="H553" s="8">
        <v>1.96</v>
      </c>
      <c r="I553" s="4">
        <v>0</v>
      </c>
    </row>
    <row r="554" spans="1:9" x14ac:dyDescent="0.2">
      <c r="A554" s="1"/>
      <c r="C554" s="4"/>
      <c r="D554" s="8"/>
      <c r="E554" s="4"/>
      <c r="F554" s="8"/>
      <c r="G554" s="4"/>
      <c r="H554" s="8"/>
      <c r="I554" s="4"/>
    </row>
    <row r="555" spans="1:9" x14ac:dyDescent="0.2">
      <c r="A555" s="1" t="s">
        <v>23</v>
      </c>
      <c r="C555" s="4"/>
      <c r="D555" s="8"/>
      <c r="E555" s="4"/>
      <c r="F555" s="8"/>
      <c r="G555" s="4"/>
      <c r="H555" s="8"/>
      <c r="I555" s="4"/>
    </row>
    <row r="556" spans="1:9" x14ac:dyDescent="0.2">
      <c r="A556" s="2">
        <v>1</v>
      </c>
      <c r="B556" s="1" t="s">
        <v>97</v>
      </c>
      <c r="C556" s="4">
        <v>77</v>
      </c>
      <c r="D556" s="8">
        <v>11.72</v>
      </c>
      <c r="E556" s="4">
        <v>73</v>
      </c>
      <c r="F556" s="8">
        <v>16.78</v>
      </c>
      <c r="G556" s="4">
        <v>4</v>
      </c>
      <c r="H556" s="8">
        <v>1.86</v>
      </c>
      <c r="I556" s="4">
        <v>0</v>
      </c>
    </row>
    <row r="557" spans="1:9" x14ac:dyDescent="0.2">
      <c r="A557" s="2">
        <v>2</v>
      </c>
      <c r="B557" s="1" t="s">
        <v>95</v>
      </c>
      <c r="C557" s="4">
        <v>74</v>
      </c>
      <c r="D557" s="8">
        <v>11.26</v>
      </c>
      <c r="E557" s="4">
        <v>66</v>
      </c>
      <c r="F557" s="8">
        <v>15.17</v>
      </c>
      <c r="G557" s="4">
        <v>7</v>
      </c>
      <c r="H557" s="8">
        <v>3.26</v>
      </c>
      <c r="I557" s="4">
        <v>1</v>
      </c>
    </row>
    <row r="558" spans="1:9" x14ac:dyDescent="0.2">
      <c r="A558" s="2">
        <v>3</v>
      </c>
      <c r="B558" s="1" t="s">
        <v>89</v>
      </c>
      <c r="C558" s="4">
        <v>66</v>
      </c>
      <c r="D558" s="8">
        <v>10.050000000000001</v>
      </c>
      <c r="E558" s="4">
        <v>47</v>
      </c>
      <c r="F558" s="8">
        <v>10.8</v>
      </c>
      <c r="G558" s="4">
        <v>19</v>
      </c>
      <c r="H558" s="8">
        <v>8.84</v>
      </c>
      <c r="I558" s="4">
        <v>0</v>
      </c>
    </row>
    <row r="559" spans="1:9" x14ac:dyDescent="0.2">
      <c r="A559" s="2">
        <v>4</v>
      </c>
      <c r="B559" s="1" t="s">
        <v>96</v>
      </c>
      <c r="C559" s="4">
        <v>61</v>
      </c>
      <c r="D559" s="8">
        <v>9.2799999999999994</v>
      </c>
      <c r="E559" s="4">
        <v>59</v>
      </c>
      <c r="F559" s="8">
        <v>13.56</v>
      </c>
      <c r="G559" s="4">
        <v>2</v>
      </c>
      <c r="H559" s="8">
        <v>0.93</v>
      </c>
      <c r="I559" s="4">
        <v>0</v>
      </c>
    </row>
    <row r="560" spans="1:9" x14ac:dyDescent="0.2">
      <c r="A560" s="2">
        <v>5</v>
      </c>
      <c r="B560" s="1" t="s">
        <v>91</v>
      </c>
      <c r="C560" s="4">
        <v>58</v>
      </c>
      <c r="D560" s="8">
        <v>8.83</v>
      </c>
      <c r="E560" s="4">
        <v>29</v>
      </c>
      <c r="F560" s="8">
        <v>6.67</v>
      </c>
      <c r="G560" s="4">
        <v>29</v>
      </c>
      <c r="H560" s="8">
        <v>13.49</v>
      </c>
      <c r="I560" s="4">
        <v>0</v>
      </c>
    </row>
    <row r="561" spans="1:9" x14ac:dyDescent="0.2">
      <c r="A561" s="2">
        <v>6</v>
      </c>
      <c r="B561" s="1" t="s">
        <v>83</v>
      </c>
      <c r="C561" s="4">
        <v>44</v>
      </c>
      <c r="D561" s="8">
        <v>6.7</v>
      </c>
      <c r="E561" s="4">
        <v>19</v>
      </c>
      <c r="F561" s="8">
        <v>4.37</v>
      </c>
      <c r="G561" s="4">
        <v>25</v>
      </c>
      <c r="H561" s="8">
        <v>11.63</v>
      </c>
      <c r="I561" s="4">
        <v>0</v>
      </c>
    </row>
    <row r="562" spans="1:9" x14ac:dyDescent="0.2">
      <c r="A562" s="2">
        <v>7</v>
      </c>
      <c r="B562" s="1" t="s">
        <v>84</v>
      </c>
      <c r="C562" s="4">
        <v>31</v>
      </c>
      <c r="D562" s="8">
        <v>4.72</v>
      </c>
      <c r="E562" s="4">
        <v>24</v>
      </c>
      <c r="F562" s="8">
        <v>5.52</v>
      </c>
      <c r="G562" s="4">
        <v>7</v>
      </c>
      <c r="H562" s="8">
        <v>3.26</v>
      </c>
      <c r="I562" s="4">
        <v>0</v>
      </c>
    </row>
    <row r="563" spans="1:9" x14ac:dyDescent="0.2">
      <c r="A563" s="2">
        <v>8</v>
      </c>
      <c r="B563" s="1" t="s">
        <v>90</v>
      </c>
      <c r="C563" s="4">
        <v>21</v>
      </c>
      <c r="D563" s="8">
        <v>3.2</v>
      </c>
      <c r="E563" s="4">
        <v>13</v>
      </c>
      <c r="F563" s="8">
        <v>2.99</v>
      </c>
      <c r="G563" s="4">
        <v>8</v>
      </c>
      <c r="H563" s="8">
        <v>3.72</v>
      </c>
      <c r="I563" s="4">
        <v>0</v>
      </c>
    </row>
    <row r="564" spans="1:9" x14ac:dyDescent="0.2">
      <c r="A564" s="2">
        <v>9</v>
      </c>
      <c r="B564" s="1" t="s">
        <v>85</v>
      </c>
      <c r="C564" s="4">
        <v>20</v>
      </c>
      <c r="D564" s="8">
        <v>3.04</v>
      </c>
      <c r="E564" s="4">
        <v>11</v>
      </c>
      <c r="F564" s="8">
        <v>2.5299999999999998</v>
      </c>
      <c r="G564" s="4">
        <v>9</v>
      </c>
      <c r="H564" s="8">
        <v>4.1900000000000004</v>
      </c>
      <c r="I564" s="4">
        <v>0</v>
      </c>
    </row>
    <row r="565" spans="1:9" x14ac:dyDescent="0.2">
      <c r="A565" s="2">
        <v>10</v>
      </c>
      <c r="B565" s="1" t="s">
        <v>92</v>
      </c>
      <c r="C565" s="4">
        <v>17</v>
      </c>
      <c r="D565" s="8">
        <v>2.59</v>
      </c>
      <c r="E565" s="4">
        <v>14</v>
      </c>
      <c r="F565" s="8">
        <v>3.22</v>
      </c>
      <c r="G565" s="4">
        <v>3</v>
      </c>
      <c r="H565" s="8">
        <v>1.4</v>
      </c>
      <c r="I565" s="4">
        <v>0</v>
      </c>
    </row>
    <row r="566" spans="1:9" x14ac:dyDescent="0.2">
      <c r="A566" s="2">
        <v>11</v>
      </c>
      <c r="B566" s="1" t="s">
        <v>93</v>
      </c>
      <c r="C566" s="4">
        <v>11</v>
      </c>
      <c r="D566" s="8">
        <v>1.67</v>
      </c>
      <c r="E566" s="4">
        <v>8</v>
      </c>
      <c r="F566" s="8">
        <v>1.84</v>
      </c>
      <c r="G566" s="4">
        <v>3</v>
      </c>
      <c r="H566" s="8">
        <v>1.4</v>
      </c>
      <c r="I566" s="4">
        <v>0</v>
      </c>
    </row>
    <row r="567" spans="1:9" x14ac:dyDescent="0.2">
      <c r="A567" s="2">
        <v>11</v>
      </c>
      <c r="B567" s="1" t="s">
        <v>108</v>
      </c>
      <c r="C567" s="4">
        <v>11</v>
      </c>
      <c r="D567" s="8">
        <v>1.67</v>
      </c>
      <c r="E567" s="4">
        <v>0</v>
      </c>
      <c r="F567" s="8">
        <v>0</v>
      </c>
      <c r="G567" s="4">
        <v>9</v>
      </c>
      <c r="H567" s="8">
        <v>4.1900000000000004</v>
      </c>
      <c r="I567" s="4">
        <v>1</v>
      </c>
    </row>
    <row r="568" spans="1:9" x14ac:dyDescent="0.2">
      <c r="A568" s="2">
        <v>13</v>
      </c>
      <c r="B568" s="1" t="s">
        <v>94</v>
      </c>
      <c r="C568" s="4">
        <v>10</v>
      </c>
      <c r="D568" s="8">
        <v>1.52</v>
      </c>
      <c r="E568" s="4">
        <v>4</v>
      </c>
      <c r="F568" s="8">
        <v>0.92</v>
      </c>
      <c r="G568" s="4">
        <v>6</v>
      </c>
      <c r="H568" s="8">
        <v>2.79</v>
      </c>
      <c r="I568" s="4">
        <v>0</v>
      </c>
    </row>
    <row r="569" spans="1:9" x14ac:dyDescent="0.2">
      <c r="A569" s="2">
        <v>13</v>
      </c>
      <c r="B569" s="1" t="s">
        <v>99</v>
      </c>
      <c r="C569" s="4">
        <v>10</v>
      </c>
      <c r="D569" s="8">
        <v>1.52</v>
      </c>
      <c r="E569" s="4">
        <v>7</v>
      </c>
      <c r="F569" s="8">
        <v>1.61</v>
      </c>
      <c r="G569" s="4">
        <v>2</v>
      </c>
      <c r="H569" s="8">
        <v>0.93</v>
      </c>
      <c r="I569" s="4">
        <v>0</v>
      </c>
    </row>
    <row r="570" spans="1:9" x14ac:dyDescent="0.2">
      <c r="A570" s="2">
        <v>13</v>
      </c>
      <c r="B570" s="1" t="s">
        <v>101</v>
      </c>
      <c r="C570" s="4">
        <v>10</v>
      </c>
      <c r="D570" s="8">
        <v>1.52</v>
      </c>
      <c r="E570" s="4">
        <v>0</v>
      </c>
      <c r="F570" s="8">
        <v>0</v>
      </c>
      <c r="G570" s="4">
        <v>8</v>
      </c>
      <c r="H570" s="8">
        <v>3.72</v>
      </c>
      <c r="I570" s="4">
        <v>0</v>
      </c>
    </row>
    <row r="571" spans="1:9" x14ac:dyDescent="0.2">
      <c r="A571" s="2">
        <v>16</v>
      </c>
      <c r="B571" s="1" t="s">
        <v>102</v>
      </c>
      <c r="C571" s="4">
        <v>9</v>
      </c>
      <c r="D571" s="8">
        <v>1.37</v>
      </c>
      <c r="E571" s="4">
        <v>4</v>
      </c>
      <c r="F571" s="8">
        <v>0.92</v>
      </c>
      <c r="G571" s="4">
        <v>5</v>
      </c>
      <c r="H571" s="8">
        <v>2.33</v>
      </c>
      <c r="I571" s="4">
        <v>0</v>
      </c>
    </row>
    <row r="572" spans="1:9" x14ac:dyDescent="0.2">
      <c r="A572" s="2">
        <v>17</v>
      </c>
      <c r="B572" s="1" t="s">
        <v>88</v>
      </c>
      <c r="C572" s="4">
        <v>8</v>
      </c>
      <c r="D572" s="8">
        <v>1.22</v>
      </c>
      <c r="E572" s="4">
        <v>7</v>
      </c>
      <c r="F572" s="8">
        <v>1.61</v>
      </c>
      <c r="G572" s="4">
        <v>1</v>
      </c>
      <c r="H572" s="8">
        <v>0.47</v>
      </c>
      <c r="I572" s="4">
        <v>0</v>
      </c>
    </row>
    <row r="573" spans="1:9" x14ac:dyDescent="0.2">
      <c r="A573" s="2">
        <v>17</v>
      </c>
      <c r="B573" s="1" t="s">
        <v>129</v>
      </c>
      <c r="C573" s="4">
        <v>8</v>
      </c>
      <c r="D573" s="8">
        <v>1.22</v>
      </c>
      <c r="E573" s="4">
        <v>4</v>
      </c>
      <c r="F573" s="8">
        <v>0.92</v>
      </c>
      <c r="G573" s="4">
        <v>4</v>
      </c>
      <c r="H573" s="8">
        <v>1.86</v>
      </c>
      <c r="I573" s="4">
        <v>0</v>
      </c>
    </row>
    <row r="574" spans="1:9" x14ac:dyDescent="0.2">
      <c r="A574" s="2">
        <v>17</v>
      </c>
      <c r="B574" s="1" t="s">
        <v>100</v>
      </c>
      <c r="C574" s="4">
        <v>8</v>
      </c>
      <c r="D574" s="8">
        <v>1.22</v>
      </c>
      <c r="E574" s="4">
        <v>7</v>
      </c>
      <c r="F574" s="8">
        <v>1.61</v>
      </c>
      <c r="G574" s="4">
        <v>1</v>
      </c>
      <c r="H574" s="8">
        <v>0.47</v>
      </c>
      <c r="I574" s="4">
        <v>0</v>
      </c>
    </row>
    <row r="575" spans="1:9" x14ac:dyDescent="0.2">
      <c r="A575" s="2">
        <v>20</v>
      </c>
      <c r="B575" s="1" t="s">
        <v>86</v>
      </c>
      <c r="C575" s="4">
        <v>7</v>
      </c>
      <c r="D575" s="8">
        <v>1.07</v>
      </c>
      <c r="E575" s="4">
        <v>1</v>
      </c>
      <c r="F575" s="8">
        <v>0.23</v>
      </c>
      <c r="G575" s="4">
        <v>6</v>
      </c>
      <c r="H575" s="8">
        <v>2.79</v>
      </c>
      <c r="I575" s="4">
        <v>0</v>
      </c>
    </row>
    <row r="576" spans="1:9" x14ac:dyDescent="0.2">
      <c r="A576" s="1"/>
      <c r="C576" s="4"/>
      <c r="D576" s="8"/>
      <c r="E576" s="4"/>
      <c r="F576" s="8"/>
      <c r="G576" s="4"/>
      <c r="H576" s="8"/>
      <c r="I576" s="4"/>
    </row>
    <row r="577" spans="1:9" x14ac:dyDescent="0.2">
      <c r="A577" s="1" t="s">
        <v>24</v>
      </c>
      <c r="C577" s="4"/>
      <c r="D577" s="8"/>
      <c r="E577" s="4"/>
      <c r="F577" s="8"/>
      <c r="G577" s="4"/>
      <c r="H577" s="8"/>
      <c r="I577" s="4"/>
    </row>
    <row r="578" spans="1:9" x14ac:dyDescent="0.2">
      <c r="A578" s="2">
        <v>1</v>
      </c>
      <c r="B578" s="1" t="s">
        <v>95</v>
      </c>
      <c r="C578" s="4">
        <v>89</v>
      </c>
      <c r="D578" s="8">
        <v>49.72</v>
      </c>
      <c r="E578" s="4">
        <v>72</v>
      </c>
      <c r="F578" s="8">
        <v>61.54</v>
      </c>
      <c r="G578" s="4">
        <v>17</v>
      </c>
      <c r="H578" s="8">
        <v>30.36</v>
      </c>
      <c r="I578" s="4">
        <v>0</v>
      </c>
    </row>
    <row r="579" spans="1:9" x14ac:dyDescent="0.2">
      <c r="A579" s="2">
        <v>2</v>
      </c>
      <c r="B579" s="1" t="s">
        <v>96</v>
      </c>
      <c r="C579" s="4">
        <v>13</v>
      </c>
      <c r="D579" s="8">
        <v>7.26</v>
      </c>
      <c r="E579" s="4">
        <v>11</v>
      </c>
      <c r="F579" s="8">
        <v>9.4</v>
      </c>
      <c r="G579" s="4">
        <v>1</v>
      </c>
      <c r="H579" s="8">
        <v>1.79</v>
      </c>
      <c r="I579" s="4">
        <v>1</v>
      </c>
    </row>
    <row r="580" spans="1:9" x14ac:dyDescent="0.2">
      <c r="A580" s="2">
        <v>3</v>
      </c>
      <c r="B580" s="1" t="s">
        <v>83</v>
      </c>
      <c r="C580" s="4">
        <v>8</v>
      </c>
      <c r="D580" s="8">
        <v>4.47</v>
      </c>
      <c r="E580" s="4">
        <v>4</v>
      </c>
      <c r="F580" s="8">
        <v>3.42</v>
      </c>
      <c r="G580" s="4">
        <v>4</v>
      </c>
      <c r="H580" s="8">
        <v>7.14</v>
      </c>
      <c r="I580" s="4">
        <v>0</v>
      </c>
    </row>
    <row r="581" spans="1:9" x14ac:dyDescent="0.2">
      <c r="A581" s="2">
        <v>3</v>
      </c>
      <c r="B581" s="1" t="s">
        <v>89</v>
      </c>
      <c r="C581" s="4">
        <v>8</v>
      </c>
      <c r="D581" s="8">
        <v>4.47</v>
      </c>
      <c r="E581" s="4">
        <v>3</v>
      </c>
      <c r="F581" s="8">
        <v>2.56</v>
      </c>
      <c r="G581" s="4">
        <v>5</v>
      </c>
      <c r="H581" s="8">
        <v>8.93</v>
      </c>
      <c r="I581" s="4">
        <v>0</v>
      </c>
    </row>
    <row r="582" spans="1:9" x14ac:dyDescent="0.2">
      <c r="A582" s="2">
        <v>3</v>
      </c>
      <c r="B582" s="1" t="s">
        <v>91</v>
      </c>
      <c r="C582" s="4">
        <v>8</v>
      </c>
      <c r="D582" s="8">
        <v>4.47</v>
      </c>
      <c r="E582" s="4">
        <v>4</v>
      </c>
      <c r="F582" s="8">
        <v>3.42</v>
      </c>
      <c r="G582" s="4">
        <v>4</v>
      </c>
      <c r="H582" s="8">
        <v>7.14</v>
      </c>
      <c r="I582" s="4">
        <v>0</v>
      </c>
    </row>
    <row r="583" spans="1:9" x14ac:dyDescent="0.2">
      <c r="A583" s="2">
        <v>6</v>
      </c>
      <c r="B583" s="1" t="s">
        <v>97</v>
      </c>
      <c r="C583" s="4">
        <v>7</v>
      </c>
      <c r="D583" s="8">
        <v>3.91</v>
      </c>
      <c r="E583" s="4">
        <v>7</v>
      </c>
      <c r="F583" s="8">
        <v>5.98</v>
      </c>
      <c r="G583" s="4">
        <v>0</v>
      </c>
      <c r="H583" s="8">
        <v>0</v>
      </c>
      <c r="I583" s="4">
        <v>0</v>
      </c>
    </row>
    <row r="584" spans="1:9" x14ac:dyDescent="0.2">
      <c r="A584" s="2">
        <v>7</v>
      </c>
      <c r="B584" s="1" t="s">
        <v>129</v>
      </c>
      <c r="C584" s="4">
        <v>5</v>
      </c>
      <c r="D584" s="8">
        <v>2.79</v>
      </c>
      <c r="E584" s="4">
        <v>2</v>
      </c>
      <c r="F584" s="8">
        <v>1.71</v>
      </c>
      <c r="G584" s="4">
        <v>3</v>
      </c>
      <c r="H584" s="8">
        <v>5.36</v>
      </c>
      <c r="I584" s="4">
        <v>0</v>
      </c>
    </row>
    <row r="585" spans="1:9" x14ac:dyDescent="0.2">
      <c r="A585" s="2">
        <v>8</v>
      </c>
      <c r="B585" s="1" t="s">
        <v>84</v>
      </c>
      <c r="C585" s="4">
        <v>4</v>
      </c>
      <c r="D585" s="8">
        <v>2.23</v>
      </c>
      <c r="E585" s="4">
        <v>2</v>
      </c>
      <c r="F585" s="8">
        <v>1.71</v>
      </c>
      <c r="G585" s="4">
        <v>2</v>
      </c>
      <c r="H585" s="8">
        <v>3.57</v>
      </c>
      <c r="I585" s="4">
        <v>0</v>
      </c>
    </row>
    <row r="586" spans="1:9" x14ac:dyDescent="0.2">
      <c r="A586" s="2">
        <v>8</v>
      </c>
      <c r="B586" s="1" t="s">
        <v>106</v>
      </c>
      <c r="C586" s="4">
        <v>4</v>
      </c>
      <c r="D586" s="8">
        <v>2.23</v>
      </c>
      <c r="E586" s="4">
        <v>2</v>
      </c>
      <c r="F586" s="8">
        <v>1.71</v>
      </c>
      <c r="G586" s="4">
        <v>2</v>
      </c>
      <c r="H586" s="8">
        <v>3.57</v>
      </c>
      <c r="I586" s="4">
        <v>0</v>
      </c>
    </row>
    <row r="587" spans="1:9" x14ac:dyDescent="0.2">
      <c r="A587" s="2">
        <v>8</v>
      </c>
      <c r="B587" s="1" t="s">
        <v>113</v>
      </c>
      <c r="C587" s="4">
        <v>4</v>
      </c>
      <c r="D587" s="8">
        <v>2.23</v>
      </c>
      <c r="E587" s="4">
        <v>0</v>
      </c>
      <c r="F587" s="8">
        <v>0</v>
      </c>
      <c r="G587" s="4">
        <v>2</v>
      </c>
      <c r="H587" s="8">
        <v>3.57</v>
      </c>
      <c r="I587" s="4">
        <v>0</v>
      </c>
    </row>
    <row r="588" spans="1:9" x14ac:dyDescent="0.2">
      <c r="A588" s="2">
        <v>11</v>
      </c>
      <c r="B588" s="1" t="s">
        <v>92</v>
      </c>
      <c r="C588" s="4">
        <v>3</v>
      </c>
      <c r="D588" s="8">
        <v>1.68</v>
      </c>
      <c r="E588" s="4">
        <v>2</v>
      </c>
      <c r="F588" s="8">
        <v>1.71</v>
      </c>
      <c r="G588" s="4">
        <v>1</v>
      </c>
      <c r="H588" s="8">
        <v>1.79</v>
      </c>
      <c r="I588" s="4">
        <v>0</v>
      </c>
    </row>
    <row r="589" spans="1:9" x14ac:dyDescent="0.2">
      <c r="A589" s="2">
        <v>12</v>
      </c>
      <c r="B589" s="1" t="s">
        <v>85</v>
      </c>
      <c r="C589" s="4">
        <v>2</v>
      </c>
      <c r="D589" s="8">
        <v>1.1200000000000001</v>
      </c>
      <c r="E589" s="4">
        <v>1</v>
      </c>
      <c r="F589" s="8">
        <v>0.85</v>
      </c>
      <c r="G589" s="4">
        <v>1</v>
      </c>
      <c r="H589" s="8">
        <v>1.79</v>
      </c>
      <c r="I589" s="4">
        <v>0</v>
      </c>
    </row>
    <row r="590" spans="1:9" x14ac:dyDescent="0.2">
      <c r="A590" s="2">
        <v>12</v>
      </c>
      <c r="B590" s="1" t="s">
        <v>94</v>
      </c>
      <c r="C590" s="4">
        <v>2</v>
      </c>
      <c r="D590" s="8">
        <v>1.1200000000000001</v>
      </c>
      <c r="E590" s="4">
        <v>1</v>
      </c>
      <c r="F590" s="8">
        <v>0.85</v>
      </c>
      <c r="G590" s="4">
        <v>1</v>
      </c>
      <c r="H590" s="8">
        <v>1.79</v>
      </c>
      <c r="I590" s="4">
        <v>0</v>
      </c>
    </row>
    <row r="591" spans="1:9" x14ac:dyDescent="0.2">
      <c r="A591" s="2">
        <v>12</v>
      </c>
      <c r="B591" s="1" t="s">
        <v>99</v>
      </c>
      <c r="C591" s="4">
        <v>2</v>
      </c>
      <c r="D591" s="8">
        <v>1.1200000000000001</v>
      </c>
      <c r="E591" s="4">
        <v>0</v>
      </c>
      <c r="F591" s="8">
        <v>0</v>
      </c>
      <c r="G591" s="4">
        <v>2</v>
      </c>
      <c r="H591" s="8">
        <v>3.57</v>
      </c>
      <c r="I591" s="4">
        <v>0</v>
      </c>
    </row>
    <row r="592" spans="1:9" x14ac:dyDescent="0.2">
      <c r="A592" s="2">
        <v>12</v>
      </c>
      <c r="B592" s="1" t="s">
        <v>108</v>
      </c>
      <c r="C592" s="4">
        <v>2</v>
      </c>
      <c r="D592" s="8">
        <v>1.1200000000000001</v>
      </c>
      <c r="E592" s="4">
        <v>0</v>
      </c>
      <c r="F592" s="8">
        <v>0</v>
      </c>
      <c r="G592" s="4">
        <v>1</v>
      </c>
      <c r="H592" s="8">
        <v>1.79</v>
      </c>
      <c r="I592" s="4">
        <v>1</v>
      </c>
    </row>
    <row r="593" spans="1:9" x14ac:dyDescent="0.2">
      <c r="A593" s="2">
        <v>16</v>
      </c>
      <c r="B593" s="1" t="s">
        <v>132</v>
      </c>
      <c r="C593" s="4">
        <v>1</v>
      </c>
      <c r="D593" s="8">
        <v>0.56000000000000005</v>
      </c>
      <c r="E593" s="4">
        <v>0</v>
      </c>
      <c r="F593" s="8">
        <v>0</v>
      </c>
      <c r="G593" s="4">
        <v>1</v>
      </c>
      <c r="H593" s="8">
        <v>1.79</v>
      </c>
      <c r="I593" s="4">
        <v>0</v>
      </c>
    </row>
    <row r="594" spans="1:9" x14ac:dyDescent="0.2">
      <c r="A594" s="2">
        <v>16</v>
      </c>
      <c r="B594" s="1" t="s">
        <v>124</v>
      </c>
      <c r="C594" s="4">
        <v>1</v>
      </c>
      <c r="D594" s="8">
        <v>0.56000000000000005</v>
      </c>
      <c r="E594" s="4">
        <v>0</v>
      </c>
      <c r="F594" s="8">
        <v>0</v>
      </c>
      <c r="G594" s="4">
        <v>1</v>
      </c>
      <c r="H594" s="8">
        <v>1.79</v>
      </c>
      <c r="I594" s="4">
        <v>0</v>
      </c>
    </row>
    <row r="595" spans="1:9" x14ac:dyDescent="0.2">
      <c r="A595" s="2">
        <v>16</v>
      </c>
      <c r="B595" s="1" t="s">
        <v>116</v>
      </c>
      <c r="C595" s="4">
        <v>1</v>
      </c>
      <c r="D595" s="8">
        <v>0.56000000000000005</v>
      </c>
      <c r="E595" s="4">
        <v>1</v>
      </c>
      <c r="F595" s="8">
        <v>0.85</v>
      </c>
      <c r="G595" s="4">
        <v>0</v>
      </c>
      <c r="H595" s="8">
        <v>0</v>
      </c>
      <c r="I595" s="4">
        <v>0</v>
      </c>
    </row>
    <row r="596" spans="1:9" x14ac:dyDescent="0.2">
      <c r="A596" s="2">
        <v>16</v>
      </c>
      <c r="B596" s="1" t="s">
        <v>143</v>
      </c>
      <c r="C596" s="4">
        <v>1</v>
      </c>
      <c r="D596" s="8">
        <v>0.56000000000000005</v>
      </c>
      <c r="E596" s="4">
        <v>0</v>
      </c>
      <c r="F596" s="8">
        <v>0</v>
      </c>
      <c r="G596" s="4">
        <v>1</v>
      </c>
      <c r="H596" s="8">
        <v>1.79</v>
      </c>
      <c r="I596" s="4">
        <v>0</v>
      </c>
    </row>
    <row r="597" spans="1:9" x14ac:dyDescent="0.2">
      <c r="A597" s="2">
        <v>16</v>
      </c>
      <c r="B597" s="1" t="s">
        <v>112</v>
      </c>
      <c r="C597" s="4">
        <v>1</v>
      </c>
      <c r="D597" s="8">
        <v>0.56000000000000005</v>
      </c>
      <c r="E597" s="4">
        <v>1</v>
      </c>
      <c r="F597" s="8">
        <v>0.85</v>
      </c>
      <c r="G597" s="4">
        <v>0</v>
      </c>
      <c r="H597" s="8">
        <v>0</v>
      </c>
      <c r="I597" s="4">
        <v>0</v>
      </c>
    </row>
    <row r="598" spans="1:9" x14ac:dyDescent="0.2">
      <c r="A598" s="2">
        <v>16</v>
      </c>
      <c r="B598" s="1" t="s">
        <v>126</v>
      </c>
      <c r="C598" s="4">
        <v>1</v>
      </c>
      <c r="D598" s="8">
        <v>0.56000000000000005</v>
      </c>
      <c r="E598" s="4">
        <v>1</v>
      </c>
      <c r="F598" s="8">
        <v>0.85</v>
      </c>
      <c r="G598" s="4">
        <v>0</v>
      </c>
      <c r="H598" s="8">
        <v>0</v>
      </c>
      <c r="I598" s="4">
        <v>0</v>
      </c>
    </row>
    <row r="599" spans="1:9" x14ac:dyDescent="0.2">
      <c r="A599" s="2">
        <v>16</v>
      </c>
      <c r="B599" s="1" t="s">
        <v>134</v>
      </c>
      <c r="C599" s="4">
        <v>1</v>
      </c>
      <c r="D599" s="8">
        <v>0.56000000000000005</v>
      </c>
      <c r="E599" s="4">
        <v>0</v>
      </c>
      <c r="F599" s="8">
        <v>0</v>
      </c>
      <c r="G599" s="4">
        <v>1</v>
      </c>
      <c r="H599" s="8">
        <v>1.79</v>
      </c>
      <c r="I599" s="4">
        <v>0</v>
      </c>
    </row>
    <row r="600" spans="1:9" x14ac:dyDescent="0.2">
      <c r="A600" s="2">
        <v>16</v>
      </c>
      <c r="B600" s="1" t="s">
        <v>136</v>
      </c>
      <c r="C600" s="4">
        <v>1</v>
      </c>
      <c r="D600" s="8">
        <v>0.56000000000000005</v>
      </c>
      <c r="E600" s="4">
        <v>0</v>
      </c>
      <c r="F600" s="8">
        <v>0</v>
      </c>
      <c r="G600" s="4">
        <v>1</v>
      </c>
      <c r="H600" s="8">
        <v>1.79</v>
      </c>
      <c r="I600" s="4">
        <v>0</v>
      </c>
    </row>
    <row r="601" spans="1:9" x14ac:dyDescent="0.2">
      <c r="A601" s="2">
        <v>16</v>
      </c>
      <c r="B601" s="1" t="s">
        <v>141</v>
      </c>
      <c r="C601" s="4">
        <v>1</v>
      </c>
      <c r="D601" s="8">
        <v>0.56000000000000005</v>
      </c>
      <c r="E601" s="4">
        <v>0</v>
      </c>
      <c r="F601" s="8">
        <v>0</v>
      </c>
      <c r="G601" s="4">
        <v>0</v>
      </c>
      <c r="H601" s="8">
        <v>0</v>
      </c>
      <c r="I601" s="4">
        <v>1</v>
      </c>
    </row>
    <row r="602" spans="1:9" x14ac:dyDescent="0.2">
      <c r="A602" s="2">
        <v>16</v>
      </c>
      <c r="B602" s="1" t="s">
        <v>90</v>
      </c>
      <c r="C602" s="4">
        <v>1</v>
      </c>
      <c r="D602" s="8">
        <v>0.56000000000000005</v>
      </c>
      <c r="E602" s="4">
        <v>0</v>
      </c>
      <c r="F602" s="8">
        <v>0</v>
      </c>
      <c r="G602" s="4">
        <v>1</v>
      </c>
      <c r="H602" s="8">
        <v>1.79</v>
      </c>
      <c r="I602" s="4">
        <v>0</v>
      </c>
    </row>
    <row r="603" spans="1:9" x14ac:dyDescent="0.2">
      <c r="A603" s="2">
        <v>16</v>
      </c>
      <c r="B603" s="1" t="s">
        <v>139</v>
      </c>
      <c r="C603" s="4">
        <v>1</v>
      </c>
      <c r="D603" s="8">
        <v>0.56000000000000005</v>
      </c>
      <c r="E603" s="4">
        <v>1</v>
      </c>
      <c r="F603" s="8">
        <v>0.85</v>
      </c>
      <c r="G603" s="4">
        <v>0</v>
      </c>
      <c r="H603" s="8">
        <v>0</v>
      </c>
      <c r="I603" s="4">
        <v>0</v>
      </c>
    </row>
    <row r="604" spans="1:9" x14ac:dyDescent="0.2">
      <c r="A604" s="2">
        <v>16</v>
      </c>
      <c r="B604" s="1" t="s">
        <v>93</v>
      </c>
      <c r="C604" s="4">
        <v>1</v>
      </c>
      <c r="D604" s="8">
        <v>0.56000000000000005</v>
      </c>
      <c r="E604" s="4">
        <v>1</v>
      </c>
      <c r="F604" s="8">
        <v>0.85</v>
      </c>
      <c r="G604" s="4">
        <v>0</v>
      </c>
      <c r="H604" s="8">
        <v>0</v>
      </c>
      <c r="I604" s="4">
        <v>0</v>
      </c>
    </row>
    <row r="605" spans="1:9" x14ac:dyDescent="0.2">
      <c r="A605" s="2">
        <v>16</v>
      </c>
      <c r="B605" s="1" t="s">
        <v>98</v>
      </c>
      <c r="C605" s="4">
        <v>1</v>
      </c>
      <c r="D605" s="8">
        <v>0.56000000000000005</v>
      </c>
      <c r="E605" s="4">
        <v>0</v>
      </c>
      <c r="F605" s="8">
        <v>0</v>
      </c>
      <c r="G605" s="4">
        <v>1</v>
      </c>
      <c r="H605" s="8">
        <v>1.79</v>
      </c>
      <c r="I605" s="4">
        <v>0</v>
      </c>
    </row>
    <row r="606" spans="1:9" x14ac:dyDescent="0.2">
      <c r="A606" s="2">
        <v>16</v>
      </c>
      <c r="B606" s="1" t="s">
        <v>100</v>
      </c>
      <c r="C606" s="4">
        <v>1</v>
      </c>
      <c r="D606" s="8">
        <v>0.56000000000000005</v>
      </c>
      <c r="E606" s="4">
        <v>1</v>
      </c>
      <c r="F606" s="8">
        <v>0.85</v>
      </c>
      <c r="G606" s="4">
        <v>0</v>
      </c>
      <c r="H606" s="8">
        <v>0</v>
      </c>
      <c r="I606" s="4">
        <v>0</v>
      </c>
    </row>
    <row r="607" spans="1:9" x14ac:dyDescent="0.2">
      <c r="A607" s="2">
        <v>16</v>
      </c>
      <c r="B607" s="1" t="s">
        <v>101</v>
      </c>
      <c r="C607" s="4">
        <v>1</v>
      </c>
      <c r="D607" s="8">
        <v>0.56000000000000005</v>
      </c>
      <c r="E607" s="4">
        <v>0</v>
      </c>
      <c r="F607" s="8">
        <v>0</v>
      </c>
      <c r="G607" s="4">
        <v>1</v>
      </c>
      <c r="H607" s="8">
        <v>1.79</v>
      </c>
      <c r="I607" s="4">
        <v>0</v>
      </c>
    </row>
    <row r="608" spans="1:9" x14ac:dyDescent="0.2">
      <c r="A608" s="2">
        <v>16</v>
      </c>
      <c r="B608" s="1" t="s">
        <v>120</v>
      </c>
      <c r="C608" s="4">
        <v>1</v>
      </c>
      <c r="D608" s="8">
        <v>0.56000000000000005</v>
      </c>
      <c r="E608" s="4">
        <v>0</v>
      </c>
      <c r="F608" s="8">
        <v>0</v>
      </c>
      <c r="G608" s="4">
        <v>1</v>
      </c>
      <c r="H608" s="8">
        <v>1.79</v>
      </c>
      <c r="I608" s="4">
        <v>0</v>
      </c>
    </row>
    <row r="609" spans="1:9" x14ac:dyDescent="0.2">
      <c r="A609" s="2">
        <v>16</v>
      </c>
      <c r="B609" s="1" t="s">
        <v>102</v>
      </c>
      <c r="C609" s="4">
        <v>1</v>
      </c>
      <c r="D609" s="8">
        <v>0.56000000000000005</v>
      </c>
      <c r="E609" s="4">
        <v>0</v>
      </c>
      <c r="F609" s="8">
        <v>0</v>
      </c>
      <c r="G609" s="4">
        <v>1</v>
      </c>
      <c r="H609" s="8">
        <v>1.79</v>
      </c>
      <c r="I609" s="4">
        <v>0</v>
      </c>
    </row>
    <row r="610" spans="1:9" x14ac:dyDescent="0.2">
      <c r="A610" s="2">
        <v>16</v>
      </c>
      <c r="B610" s="1" t="s">
        <v>140</v>
      </c>
      <c r="C610" s="4">
        <v>1</v>
      </c>
      <c r="D610" s="8">
        <v>0.56000000000000005</v>
      </c>
      <c r="E610" s="4">
        <v>0</v>
      </c>
      <c r="F610" s="8">
        <v>0</v>
      </c>
      <c r="G610" s="4">
        <v>0</v>
      </c>
      <c r="H610" s="8">
        <v>0</v>
      </c>
      <c r="I610" s="4">
        <v>0</v>
      </c>
    </row>
    <row r="611" spans="1:9" x14ac:dyDescent="0.2">
      <c r="A611" s="1"/>
      <c r="C611" s="4"/>
      <c r="D611" s="8"/>
      <c r="E611" s="4"/>
      <c r="F611" s="8"/>
      <c r="G611" s="4"/>
      <c r="H611" s="8"/>
      <c r="I611" s="4"/>
    </row>
    <row r="612" spans="1:9" x14ac:dyDescent="0.2">
      <c r="A612" s="1" t="s">
        <v>25</v>
      </c>
      <c r="C612" s="4"/>
      <c r="D612" s="8"/>
      <c r="E612" s="4"/>
      <c r="F612" s="8"/>
      <c r="G612" s="4"/>
      <c r="H612" s="8"/>
      <c r="I612" s="4"/>
    </row>
    <row r="613" spans="1:9" x14ac:dyDescent="0.2">
      <c r="A613" s="2">
        <v>1</v>
      </c>
      <c r="B613" s="1" t="s">
        <v>96</v>
      </c>
      <c r="C613" s="4">
        <v>25</v>
      </c>
      <c r="D613" s="8">
        <v>12.08</v>
      </c>
      <c r="E613" s="4">
        <v>21</v>
      </c>
      <c r="F613" s="8">
        <v>15.11</v>
      </c>
      <c r="G613" s="4">
        <v>4</v>
      </c>
      <c r="H613" s="8">
        <v>6.45</v>
      </c>
      <c r="I613" s="4">
        <v>0</v>
      </c>
    </row>
    <row r="614" spans="1:9" x14ac:dyDescent="0.2">
      <c r="A614" s="2">
        <v>2</v>
      </c>
      <c r="B614" s="1" t="s">
        <v>97</v>
      </c>
      <c r="C614" s="4">
        <v>23</v>
      </c>
      <c r="D614" s="8">
        <v>11.11</v>
      </c>
      <c r="E614" s="4">
        <v>23</v>
      </c>
      <c r="F614" s="8">
        <v>16.55</v>
      </c>
      <c r="G614" s="4">
        <v>0</v>
      </c>
      <c r="H614" s="8">
        <v>0</v>
      </c>
      <c r="I614" s="4">
        <v>0</v>
      </c>
    </row>
    <row r="615" spans="1:9" x14ac:dyDescent="0.2">
      <c r="A615" s="2">
        <v>3</v>
      </c>
      <c r="B615" s="1" t="s">
        <v>84</v>
      </c>
      <c r="C615" s="4">
        <v>22</v>
      </c>
      <c r="D615" s="8">
        <v>10.63</v>
      </c>
      <c r="E615" s="4">
        <v>16</v>
      </c>
      <c r="F615" s="8">
        <v>11.51</v>
      </c>
      <c r="G615" s="4">
        <v>6</v>
      </c>
      <c r="H615" s="8">
        <v>9.68</v>
      </c>
      <c r="I615" s="4">
        <v>0</v>
      </c>
    </row>
    <row r="616" spans="1:9" x14ac:dyDescent="0.2">
      <c r="A616" s="2">
        <v>4</v>
      </c>
      <c r="B616" s="1" t="s">
        <v>83</v>
      </c>
      <c r="C616" s="4">
        <v>19</v>
      </c>
      <c r="D616" s="8">
        <v>9.18</v>
      </c>
      <c r="E616" s="4">
        <v>10</v>
      </c>
      <c r="F616" s="8">
        <v>7.19</v>
      </c>
      <c r="G616" s="4">
        <v>9</v>
      </c>
      <c r="H616" s="8">
        <v>14.52</v>
      </c>
      <c r="I616" s="4">
        <v>0</v>
      </c>
    </row>
    <row r="617" spans="1:9" x14ac:dyDescent="0.2">
      <c r="A617" s="2">
        <v>4</v>
      </c>
      <c r="B617" s="1" t="s">
        <v>91</v>
      </c>
      <c r="C617" s="4">
        <v>19</v>
      </c>
      <c r="D617" s="8">
        <v>9.18</v>
      </c>
      <c r="E617" s="4">
        <v>12</v>
      </c>
      <c r="F617" s="8">
        <v>8.6300000000000008</v>
      </c>
      <c r="G617" s="4">
        <v>7</v>
      </c>
      <c r="H617" s="8">
        <v>11.29</v>
      </c>
      <c r="I617" s="4">
        <v>0</v>
      </c>
    </row>
    <row r="618" spans="1:9" x14ac:dyDescent="0.2">
      <c r="A618" s="2">
        <v>6</v>
      </c>
      <c r="B618" s="1" t="s">
        <v>89</v>
      </c>
      <c r="C618" s="4">
        <v>18</v>
      </c>
      <c r="D618" s="8">
        <v>8.6999999999999993</v>
      </c>
      <c r="E618" s="4">
        <v>17</v>
      </c>
      <c r="F618" s="8">
        <v>12.23</v>
      </c>
      <c r="G618" s="4">
        <v>1</v>
      </c>
      <c r="H618" s="8">
        <v>1.61</v>
      </c>
      <c r="I618" s="4">
        <v>0</v>
      </c>
    </row>
    <row r="619" spans="1:9" x14ac:dyDescent="0.2">
      <c r="A619" s="2">
        <v>7</v>
      </c>
      <c r="B619" s="1" t="s">
        <v>90</v>
      </c>
      <c r="C619" s="4">
        <v>9</v>
      </c>
      <c r="D619" s="8">
        <v>4.3499999999999996</v>
      </c>
      <c r="E619" s="4">
        <v>6</v>
      </c>
      <c r="F619" s="8">
        <v>4.32</v>
      </c>
      <c r="G619" s="4">
        <v>3</v>
      </c>
      <c r="H619" s="8">
        <v>4.84</v>
      </c>
      <c r="I619" s="4">
        <v>0</v>
      </c>
    </row>
    <row r="620" spans="1:9" x14ac:dyDescent="0.2">
      <c r="A620" s="2">
        <v>8</v>
      </c>
      <c r="B620" s="1" t="s">
        <v>85</v>
      </c>
      <c r="C620" s="4">
        <v>8</v>
      </c>
      <c r="D620" s="8">
        <v>3.86</v>
      </c>
      <c r="E620" s="4">
        <v>2</v>
      </c>
      <c r="F620" s="8">
        <v>1.44</v>
      </c>
      <c r="G620" s="4">
        <v>6</v>
      </c>
      <c r="H620" s="8">
        <v>9.68</v>
      </c>
      <c r="I620" s="4">
        <v>0</v>
      </c>
    </row>
    <row r="621" spans="1:9" x14ac:dyDescent="0.2">
      <c r="A621" s="2">
        <v>9</v>
      </c>
      <c r="B621" s="1" t="s">
        <v>95</v>
      </c>
      <c r="C621" s="4">
        <v>7</v>
      </c>
      <c r="D621" s="8">
        <v>3.38</v>
      </c>
      <c r="E621" s="4">
        <v>5</v>
      </c>
      <c r="F621" s="8">
        <v>3.6</v>
      </c>
      <c r="G621" s="4">
        <v>2</v>
      </c>
      <c r="H621" s="8">
        <v>3.23</v>
      </c>
      <c r="I621" s="4">
        <v>0</v>
      </c>
    </row>
    <row r="622" spans="1:9" x14ac:dyDescent="0.2">
      <c r="A622" s="2">
        <v>10</v>
      </c>
      <c r="B622" s="1" t="s">
        <v>99</v>
      </c>
      <c r="C622" s="4">
        <v>6</v>
      </c>
      <c r="D622" s="8">
        <v>2.9</v>
      </c>
      <c r="E622" s="4">
        <v>3</v>
      </c>
      <c r="F622" s="8">
        <v>2.16</v>
      </c>
      <c r="G622" s="4">
        <v>1</v>
      </c>
      <c r="H622" s="8">
        <v>1.61</v>
      </c>
      <c r="I622" s="4">
        <v>0</v>
      </c>
    </row>
    <row r="623" spans="1:9" x14ac:dyDescent="0.2">
      <c r="A623" s="2">
        <v>11</v>
      </c>
      <c r="B623" s="1" t="s">
        <v>100</v>
      </c>
      <c r="C623" s="4">
        <v>5</v>
      </c>
      <c r="D623" s="8">
        <v>2.42</v>
      </c>
      <c r="E623" s="4">
        <v>4</v>
      </c>
      <c r="F623" s="8">
        <v>2.88</v>
      </c>
      <c r="G623" s="4">
        <v>0</v>
      </c>
      <c r="H623" s="8">
        <v>0</v>
      </c>
      <c r="I623" s="4">
        <v>0</v>
      </c>
    </row>
    <row r="624" spans="1:9" x14ac:dyDescent="0.2">
      <c r="A624" s="2">
        <v>11</v>
      </c>
      <c r="B624" s="1" t="s">
        <v>101</v>
      </c>
      <c r="C624" s="4">
        <v>5</v>
      </c>
      <c r="D624" s="8">
        <v>2.42</v>
      </c>
      <c r="E624" s="4">
        <v>0</v>
      </c>
      <c r="F624" s="8">
        <v>0</v>
      </c>
      <c r="G624" s="4">
        <v>3</v>
      </c>
      <c r="H624" s="8">
        <v>4.84</v>
      </c>
      <c r="I624" s="4">
        <v>0</v>
      </c>
    </row>
    <row r="625" spans="1:9" x14ac:dyDescent="0.2">
      <c r="A625" s="2">
        <v>13</v>
      </c>
      <c r="B625" s="1" t="s">
        <v>124</v>
      </c>
      <c r="C625" s="4">
        <v>4</v>
      </c>
      <c r="D625" s="8">
        <v>1.93</v>
      </c>
      <c r="E625" s="4">
        <v>3</v>
      </c>
      <c r="F625" s="8">
        <v>2.16</v>
      </c>
      <c r="G625" s="4">
        <v>1</v>
      </c>
      <c r="H625" s="8">
        <v>1.61</v>
      </c>
      <c r="I625" s="4">
        <v>0</v>
      </c>
    </row>
    <row r="626" spans="1:9" x14ac:dyDescent="0.2">
      <c r="A626" s="2">
        <v>13</v>
      </c>
      <c r="B626" s="1" t="s">
        <v>88</v>
      </c>
      <c r="C626" s="4">
        <v>4</v>
      </c>
      <c r="D626" s="8">
        <v>1.93</v>
      </c>
      <c r="E626" s="4">
        <v>3</v>
      </c>
      <c r="F626" s="8">
        <v>2.16</v>
      </c>
      <c r="G626" s="4">
        <v>1</v>
      </c>
      <c r="H626" s="8">
        <v>1.61</v>
      </c>
      <c r="I626" s="4">
        <v>0</v>
      </c>
    </row>
    <row r="627" spans="1:9" x14ac:dyDescent="0.2">
      <c r="A627" s="2">
        <v>13</v>
      </c>
      <c r="B627" s="1" t="s">
        <v>93</v>
      </c>
      <c r="C627" s="4">
        <v>4</v>
      </c>
      <c r="D627" s="8">
        <v>1.93</v>
      </c>
      <c r="E627" s="4">
        <v>2</v>
      </c>
      <c r="F627" s="8">
        <v>1.44</v>
      </c>
      <c r="G627" s="4">
        <v>2</v>
      </c>
      <c r="H627" s="8">
        <v>3.23</v>
      </c>
      <c r="I627" s="4">
        <v>0</v>
      </c>
    </row>
    <row r="628" spans="1:9" x14ac:dyDescent="0.2">
      <c r="A628" s="2">
        <v>16</v>
      </c>
      <c r="B628" s="1" t="s">
        <v>102</v>
      </c>
      <c r="C628" s="4">
        <v>3</v>
      </c>
      <c r="D628" s="8">
        <v>1.45</v>
      </c>
      <c r="E628" s="4">
        <v>3</v>
      </c>
      <c r="F628" s="8">
        <v>2.16</v>
      </c>
      <c r="G628" s="4">
        <v>0</v>
      </c>
      <c r="H628" s="8">
        <v>0</v>
      </c>
      <c r="I628" s="4">
        <v>0</v>
      </c>
    </row>
    <row r="629" spans="1:9" x14ac:dyDescent="0.2">
      <c r="A629" s="2">
        <v>17</v>
      </c>
      <c r="B629" s="1" t="s">
        <v>116</v>
      </c>
      <c r="C629" s="4">
        <v>2</v>
      </c>
      <c r="D629" s="8">
        <v>0.97</v>
      </c>
      <c r="E629" s="4">
        <v>2</v>
      </c>
      <c r="F629" s="8">
        <v>1.44</v>
      </c>
      <c r="G629" s="4">
        <v>0</v>
      </c>
      <c r="H629" s="8">
        <v>0</v>
      </c>
      <c r="I629" s="4">
        <v>0</v>
      </c>
    </row>
    <row r="630" spans="1:9" x14ac:dyDescent="0.2">
      <c r="A630" s="2">
        <v>17</v>
      </c>
      <c r="B630" s="1" t="s">
        <v>144</v>
      </c>
      <c r="C630" s="4">
        <v>2</v>
      </c>
      <c r="D630" s="8">
        <v>0.97</v>
      </c>
      <c r="E630" s="4">
        <v>1</v>
      </c>
      <c r="F630" s="8">
        <v>0.72</v>
      </c>
      <c r="G630" s="4">
        <v>1</v>
      </c>
      <c r="H630" s="8">
        <v>1.61</v>
      </c>
      <c r="I630" s="4">
        <v>0</v>
      </c>
    </row>
    <row r="631" spans="1:9" x14ac:dyDescent="0.2">
      <c r="A631" s="2">
        <v>17</v>
      </c>
      <c r="B631" s="1" t="s">
        <v>105</v>
      </c>
      <c r="C631" s="4">
        <v>2</v>
      </c>
      <c r="D631" s="8">
        <v>0.97</v>
      </c>
      <c r="E631" s="4">
        <v>1</v>
      </c>
      <c r="F631" s="8">
        <v>0.72</v>
      </c>
      <c r="G631" s="4">
        <v>1</v>
      </c>
      <c r="H631" s="8">
        <v>1.61</v>
      </c>
      <c r="I631" s="4">
        <v>0</v>
      </c>
    </row>
    <row r="632" spans="1:9" x14ac:dyDescent="0.2">
      <c r="A632" s="2">
        <v>17</v>
      </c>
      <c r="B632" s="1" t="s">
        <v>106</v>
      </c>
      <c r="C632" s="4">
        <v>2</v>
      </c>
      <c r="D632" s="8">
        <v>0.97</v>
      </c>
      <c r="E632" s="4">
        <v>2</v>
      </c>
      <c r="F632" s="8">
        <v>1.44</v>
      </c>
      <c r="G632" s="4">
        <v>0</v>
      </c>
      <c r="H632" s="8">
        <v>0</v>
      </c>
      <c r="I632" s="4">
        <v>0</v>
      </c>
    </row>
    <row r="633" spans="1:9" x14ac:dyDescent="0.2">
      <c r="A633" s="2">
        <v>17</v>
      </c>
      <c r="B633" s="1" t="s">
        <v>107</v>
      </c>
      <c r="C633" s="4">
        <v>2</v>
      </c>
      <c r="D633" s="8">
        <v>0.97</v>
      </c>
      <c r="E633" s="4">
        <v>0</v>
      </c>
      <c r="F633" s="8">
        <v>0</v>
      </c>
      <c r="G633" s="4">
        <v>2</v>
      </c>
      <c r="H633" s="8">
        <v>3.23</v>
      </c>
      <c r="I633" s="4">
        <v>0</v>
      </c>
    </row>
    <row r="634" spans="1:9" x14ac:dyDescent="0.2">
      <c r="A634" s="1"/>
      <c r="C634" s="4"/>
      <c r="D634" s="8"/>
      <c r="E634" s="4"/>
      <c r="F634" s="8"/>
      <c r="G634" s="4"/>
      <c r="H634" s="8"/>
      <c r="I634" s="4"/>
    </row>
    <row r="635" spans="1:9" x14ac:dyDescent="0.2">
      <c r="A635" s="1" t="s">
        <v>26</v>
      </c>
      <c r="C635" s="4"/>
      <c r="D635" s="8"/>
      <c r="E635" s="4"/>
      <c r="F635" s="8"/>
      <c r="G635" s="4"/>
      <c r="H635" s="8"/>
      <c r="I635" s="4"/>
    </row>
    <row r="636" spans="1:9" x14ac:dyDescent="0.2">
      <c r="A636" s="2">
        <v>1</v>
      </c>
      <c r="B636" s="1" t="s">
        <v>95</v>
      </c>
      <c r="C636" s="4">
        <v>11</v>
      </c>
      <c r="D636" s="8">
        <v>15.94</v>
      </c>
      <c r="E636" s="4">
        <v>8</v>
      </c>
      <c r="F636" s="8">
        <v>21.62</v>
      </c>
      <c r="G636" s="4">
        <v>3</v>
      </c>
      <c r="H636" s="8">
        <v>10</v>
      </c>
      <c r="I636" s="4">
        <v>0</v>
      </c>
    </row>
    <row r="637" spans="1:9" x14ac:dyDescent="0.2">
      <c r="A637" s="2">
        <v>2</v>
      </c>
      <c r="B637" s="1" t="s">
        <v>97</v>
      </c>
      <c r="C637" s="4">
        <v>7</v>
      </c>
      <c r="D637" s="8">
        <v>10.14</v>
      </c>
      <c r="E637" s="4">
        <v>7</v>
      </c>
      <c r="F637" s="8">
        <v>18.920000000000002</v>
      </c>
      <c r="G637" s="4">
        <v>0</v>
      </c>
      <c r="H637" s="8">
        <v>0</v>
      </c>
      <c r="I637" s="4">
        <v>0</v>
      </c>
    </row>
    <row r="638" spans="1:9" x14ac:dyDescent="0.2">
      <c r="A638" s="2">
        <v>3</v>
      </c>
      <c r="B638" s="1" t="s">
        <v>96</v>
      </c>
      <c r="C638" s="4">
        <v>6</v>
      </c>
      <c r="D638" s="8">
        <v>8.6999999999999993</v>
      </c>
      <c r="E638" s="4">
        <v>5</v>
      </c>
      <c r="F638" s="8">
        <v>13.51</v>
      </c>
      <c r="G638" s="4">
        <v>1</v>
      </c>
      <c r="H638" s="8">
        <v>3.33</v>
      </c>
      <c r="I638" s="4">
        <v>0</v>
      </c>
    </row>
    <row r="639" spans="1:9" x14ac:dyDescent="0.2">
      <c r="A639" s="2">
        <v>4</v>
      </c>
      <c r="B639" s="1" t="s">
        <v>85</v>
      </c>
      <c r="C639" s="4">
        <v>5</v>
      </c>
      <c r="D639" s="8">
        <v>7.25</v>
      </c>
      <c r="E639" s="4">
        <v>4</v>
      </c>
      <c r="F639" s="8">
        <v>10.81</v>
      </c>
      <c r="G639" s="4">
        <v>1</v>
      </c>
      <c r="H639" s="8">
        <v>3.33</v>
      </c>
      <c r="I639" s="4">
        <v>0</v>
      </c>
    </row>
    <row r="640" spans="1:9" x14ac:dyDescent="0.2">
      <c r="A640" s="2">
        <v>5</v>
      </c>
      <c r="B640" s="1" t="s">
        <v>91</v>
      </c>
      <c r="C640" s="4">
        <v>3</v>
      </c>
      <c r="D640" s="8">
        <v>4.3499999999999996</v>
      </c>
      <c r="E640" s="4">
        <v>1</v>
      </c>
      <c r="F640" s="8">
        <v>2.7</v>
      </c>
      <c r="G640" s="4">
        <v>2</v>
      </c>
      <c r="H640" s="8">
        <v>6.67</v>
      </c>
      <c r="I640" s="4">
        <v>0</v>
      </c>
    </row>
    <row r="641" spans="1:9" x14ac:dyDescent="0.2">
      <c r="A641" s="2">
        <v>5</v>
      </c>
      <c r="B641" s="1" t="s">
        <v>120</v>
      </c>
      <c r="C641" s="4">
        <v>3</v>
      </c>
      <c r="D641" s="8">
        <v>4.3499999999999996</v>
      </c>
      <c r="E641" s="4">
        <v>1</v>
      </c>
      <c r="F641" s="8">
        <v>2.7</v>
      </c>
      <c r="G641" s="4">
        <v>1</v>
      </c>
      <c r="H641" s="8">
        <v>3.33</v>
      </c>
      <c r="I641" s="4">
        <v>0</v>
      </c>
    </row>
    <row r="642" spans="1:9" x14ac:dyDescent="0.2">
      <c r="A642" s="2">
        <v>5</v>
      </c>
      <c r="B642" s="1" t="s">
        <v>146</v>
      </c>
      <c r="C642" s="4">
        <v>3</v>
      </c>
      <c r="D642" s="8">
        <v>4.3499999999999996</v>
      </c>
      <c r="E642" s="4">
        <v>0</v>
      </c>
      <c r="F642" s="8">
        <v>0</v>
      </c>
      <c r="G642" s="4">
        <v>3</v>
      </c>
      <c r="H642" s="8">
        <v>10</v>
      </c>
      <c r="I642" s="4">
        <v>0</v>
      </c>
    </row>
    <row r="643" spans="1:9" x14ac:dyDescent="0.2">
      <c r="A643" s="2">
        <v>8</v>
      </c>
      <c r="B643" s="1" t="s">
        <v>83</v>
      </c>
      <c r="C643" s="4">
        <v>2</v>
      </c>
      <c r="D643" s="8">
        <v>2.9</v>
      </c>
      <c r="E643" s="4">
        <v>1</v>
      </c>
      <c r="F643" s="8">
        <v>2.7</v>
      </c>
      <c r="G643" s="4">
        <v>1</v>
      </c>
      <c r="H643" s="8">
        <v>3.33</v>
      </c>
      <c r="I643" s="4">
        <v>0</v>
      </c>
    </row>
    <row r="644" spans="1:9" x14ac:dyDescent="0.2">
      <c r="A644" s="2">
        <v>8</v>
      </c>
      <c r="B644" s="1" t="s">
        <v>84</v>
      </c>
      <c r="C644" s="4">
        <v>2</v>
      </c>
      <c r="D644" s="8">
        <v>2.9</v>
      </c>
      <c r="E644" s="4">
        <v>1</v>
      </c>
      <c r="F644" s="8">
        <v>2.7</v>
      </c>
      <c r="G644" s="4">
        <v>1</v>
      </c>
      <c r="H644" s="8">
        <v>3.33</v>
      </c>
      <c r="I644" s="4">
        <v>0</v>
      </c>
    </row>
    <row r="645" spans="1:9" x14ac:dyDescent="0.2">
      <c r="A645" s="2">
        <v>8</v>
      </c>
      <c r="B645" s="1" t="s">
        <v>110</v>
      </c>
      <c r="C645" s="4">
        <v>2</v>
      </c>
      <c r="D645" s="8">
        <v>2.9</v>
      </c>
      <c r="E645" s="4">
        <v>1</v>
      </c>
      <c r="F645" s="8">
        <v>2.7</v>
      </c>
      <c r="G645" s="4">
        <v>1</v>
      </c>
      <c r="H645" s="8">
        <v>3.33</v>
      </c>
      <c r="I645" s="4">
        <v>0</v>
      </c>
    </row>
    <row r="646" spans="1:9" x14ac:dyDescent="0.2">
      <c r="A646" s="2">
        <v>8</v>
      </c>
      <c r="B646" s="1" t="s">
        <v>132</v>
      </c>
      <c r="C646" s="4">
        <v>2</v>
      </c>
      <c r="D646" s="8">
        <v>2.9</v>
      </c>
      <c r="E646" s="4">
        <v>0</v>
      </c>
      <c r="F646" s="8">
        <v>0</v>
      </c>
      <c r="G646" s="4">
        <v>2</v>
      </c>
      <c r="H646" s="8">
        <v>6.67</v>
      </c>
      <c r="I646" s="4">
        <v>0</v>
      </c>
    </row>
    <row r="647" spans="1:9" x14ac:dyDescent="0.2">
      <c r="A647" s="2">
        <v>8</v>
      </c>
      <c r="B647" s="1" t="s">
        <v>116</v>
      </c>
      <c r="C647" s="4">
        <v>2</v>
      </c>
      <c r="D647" s="8">
        <v>2.9</v>
      </c>
      <c r="E647" s="4">
        <v>0</v>
      </c>
      <c r="F647" s="8">
        <v>0</v>
      </c>
      <c r="G647" s="4">
        <v>2</v>
      </c>
      <c r="H647" s="8">
        <v>6.67</v>
      </c>
      <c r="I647" s="4">
        <v>0</v>
      </c>
    </row>
    <row r="648" spans="1:9" x14ac:dyDescent="0.2">
      <c r="A648" s="2">
        <v>8</v>
      </c>
      <c r="B648" s="1" t="s">
        <v>126</v>
      </c>
      <c r="C648" s="4">
        <v>2</v>
      </c>
      <c r="D648" s="8">
        <v>2.9</v>
      </c>
      <c r="E648" s="4">
        <v>0</v>
      </c>
      <c r="F648" s="8">
        <v>0</v>
      </c>
      <c r="G648" s="4">
        <v>2</v>
      </c>
      <c r="H648" s="8">
        <v>6.67</v>
      </c>
      <c r="I648" s="4">
        <v>0</v>
      </c>
    </row>
    <row r="649" spans="1:9" x14ac:dyDescent="0.2">
      <c r="A649" s="2">
        <v>8</v>
      </c>
      <c r="B649" s="1" t="s">
        <v>89</v>
      </c>
      <c r="C649" s="4">
        <v>2</v>
      </c>
      <c r="D649" s="8">
        <v>2.9</v>
      </c>
      <c r="E649" s="4">
        <v>2</v>
      </c>
      <c r="F649" s="8">
        <v>5.41</v>
      </c>
      <c r="G649" s="4">
        <v>0</v>
      </c>
      <c r="H649" s="8">
        <v>0</v>
      </c>
      <c r="I649" s="4">
        <v>0</v>
      </c>
    </row>
    <row r="650" spans="1:9" x14ac:dyDescent="0.2">
      <c r="A650" s="2">
        <v>8</v>
      </c>
      <c r="B650" s="1" t="s">
        <v>90</v>
      </c>
      <c r="C650" s="4">
        <v>2</v>
      </c>
      <c r="D650" s="8">
        <v>2.9</v>
      </c>
      <c r="E650" s="4">
        <v>1</v>
      </c>
      <c r="F650" s="8">
        <v>2.7</v>
      </c>
      <c r="G650" s="4">
        <v>1</v>
      </c>
      <c r="H650" s="8">
        <v>3.33</v>
      </c>
      <c r="I650" s="4">
        <v>0</v>
      </c>
    </row>
    <row r="651" spans="1:9" x14ac:dyDescent="0.2">
      <c r="A651" s="2">
        <v>16</v>
      </c>
      <c r="B651" s="1" t="s">
        <v>124</v>
      </c>
      <c r="C651" s="4">
        <v>1</v>
      </c>
      <c r="D651" s="8">
        <v>1.45</v>
      </c>
      <c r="E651" s="4">
        <v>0</v>
      </c>
      <c r="F651" s="8">
        <v>0</v>
      </c>
      <c r="G651" s="4">
        <v>1</v>
      </c>
      <c r="H651" s="8">
        <v>3.33</v>
      </c>
      <c r="I651" s="4">
        <v>0</v>
      </c>
    </row>
    <row r="652" spans="1:9" x14ac:dyDescent="0.2">
      <c r="A652" s="2">
        <v>16</v>
      </c>
      <c r="B652" s="1" t="s">
        <v>143</v>
      </c>
      <c r="C652" s="4">
        <v>1</v>
      </c>
      <c r="D652" s="8">
        <v>1.45</v>
      </c>
      <c r="E652" s="4">
        <v>0</v>
      </c>
      <c r="F652" s="8">
        <v>0</v>
      </c>
      <c r="G652" s="4">
        <v>1</v>
      </c>
      <c r="H652" s="8">
        <v>3.33</v>
      </c>
      <c r="I652" s="4">
        <v>0</v>
      </c>
    </row>
    <row r="653" spans="1:9" x14ac:dyDescent="0.2">
      <c r="A653" s="2">
        <v>16</v>
      </c>
      <c r="B653" s="1" t="s">
        <v>114</v>
      </c>
      <c r="C653" s="4">
        <v>1</v>
      </c>
      <c r="D653" s="8">
        <v>1.45</v>
      </c>
      <c r="E653" s="4">
        <v>0</v>
      </c>
      <c r="F653" s="8">
        <v>0</v>
      </c>
      <c r="G653" s="4">
        <v>1</v>
      </c>
      <c r="H653" s="8">
        <v>3.33</v>
      </c>
      <c r="I653" s="4">
        <v>0</v>
      </c>
    </row>
    <row r="654" spans="1:9" x14ac:dyDescent="0.2">
      <c r="A654" s="2">
        <v>16</v>
      </c>
      <c r="B654" s="1" t="s">
        <v>142</v>
      </c>
      <c r="C654" s="4">
        <v>1</v>
      </c>
      <c r="D654" s="8">
        <v>1.45</v>
      </c>
      <c r="E654" s="4">
        <v>0</v>
      </c>
      <c r="F654" s="8">
        <v>0</v>
      </c>
      <c r="G654" s="4">
        <v>1</v>
      </c>
      <c r="H654" s="8">
        <v>3.33</v>
      </c>
      <c r="I654" s="4">
        <v>0</v>
      </c>
    </row>
    <row r="655" spans="1:9" x14ac:dyDescent="0.2">
      <c r="A655" s="2">
        <v>16</v>
      </c>
      <c r="B655" s="1" t="s">
        <v>145</v>
      </c>
      <c r="C655" s="4">
        <v>1</v>
      </c>
      <c r="D655" s="8">
        <v>1.45</v>
      </c>
      <c r="E655" s="4">
        <v>1</v>
      </c>
      <c r="F655" s="8">
        <v>2.7</v>
      </c>
      <c r="G655" s="4">
        <v>0</v>
      </c>
      <c r="H655" s="8">
        <v>0</v>
      </c>
      <c r="I655" s="4">
        <v>0</v>
      </c>
    </row>
    <row r="656" spans="1:9" x14ac:dyDescent="0.2">
      <c r="A656" s="2">
        <v>16</v>
      </c>
      <c r="B656" s="1" t="s">
        <v>127</v>
      </c>
      <c r="C656" s="4">
        <v>1</v>
      </c>
      <c r="D656" s="8">
        <v>1.45</v>
      </c>
      <c r="E656" s="4">
        <v>0</v>
      </c>
      <c r="F656" s="8">
        <v>0</v>
      </c>
      <c r="G656" s="4">
        <v>0</v>
      </c>
      <c r="H656" s="8">
        <v>0</v>
      </c>
      <c r="I656" s="4">
        <v>0</v>
      </c>
    </row>
    <row r="657" spans="1:9" x14ac:dyDescent="0.2">
      <c r="A657" s="2">
        <v>16</v>
      </c>
      <c r="B657" s="1" t="s">
        <v>136</v>
      </c>
      <c r="C657" s="4">
        <v>1</v>
      </c>
      <c r="D657" s="8">
        <v>1.45</v>
      </c>
      <c r="E657" s="4">
        <v>0</v>
      </c>
      <c r="F657" s="8">
        <v>0</v>
      </c>
      <c r="G657" s="4">
        <v>1</v>
      </c>
      <c r="H657" s="8">
        <v>3.33</v>
      </c>
      <c r="I657" s="4">
        <v>0</v>
      </c>
    </row>
    <row r="658" spans="1:9" x14ac:dyDescent="0.2">
      <c r="A658" s="2">
        <v>16</v>
      </c>
      <c r="B658" s="1" t="s">
        <v>88</v>
      </c>
      <c r="C658" s="4">
        <v>1</v>
      </c>
      <c r="D658" s="8">
        <v>1.45</v>
      </c>
      <c r="E658" s="4">
        <v>1</v>
      </c>
      <c r="F658" s="8">
        <v>2.7</v>
      </c>
      <c r="G658" s="4">
        <v>0</v>
      </c>
      <c r="H658" s="8">
        <v>0</v>
      </c>
      <c r="I658" s="4">
        <v>0</v>
      </c>
    </row>
    <row r="659" spans="1:9" x14ac:dyDescent="0.2">
      <c r="A659" s="2">
        <v>16</v>
      </c>
      <c r="B659" s="1" t="s">
        <v>103</v>
      </c>
      <c r="C659" s="4">
        <v>1</v>
      </c>
      <c r="D659" s="8">
        <v>1.45</v>
      </c>
      <c r="E659" s="4">
        <v>0</v>
      </c>
      <c r="F659" s="8">
        <v>0</v>
      </c>
      <c r="G659" s="4">
        <v>1</v>
      </c>
      <c r="H659" s="8">
        <v>3.33</v>
      </c>
      <c r="I659" s="4">
        <v>0</v>
      </c>
    </row>
    <row r="660" spans="1:9" x14ac:dyDescent="0.2">
      <c r="A660" s="2">
        <v>16</v>
      </c>
      <c r="B660" s="1" t="s">
        <v>93</v>
      </c>
      <c r="C660" s="4">
        <v>1</v>
      </c>
      <c r="D660" s="8">
        <v>1.45</v>
      </c>
      <c r="E660" s="4">
        <v>1</v>
      </c>
      <c r="F660" s="8">
        <v>2.7</v>
      </c>
      <c r="G660" s="4">
        <v>0</v>
      </c>
      <c r="H660" s="8">
        <v>0</v>
      </c>
      <c r="I660" s="4">
        <v>0</v>
      </c>
    </row>
    <row r="661" spans="1:9" x14ac:dyDescent="0.2">
      <c r="A661" s="2">
        <v>16</v>
      </c>
      <c r="B661" s="1" t="s">
        <v>94</v>
      </c>
      <c r="C661" s="4">
        <v>1</v>
      </c>
      <c r="D661" s="8">
        <v>1.45</v>
      </c>
      <c r="E661" s="4">
        <v>0</v>
      </c>
      <c r="F661" s="8">
        <v>0</v>
      </c>
      <c r="G661" s="4">
        <v>1</v>
      </c>
      <c r="H661" s="8">
        <v>3.33</v>
      </c>
      <c r="I661" s="4">
        <v>0</v>
      </c>
    </row>
    <row r="662" spans="1:9" x14ac:dyDescent="0.2">
      <c r="A662" s="2">
        <v>16</v>
      </c>
      <c r="B662" s="1" t="s">
        <v>129</v>
      </c>
      <c r="C662" s="4">
        <v>1</v>
      </c>
      <c r="D662" s="8">
        <v>1.45</v>
      </c>
      <c r="E662" s="4">
        <v>0</v>
      </c>
      <c r="F662" s="8">
        <v>0</v>
      </c>
      <c r="G662" s="4">
        <v>1</v>
      </c>
      <c r="H662" s="8">
        <v>3.33</v>
      </c>
      <c r="I662" s="4">
        <v>0</v>
      </c>
    </row>
    <row r="663" spans="1:9" x14ac:dyDescent="0.2">
      <c r="A663" s="2">
        <v>16</v>
      </c>
      <c r="B663" s="1" t="s">
        <v>99</v>
      </c>
      <c r="C663" s="4">
        <v>1</v>
      </c>
      <c r="D663" s="8">
        <v>1.45</v>
      </c>
      <c r="E663" s="4">
        <v>1</v>
      </c>
      <c r="F663" s="8">
        <v>2.7</v>
      </c>
      <c r="G663" s="4">
        <v>0</v>
      </c>
      <c r="H663" s="8">
        <v>0</v>
      </c>
      <c r="I663" s="4">
        <v>0</v>
      </c>
    </row>
    <row r="664" spans="1:9" x14ac:dyDescent="0.2">
      <c r="A664" s="2">
        <v>16</v>
      </c>
      <c r="B664" s="1" t="s">
        <v>100</v>
      </c>
      <c r="C664" s="4">
        <v>1</v>
      </c>
      <c r="D664" s="8">
        <v>1.45</v>
      </c>
      <c r="E664" s="4">
        <v>1</v>
      </c>
      <c r="F664" s="8">
        <v>2.7</v>
      </c>
      <c r="G664" s="4">
        <v>0</v>
      </c>
      <c r="H664" s="8">
        <v>0</v>
      </c>
      <c r="I664" s="4">
        <v>0</v>
      </c>
    </row>
    <row r="665" spans="1:9" x14ac:dyDescent="0.2">
      <c r="A665" s="2">
        <v>16</v>
      </c>
      <c r="B665" s="1" t="s">
        <v>123</v>
      </c>
      <c r="C665" s="4">
        <v>1</v>
      </c>
      <c r="D665" s="8">
        <v>1.45</v>
      </c>
      <c r="E665" s="4">
        <v>0</v>
      </c>
      <c r="F665" s="8">
        <v>0</v>
      </c>
      <c r="G665" s="4">
        <v>1</v>
      </c>
      <c r="H665" s="8">
        <v>3.33</v>
      </c>
      <c r="I665" s="4">
        <v>0</v>
      </c>
    </row>
    <row r="666" spans="1:9" x14ac:dyDescent="0.2">
      <c r="A666" s="1"/>
      <c r="C666" s="4"/>
      <c r="D666" s="8"/>
      <c r="E666" s="4"/>
      <c r="F666" s="8"/>
      <c r="G666" s="4"/>
      <c r="H666" s="8"/>
      <c r="I666" s="4"/>
    </row>
    <row r="667" spans="1:9" x14ac:dyDescent="0.2">
      <c r="A667" s="1" t="s">
        <v>27</v>
      </c>
      <c r="C667" s="4"/>
      <c r="D667" s="8"/>
      <c r="E667" s="4"/>
      <c r="F667" s="8"/>
      <c r="G667" s="4"/>
      <c r="H667" s="8"/>
      <c r="I667" s="4"/>
    </row>
    <row r="668" spans="1:9" x14ac:dyDescent="0.2">
      <c r="A668" s="2">
        <v>1</v>
      </c>
      <c r="B668" s="1" t="s">
        <v>95</v>
      </c>
      <c r="C668" s="4">
        <v>50</v>
      </c>
      <c r="D668" s="8">
        <v>10.46</v>
      </c>
      <c r="E668" s="4">
        <v>36</v>
      </c>
      <c r="F668" s="8">
        <v>13.69</v>
      </c>
      <c r="G668" s="4">
        <v>14</v>
      </c>
      <c r="H668" s="8">
        <v>6.73</v>
      </c>
      <c r="I668" s="4">
        <v>0</v>
      </c>
    </row>
    <row r="669" spans="1:9" x14ac:dyDescent="0.2">
      <c r="A669" s="2">
        <v>2</v>
      </c>
      <c r="B669" s="1" t="s">
        <v>96</v>
      </c>
      <c r="C669" s="4">
        <v>48</v>
      </c>
      <c r="D669" s="8">
        <v>10.039999999999999</v>
      </c>
      <c r="E669" s="4">
        <v>38</v>
      </c>
      <c r="F669" s="8">
        <v>14.45</v>
      </c>
      <c r="G669" s="4">
        <v>10</v>
      </c>
      <c r="H669" s="8">
        <v>4.8099999999999996</v>
      </c>
      <c r="I669" s="4">
        <v>0</v>
      </c>
    </row>
    <row r="670" spans="1:9" x14ac:dyDescent="0.2">
      <c r="A670" s="2">
        <v>3</v>
      </c>
      <c r="B670" s="1" t="s">
        <v>97</v>
      </c>
      <c r="C670" s="4">
        <v>46</v>
      </c>
      <c r="D670" s="8">
        <v>9.6199999999999992</v>
      </c>
      <c r="E670" s="4">
        <v>42</v>
      </c>
      <c r="F670" s="8">
        <v>15.97</v>
      </c>
      <c r="G670" s="4">
        <v>4</v>
      </c>
      <c r="H670" s="8">
        <v>1.92</v>
      </c>
      <c r="I670" s="4">
        <v>0</v>
      </c>
    </row>
    <row r="671" spans="1:9" x14ac:dyDescent="0.2">
      <c r="A671" s="2">
        <v>4</v>
      </c>
      <c r="B671" s="1" t="s">
        <v>83</v>
      </c>
      <c r="C671" s="4">
        <v>36</v>
      </c>
      <c r="D671" s="8">
        <v>7.53</v>
      </c>
      <c r="E671" s="4">
        <v>13</v>
      </c>
      <c r="F671" s="8">
        <v>4.9400000000000004</v>
      </c>
      <c r="G671" s="4">
        <v>23</v>
      </c>
      <c r="H671" s="8">
        <v>11.06</v>
      </c>
      <c r="I671" s="4">
        <v>0</v>
      </c>
    </row>
    <row r="672" spans="1:9" x14ac:dyDescent="0.2">
      <c r="A672" s="2">
        <v>5</v>
      </c>
      <c r="B672" s="1" t="s">
        <v>89</v>
      </c>
      <c r="C672" s="4">
        <v>28</v>
      </c>
      <c r="D672" s="8">
        <v>5.86</v>
      </c>
      <c r="E672" s="4">
        <v>19</v>
      </c>
      <c r="F672" s="8">
        <v>7.22</v>
      </c>
      <c r="G672" s="4">
        <v>9</v>
      </c>
      <c r="H672" s="8">
        <v>4.33</v>
      </c>
      <c r="I672" s="4">
        <v>0</v>
      </c>
    </row>
    <row r="673" spans="1:9" x14ac:dyDescent="0.2">
      <c r="A673" s="2">
        <v>5</v>
      </c>
      <c r="B673" s="1" t="s">
        <v>91</v>
      </c>
      <c r="C673" s="4">
        <v>28</v>
      </c>
      <c r="D673" s="8">
        <v>5.86</v>
      </c>
      <c r="E673" s="4">
        <v>8</v>
      </c>
      <c r="F673" s="8">
        <v>3.04</v>
      </c>
      <c r="G673" s="4">
        <v>20</v>
      </c>
      <c r="H673" s="8">
        <v>9.6199999999999992</v>
      </c>
      <c r="I673" s="4">
        <v>0</v>
      </c>
    </row>
    <row r="674" spans="1:9" x14ac:dyDescent="0.2">
      <c r="A674" s="2">
        <v>7</v>
      </c>
      <c r="B674" s="1" t="s">
        <v>84</v>
      </c>
      <c r="C674" s="4">
        <v>23</v>
      </c>
      <c r="D674" s="8">
        <v>4.8099999999999996</v>
      </c>
      <c r="E674" s="4">
        <v>17</v>
      </c>
      <c r="F674" s="8">
        <v>6.46</v>
      </c>
      <c r="G674" s="4">
        <v>6</v>
      </c>
      <c r="H674" s="8">
        <v>2.88</v>
      </c>
      <c r="I674" s="4">
        <v>0</v>
      </c>
    </row>
    <row r="675" spans="1:9" x14ac:dyDescent="0.2">
      <c r="A675" s="2">
        <v>7</v>
      </c>
      <c r="B675" s="1" t="s">
        <v>99</v>
      </c>
      <c r="C675" s="4">
        <v>23</v>
      </c>
      <c r="D675" s="8">
        <v>4.8099999999999996</v>
      </c>
      <c r="E675" s="4">
        <v>15</v>
      </c>
      <c r="F675" s="8">
        <v>5.7</v>
      </c>
      <c r="G675" s="4">
        <v>8</v>
      </c>
      <c r="H675" s="8">
        <v>3.85</v>
      </c>
      <c r="I675" s="4">
        <v>0</v>
      </c>
    </row>
    <row r="676" spans="1:9" x14ac:dyDescent="0.2">
      <c r="A676" s="2">
        <v>9</v>
      </c>
      <c r="B676" s="1" t="s">
        <v>92</v>
      </c>
      <c r="C676" s="4">
        <v>17</v>
      </c>
      <c r="D676" s="8">
        <v>3.56</v>
      </c>
      <c r="E676" s="4">
        <v>4</v>
      </c>
      <c r="F676" s="8">
        <v>1.52</v>
      </c>
      <c r="G676" s="4">
        <v>13</v>
      </c>
      <c r="H676" s="8">
        <v>6.25</v>
      </c>
      <c r="I676" s="4">
        <v>0</v>
      </c>
    </row>
    <row r="677" spans="1:9" x14ac:dyDescent="0.2">
      <c r="A677" s="2">
        <v>10</v>
      </c>
      <c r="B677" s="1" t="s">
        <v>85</v>
      </c>
      <c r="C677" s="4">
        <v>16</v>
      </c>
      <c r="D677" s="8">
        <v>3.35</v>
      </c>
      <c r="E677" s="4">
        <v>5</v>
      </c>
      <c r="F677" s="8">
        <v>1.9</v>
      </c>
      <c r="G677" s="4">
        <v>11</v>
      </c>
      <c r="H677" s="8">
        <v>5.29</v>
      </c>
      <c r="I677" s="4">
        <v>0</v>
      </c>
    </row>
    <row r="678" spans="1:9" x14ac:dyDescent="0.2">
      <c r="A678" s="2">
        <v>11</v>
      </c>
      <c r="B678" s="1" t="s">
        <v>100</v>
      </c>
      <c r="C678" s="4">
        <v>13</v>
      </c>
      <c r="D678" s="8">
        <v>2.72</v>
      </c>
      <c r="E678" s="4">
        <v>13</v>
      </c>
      <c r="F678" s="8">
        <v>4.9400000000000004</v>
      </c>
      <c r="G678" s="4">
        <v>0</v>
      </c>
      <c r="H678" s="8">
        <v>0</v>
      </c>
      <c r="I678" s="4">
        <v>0</v>
      </c>
    </row>
    <row r="679" spans="1:9" x14ac:dyDescent="0.2">
      <c r="A679" s="2">
        <v>12</v>
      </c>
      <c r="B679" s="1" t="s">
        <v>88</v>
      </c>
      <c r="C679" s="4">
        <v>12</v>
      </c>
      <c r="D679" s="8">
        <v>2.5099999999999998</v>
      </c>
      <c r="E679" s="4">
        <v>8</v>
      </c>
      <c r="F679" s="8">
        <v>3.04</v>
      </c>
      <c r="G679" s="4">
        <v>4</v>
      </c>
      <c r="H679" s="8">
        <v>1.92</v>
      </c>
      <c r="I679" s="4">
        <v>0</v>
      </c>
    </row>
    <row r="680" spans="1:9" x14ac:dyDescent="0.2">
      <c r="A680" s="2">
        <v>13</v>
      </c>
      <c r="B680" s="1" t="s">
        <v>110</v>
      </c>
      <c r="C680" s="4">
        <v>11</v>
      </c>
      <c r="D680" s="8">
        <v>2.2999999999999998</v>
      </c>
      <c r="E680" s="4">
        <v>2</v>
      </c>
      <c r="F680" s="8">
        <v>0.76</v>
      </c>
      <c r="G680" s="4">
        <v>9</v>
      </c>
      <c r="H680" s="8">
        <v>4.33</v>
      </c>
      <c r="I680" s="4">
        <v>0</v>
      </c>
    </row>
    <row r="681" spans="1:9" x14ac:dyDescent="0.2">
      <c r="A681" s="2">
        <v>14</v>
      </c>
      <c r="B681" s="1" t="s">
        <v>101</v>
      </c>
      <c r="C681" s="4">
        <v>10</v>
      </c>
      <c r="D681" s="8">
        <v>2.09</v>
      </c>
      <c r="E681" s="4">
        <v>0</v>
      </c>
      <c r="F681" s="8">
        <v>0</v>
      </c>
      <c r="G681" s="4">
        <v>5</v>
      </c>
      <c r="H681" s="8">
        <v>2.4</v>
      </c>
      <c r="I681" s="4">
        <v>0</v>
      </c>
    </row>
    <row r="682" spans="1:9" x14ac:dyDescent="0.2">
      <c r="A682" s="2">
        <v>15</v>
      </c>
      <c r="B682" s="1" t="s">
        <v>90</v>
      </c>
      <c r="C682" s="4">
        <v>8</v>
      </c>
      <c r="D682" s="8">
        <v>1.67</v>
      </c>
      <c r="E682" s="4">
        <v>5</v>
      </c>
      <c r="F682" s="8">
        <v>1.9</v>
      </c>
      <c r="G682" s="4">
        <v>3</v>
      </c>
      <c r="H682" s="8">
        <v>1.44</v>
      </c>
      <c r="I682" s="4">
        <v>0</v>
      </c>
    </row>
    <row r="683" spans="1:9" x14ac:dyDescent="0.2">
      <c r="A683" s="2">
        <v>15</v>
      </c>
      <c r="B683" s="1" t="s">
        <v>113</v>
      </c>
      <c r="C683" s="4">
        <v>8</v>
      </c>
      <c r="D683" s="8">
        <v>1.67</v>
      </c>
      <c r="E683" s="4">
        <v>1</v>
      </c>
      <c r="F683" s="8">
        <v>0.38</v>
      </c>
      <c r="G683" s="4">
        <v>7</v>
      </c>
      <c r="H683" s="8">
        <v>3.37</v>
      </c>
      <c r="I683" s="4">
        <v>0</v>
      </c>
    </row>
    <row r="684" spans="1:9" x14ac:dyDescent="0.2">
      <c r="A684" s="2">
        <v>15</v>
      </c>
      <c r="B684" s="1" t="s">
        <v>129</v>
      </c>
      <c r="C684" s="4">
        <v>8</v>
      </c>
      <c r="D684" s="8">
        <v>1.67</v>
      </c>
      <c r="E684" s="4">
        <v>2</v>
      </c>
      <c r="F684" s="8">
        <v>0.76</v>
      </c>
      <c r="G684" s="4">
        <v>5</v>
      </c>
      <c r="H684" s="8">
        <v>2.4</v>
      </c>
      <c r="I684" s="4">
        <v>0</v>
      </c>
    </row>
    <row r="685" spans="1:9" x14ac:dyDescent="0.2">
      <c r="A685" s="2">
        <v>15</v>
      </c>
      <c r="B685" s="1" t="s">
        <v>102</v>
      </c>
      <c r="C685" s="4">
        <v>8</v>
      </c>
      <c r="D685" s="8">
        <v>1.67</v>
      </c>
      <c r="E685" s="4">
        <v>4</v>
      </c>
      <c r="F685" s="8">
        <v>1.52</v>
      </c>
      <c r="G685" s="4">
        <v>4</v>
      </c>
      <c r="H685" s="8">
        <v>1.92</v>
      </c>
      <c r="I685" s="4">
        <v>0</v>
      </c>
    </row>
    <row r="686" spans="1:9" x14ac:dyDescent="0.2">
      <c r="A686" s="2">
        <v>19</v>
      </c>
      <c r="B686" s="1" t="s">
        <v>98</v>
      </c>
      <c r="C686" s="4">
        <v>7</v>
      </c>
      <c r="D686" s="8">
        <v>1.46</v>
      </c>
      <c r="E686" s="4">
        <v>3</v>
      </c>
      <c r="F686" s="8">
        <v>1.1399999999999999</v>
      </c>
      <c r="G686" s="4">
        <v>4</v>
      </c>
      <c r="H686" s="8">
        <v>1.92</v>
      </c>
      <c r="I686" s="4">
        <v>0</v>
      </c>
    </row>
    <row r="687" spans="1:9" x14ac:dyDescent="0.2">
      <c r="A687" s="2">
        <v>20</v>
      </c>
      <c r="B687" s="1" t="s">
        <v>121</v>
      </c>
      <c r="C687" s="4">
        <v>6</v>
      </c>
      <c r="D687" s="8">
        <v>1.26</v>
      </c>
      <c r="E687" s="4">
        <v>2</v>
      </c>
      <c r="F687" s="8">
        <v>0.76</v>
      </c>
      <c r="G687" s="4">
        <v>4</v>
      </c>
      <c r="H687" s="8">
        <v>1.92</v>
      </c>
      <c r="I687" s="4">
        <v>0</v>
      </c>
    </row>
    <row r="688" spans="1:9" x14ac:dyDescent="0.2">
      <c r="A688" s="2">
        <v>20</v>
      </c>
      <c r="B688" s="1" t="s">
        <v>94</v>
      </c>
      <c r="C688" s="4">
        <v>6</v>
      </c>
      <c r="D688" s="8">
        <v>1.26</v>
      </c>
      <c r="E688" s="4">
        <v>4</v>
      </c>
      <c r="F688" s="8">
        <v>1.52</v>
      </c>
      <c r="G688" s="4">
        <v>2</v>
      </c>
      <c r="H688" s="8">
        <v>0.96</v>
      </c>
      <c r="I688" s="4">
        <v>0</v>
      </c>
    </row>
    <row r="689" spans="1:9" x14ac:dyDescent="0.2">
      <c r="A689" s="2">
        <v>20</v>
      </c>
      <c r="B689" s="1" t="s">
        <v>108</v>
      </c>
      <c r="C689" s="4">
        <v>6</v>
      </c>
      <c r="D689" s="8">
        <v>1.26</v>
      </c>
      <c r="E689" s="4">
        <v>2</v>
      </c>
      <c r="F689" s="8">
        <v>0.76</v>
      </c>
      <c r="G689" s="4">
        <v>4</v>
      </c>
      <c r="H689" s="8">
        <v>1.92</v>
      </c>
      <c r="I689" s="4">
        <v>0</v>
      </c>
    </row>
    <row r="690" spans="1:9" x14ac:dyDescent="0.2">
      <c r="A690" s="1"/>
      <c r="C690" s="4"/>
      <c r="D690" s="8"/>
      <c r="E690" s="4"/>
      <c r="F690" s="8"/>
      <c r="G690" s="4"/>
      <c r="H690" s="8"/>
      <c r="I690" s="4"/>
    </row>
    <row r="691" spans="1:9" x14ac:dyDescent="0.2">
      <c r="A691" s="1" t="s">
        <v>28</v>
      </c>
      <c r="C691" s="4"/>
      <c r="D691" s="8"/>
      <c r="E691" s="4"/>
      <c r="F691" s="8"/>
      <c r="G691" s="4"/>
      <c r="H691" s="8"/>
      <c r="I691" s="4"/>
    </row>
    <row r="692" spans="1:9" x14ac:dyDescent="0.2">
      <c r="A692" s="2">
        <v>1</v>
      </c>
      <c r="B692" s="1" t="s">
        <v>96</v>
      </c>
      <c r="C692" s="4">
        <v>64</v>
      </c>
      <c r="D692" s="8">
        <v>12.67</v>
      </c>
      <c r="E692" s="4">
        <v>61</v>
      </c>
      <c r="F692" s="8">
        <v>18.48</v>
      </c>
      <c r="G692" s="4">
        <v>3</v>
      </c>
      <c r="H692" s="8">
        <v>1.81</v>
      </c>
      <c r="I692" s="4">
        <v>0</v>
      </c>
    </row>
    <row r="693" spans="1:9" x14ac:dyDescent="0.2">
      <c r="A693" s="2">
        <v>2</v>
      </c>
      <c r="B693" s="1" t="s">
        <v>97</v>
      </c>
      <c r="C693" s="4">
        <v>59</v>
      </c>
      <c r="D693" s="8">
        <v>11.68</v>
      </c>
      <c r="E693" s="4">
        <v>51</v>
      </c>
      <c r="F693" s="8">
        <v>15.45</v>
      </c>
      <c r="G693" s="4">
        <v>8</v>
      </c>
      <c r="H693" s="8">
        <v>4.82</v>
      </c>
      <c r="I693" s="4">
        <v>0</v>
      </c>
    </row>
    <row r="694" spans="1:9" x14ac:dyDescent="0.2">
      <c r="A694" s="2">
        <v>3</v>
      </c>
      <c r="B694" s="1" t="s">
        <v>91</v>
      </c>
      <c r="C694" s="4">
        <v>54</v>
      </c>
      <c r="D694" s="8">
        <v>10.69</v>
      </c>
      <c r="E694" s="4">
        <v>35</v>
      </c>
      <c r="F694" s="8">
        <v>10.61</v>
      </c>
      <c r="G694" s="4">
        <v>19</v>
      </c>
      <c r="H694" s="8">
        <v>11.45</v>
      </c>
      <c r="I694" s="4">
        <v>0</v>
      </c>
    </row>
    <row r="695" spans="1:9" x14ac:dyDescent="0.2">
      <c r="A695" s="2">
        <v>4</v>
      </c>
      <c r="B695" s="1" t="s">
        <v>89</v>
      </c>
      <c r="C695" s="4">
        <v>39</v>
      </c>
      <c r="D695" s="8">
        <v>7.72</v>
      </c>
      <c r="E695" s="4">
        <v>32</v>
      </c>
      <c r="F695" s="8">
        <v>9.6999999999999993</v>
      </c>
      <c r="G695" s="4">
        <v>7</v>
      </c>
      <c r="H695" s="8">
        <v>4.22</v>
      </c>
      <c r="I695" s="4">
        <v>0</v>
      </c>
    </row>
    <row r="696" spans="1:9" x14ac:dyDescent="0.2">
      <c r="A696" s="2">
        <v>5</v>
      </c>
      <c r="B696" s="1" t="s">
        <v>83</v>
      </c>
      <c r="C696" s="4">
        <v>35</v>
      </c>
      <c r="D696" s="8">
        <v>6.93</v>
      </c>
      <c r="E696" s="4">
        <v>15</v>
      </c>
      <c r="F696" s="8">
        <v>4.55</v>
      </c>
      <c r="G696" s="4">
        <v>20</v>
      </c>
      <c r="H696" s="8">
        <v>12.05</v>
      </c>
      <c r="I696" s="4">
        <v>0</v>
      </c>
    </row>
    <row r="697" spans="1:9" x14ac:dyDescent="0.2">
      <c r="A697" s="2">
        <v>5</v>
      </c>
      <c r="B697" s="1" t="s">
        <v>92</v>
      </c>
      <c r="C697" s="4">
        <v>35</v>
      </c>
      <c r="D697" s="8">
        <v>6.93</v>
      </c>
      <c r="E697" s="4">
        <v>25</v>
      </c>
      <c r="F697" s="8">
        <v>7.58</v>
      </c>
      <c r="G697" s="4">
        <v>10</v>
      </c>
      <c r="H697" s="8">
        <v>6.02</v>
      </c>
      <c r="I697" s="4">
        <v>0</v>
      </c>
    </row>
    <row r="698" spans="1:9" x14ac:dyDescent="0.2">
      <c r="A698" s="2">
        <v>7</v>
      </c>
      <c r="B698" s="1" t="s">
        <v>84</v>
      </c>
      <c r="C698" s="4">
        <v>32</v>
      </c>
      <c r="D698" s="8">
        <v>6.34</v>
      </c>
      <c r="E698" s="4">
        <v>24</v>
      </c>
      <c r="F698" s="8">
        <v>7.27</v>
      </c>
      <c r="G698" s="4">
        <v>8</v>
      </c>
      <c r="H698" s="8">
        <v>4.82</v>
      </c>
      <c r="I698" s="4">
        <v>0</v>
      </c>
    </row>
    <row r="699" spans="1:9" x14ac:dyDescent="0.2">
      <c r="A699" s="2">
        <v>8</v>
      </c>
      <c r="B699" s="1" t="s">
        <v>90</v>
      </c>
      <c r="C699" s="4">
        <v>17</v>
      </c>
      <c r="D699" s="8">
        <v>3.37</v>
      </c>
      <c r="E699" s="4">
        <v>10</v>
      </c>
      <c r="F699" s="8">
        <v>3.03</v>
      </c>
      <c r="G699" s="4">
        <v>7</v>
      </c>
      <c r="H699" s="8">
        <v>4.22</v>
      </c>
      <c r="I699" s="4">
        <v>0</v>
      </c>
    </row>
    <row r="700" spans="1:9" x14ac:dyDescent="0.2">
      <c r="A700" s="2">
        <v>9</v>
      </c>
      <c r="B700" s="1" t="s">
        <v>88</v>
      </c>
      <c r="C700" s="4">
        <v>14</v>
      </c>
      <c r="D700" s="8">
        <v>2.77</v>
      </c>
      <c r="E700" s="4">
        <v>12</v>
      </c>
      <c r="F700" s="8">
        <v>3.64</v>
      </c>
      <c r="G700" s="4">
        <v>2</v>
      </c>
      <c r="H700" s="8">
        <v>1.2</v>
      </c>
      <c r="I700" s="4">
        <v>0</v>
      </c>
    </row>
    <row r="701" spans="1:9" x14ac:dyDescent="0.2">
      <c r="A701" s="2">
        <v>10</v>
      </c>
      <c r="B701" s="1" t="s">
        <v>85</v>
      </c>
      <c r="C701" s="4">
        <v>13</v>
      </c>
      <c r="D701" s="8">
        <v>2.57</v>
      </c>
      <c r="E701" s="4">
        <v>5</v>
      </c>
      <c r="F701" s="8">
        <v>1.52</v>
      </c>
      <c r="G701" s="4">
        <v>8</v>
      </c>
      <c r="H701" s="8">
        <v>4.82</v>
      </c>
      <c r="I701" s="4">
        <v>0</v>
      </c>
    </row>
    <row r="702" spans="1:9" x14ac:dyDescent="0.2">
      <c r="A702" s="2">
        <v>11</v>
      </c>
      <c r="B702" s="1" t="s">
        <v>99</v>
      </c>
      <c r="C702" s="4">
        <v>12</v>
      </c>
      <c r="D702" s="8">
        <v>2.38</v>
      </c>
      <c r="E702" s="4">
        <v>7</v>
      </c>
      <c r="F702" s="8">
        <v>2.12</v>
      </c>
      <c r="G702" s="4">
        <v>5</v>
      </c>
      <c r="H702" s="8">
        <v>3.01</v>
      </c>
      <c r="I702" s="4">
        <v>0</v>
      </c>
    </row>
    <row r="703" spans="1:9" x14ac:dyDescent="0.2">
      <c r="A703" s="2">
        <v>12</v>
      </c>
      <c r="B703" s="1" t="s">
        <v>93</v>
      </c>
      <c r="C703" s="4">
        <v>9</v>
      </c>
      <c r="D703" s="8">
        <v>1.78</v>
      </c>
      <c r="E703" s="4">
        <v>5</v>
      </c>
      <c r="F703" s="8">
        <v>1.52</v>
      </c>
      <c r="G703" s="4">
        <v>4</v>
      </c>
      <c r="H703" s="8">
        <v>2.41</v>
      </c>
      <c r="I703" s="4">
        <v>0</v>
      </c>
    </row>
    <row r="704" spans="1:9" x14ac:dyDescent="0.2">
      <c r="A704" s="2">
        <v>12</v>
      </c>
      <c r="B704" s="1" t="s">
        <v>100</v>
      </c>
      <c r="C704" s="4">
        <v>9</v>
      </c>
      <c r="D704" s="8">
        <v>1.78</v>
      </c>
      <c r="E704" s="4">
        <v>9</v>
      </c>
      <c r="F704" s="8">
        <v>2.73</v>
      </c>
      <c r="G704" s="4">
        <v>0</v>
      </c>
      <c r="H704" s="8">
        <v>0</v>
      </c>
      <c r="I704" s="4">
        <v>0</v>
      </c>
    </row>
    <row r="705" spans="1:9" x14ac:dyDescent="0.2">
      <c r="A705" s="2">
        <v>14</v>
      </c>
      <c r="B705" s="1" t="s">
        <v>110</v>
      </c>
      <c r="C705" s="4">
        <v>8</v>
      </c>
      <c r="D705" s="8">
        <v>1.58</v>
      </c>
      <c r="E705" s="4">
        <v>4</v>
      </c>
      <c r="F705" s="8">
        <v>1.21</v>
      </c>
      <c r="G705" s="4">
        <v>4</v>
      </c>
      <c r="H705" s="8">
        <v>2.41</v>
      </c>
      <c r="I705" s="4">
        <v>0</v>
      </c>
    </row>
    <row r="706" spans="1:9" x14ac:dyDescent="0.2">
      <c r="A706" s="2">
        <v>14</v>
      </c>
      <c r="B706" s="1" t="s">
        <v>94</v>
      </c>
      <c r="C706" s="4">
        <v>8</v>
      </c>
      <c r="D706" s="8">
        <v>1.58</v>
      </c>
      <c r="E706" s="4">
        <v>4</v>
      </c>
      <c r="F706" s="8">
        <v>1.21</v>
      </c>
      <c r="G706" s="4">
        <v>4</v>
      </c>
      <c r="H706" s="8">
        <v>2.41</v>
      </c>
      <c r="I706" s="4">
        <v>0</v>
      </c>
    </row>
    <row r="707" spans="1:9" x14ac:dyDescent="0.2">
      <c r="A707" s="2">
        <v>14</v>
      </c>
      <c r="B707" s="1" t="s">
        <v>140</v>
      </c>
      <c r="C707" s="4">
        <v>8</v>
      </c>
      <c r="D707" s="8">
        <v>1.58</v>
      </c>
      <c r="E707" s="4">
        <v>0</v>
      </c>
      <c r="F707" s="8">
        <v>0</v>
      </c>
      <c r="G707" s="4">
        <v>1</v>
      </c>
      <c r="H707" s="8">
        <v>0.6</v>
      </c>
      <c r="I707" s="4">
        <v>0</v>
      </c>
    </row>
    <row r="708" spans="1:9" x14ac:dyDescent="0.2">
      <c r="A708" s="2">
        <v>17</v>
      </c>
      <c r="B708" s="1" t="s">
        <v>113</v>
      </c>
      <c r="C708" s="4">
        <v>7</v>
      </c>
      <c r="D708" s="8">
        <v>1.39</v>
      </c>
      <c r="E708" s="4">
        <v>2</v>
      </c>
      <c r="F708" s="8">
        <v>0.61</v>
      </c>
      <c r="G708" s="4">
        <v>4</v>
      </c>
      <c r="H708" s="8">
        <v>2.41</v>
      </c>
      <c r="I708" s="4">
        <v>0</v>
      </c>
    </row>
    <row r="709" spans="1:9" x14ac:dyDescent="0.2">
      <c r="A709" s="2">
        <v>18</v>
      </c>
      <c r="B709" s="1" t="s">
        <v>106</v>
      </c>
      <c r="C709" s="4">
        <v>6</v>
      </c>
      <c r="D709" s="8">
        <v>1.19</v>
      </c>
      <c r="E709" s="4">
        <v>0</v>
      </c>
      <c r="F709" s="8">
        <v>0</v>
      </c>
      <c r="G709" s="4">
        <v>6</v>
      </c>
      <c r="H709" s="8">
        <v>3.61</v>
      </c>
      <c r="I709" s="4">
        <v>0</v>
      </c>
    </row>
    <row r="710" spans="1:9" x14ac:dyDescent="0.2">
      <c r="A710" s="2">
        <v>18</v>
      </c>
      <c r="B710" s="1" t="s">
        <v>101</v>
      </c>
      <c r="C710" s="4">
        <v>6</v>
      </c>
      <c r="D710" s="8">
        <v>1.19</v>
      </c>
      <c r="E710" s="4">
        <v>0</v>
      </c>
      <c r="F710" s="8">
        <v>0</v>
      </c>
      <c r="G710" s="4">
        <v>6</v>
      </c>
      <c r="H710" s="8">
        <v>3.61</v>
      </c>
      <c r="I710" s="4">
        <v>0</v>
      </c>
    </row>
    <row r="711" spans="1:9" x14ac:dyDescent="0.2">
      <c r="A711" s="2">
        <v>20</v>
      </c>
      <c r="B711" s="1" t="s">
        <v>86</v>
      </c>
      <c r="C711" s="4">
        <v>5</v>
      </c>
      <c r="D711" s="8">
        <v>0.99</v>
      </c>
      <c r="E711" s="4">
        <v>1</v>
      </c>
      <c r="F711" s="8">
        <v>0.3</v>
      </c>
      <c r="G711" s="4">
        <v>4</v>
      </c>
      <c r="H711" s="8">
        <v>2.41</v>
      </c>
      <c r="I711" s="4">
        <v>0</v>
      </c>
    </row>
    <row r="712" spans="1:9" x14ac:dyDescent="0.2">
      <c r="A712" s="2">
        <v>20</v>
      </c>
      <c r="B712" s="1" t="s">
        <v>87</v>
      </c>
      <c r="C712" s="4">
        <v>5</v>
      </c>
      <c r="D712" s="8">
        <v>0.99</v>
      </c>
      <c r="E712" s="4">
        <v>1</v>
      </c>
      <c r="F712" s="8">
        <v>0.3</v>
      </c>
      <c r="G712" s="4">
        <v>4</v>
      </c>
      <c r="H712" s="8">
        <v>2.41</v>
      </c>
      <c r="I712" s="4">
        <v>0</v>
      </c>
    </row>
    <row r="713" spans="1:9" x14ac:dyDescent="0.2">
      <c r="A713" s="1"/>
      <c r="C713" s="4"/>
      <c r="D713" s="8"/>
      <c r="E713" s="4"/>
      <c r="F713" s="8"/>
      <c r="G713" s="4"/>
      <c r="H713" s="8"/>
      <c r="I713" s="4"/>
    </row>
    <row r="714" spans="1:9" x14ac:dyDescent="0.2">
      <c r="A714" s="1" t="s">
        <v>29</v>
      </c>
      <c r="C714" s="4"/>
      <c r="D714" s="8"/>
      <c r="E714" s="4"/>
      <c r="F714" s="8"/>
      <c r="G714" s="4"/>
      <c r="H714" s="8"/>
      <c r="I714" s="4"/>
    </row>
    <row r="715" spans="1:9" x14ac:dyDescent="0.2">
      <c r="A715" s="2">
        <v>1</v>
      </c>
      <c r="B715" s="1" t="s">
        <v>83</v>
      </c>
      <c r="C715" s="4">
        <v>7</v>
      </c>
      <c r="D715" s="8">
        <v>12.07</v>
      </c>
      <c r="E715" s="4">
        <v>1</v>
      </c>
      <c r="F715" s="8">
        <v>3.7</v>
      </c>
      <c r="G715" s="4">
        <v>6</v>
      </c>
      <c r="H715" s="8">
        <v>20.69</v>
      </c>
      <c r="I715" s="4">
        <v>0</v>
      </c>
    </row>
    <row r="716" spans="1:9" x14ac:dyDescent="0.2">
      <c r="A716" s="2">
        <v>2</v>
      </c>
      <c r="B716" s="1" t="s">
        <v>89</v>
      </c>
      <c r="C716" s="4">
        <v>6</v>
      </c>
      <c r="D716" s="8">
        <v>10.34</v>
      </c>
      <c r="E716" s="4">
        <v>4</v>
      </c>
      <c r="F716" s="8">
        <v>14.81</v>
      </c>
      <c r="G716" s="4">
        <v>1</v>
      </c>
      <c r="H716" s="8">
        <v>3.45</v>
      </c>
      <c r="I716" s="4">
        <v>1</v>
      </c>
    </row>
    <row r="717" spans="1:9" x14ac:dyDescent="0.2">
      <c r="A717" s="2">
        <v>3</v>
      </c>
      <c r="B717" s="1" t="s">
        <v>85</v>
      </c>
      <c r="C717" s="4">
        <v>4</v>
      </c>
      <c r="D717" s="8">
        <v>6.9</v>
      </c>
      <c r="E717" s="4">
        <v>1</v>
      </c>
      <c r="F717" s="8">
        <v>3.7</v>
      </c>
      <c r="G717" s="4">
        <v>3</v>
      </c>
      <c r="H717" s="8">
        <v>10.34</v>
      </c>
      <c r="I717" s="4">
        <v>0</v>
      </c>
    </row>
    <row r="718" spans="1:9" x14ac:dyDescent="0.2">
      <c r="A718" s="2">
        <v>3</v>
      </c>
      <c r="B718" s="1" t="s">
        <v>106</v>
      </c>
      <c r="C718" s="4">
        <v>4</v>
      </c>
      <c r="D718" s="8">
        <v>6.9</v>
      </c>
      <c r="E718" s="4">
        <v>1</v>
      </c>
      <c r="F718" s="8">
        <v>3.7</v>
      </c>
      <c r="G718" s="4">
        <v>3</v>
      </c>
      <c r="H718" s="8">
        <v>10.34</v>
      </c>
      <c r="I718" s="4">
        <v>0</v>
      </c>
    </row>
    <row r="719" spans="1:9" x14ac:dyDescent="0.2">
      <c r="A719" s="2">
        <v>3</v>
      </c>
      <c r="B719" s="1" t="s">
        <v>91</v>
      </c>
      <c r="C719" s="4">
        <v>4</v>
      </c>
      <c r="D719" s="8">
        <v>6.9</v>
      </c>
      <c r="E719" s="4">
        <v>2</v>
      </c>
      <c r="F719" s="8">
        <v>7.41</v>
      </c>
      <c r="G719" s="4">
        <v>2</v>
      </c>
      <c r="H719" s="8">
        <v>6.9</v>
      </c>
      <c r="I719" s="4">
        <v>0</v>
      </c>
    </row>
    <row r="720" spans="1:9" x14ac:dyDescent="0.2">
      <c r="A720" s="2">
        <v>3</v>
      </c>
      <c r="B720" s="1" t="s">
        <v>97</v>
      </c>
      <c r="C720" s="4">
        <v>4</v>
      </c>
      <c r="D720" s="8">
        <v>6.9</v>
      </c>
      <c r="E720" s="4">
        <v>4</v>
      </c>
      <c r="F720" s="8">
        <v>14.81</v>
      </c>
      <c r="G720" s="4">
        <v>0</v>
      </c>
      <c r="H720" s="8">
        <v>0</v>
      </c>
      <c r="I720" s="4">
        <v>0</v>
      </c>
    </row>
    <row r="721" spans="1:9" x14ac:dyDescent="0.2">
      <c r="A721" s="2">
        <v>7</v>
      </c>
      <c r="B721" s="1" t="s">
        <v>90</v>
      </c>
      <c r="C721" s="4">
        <v>3</v>
      </c>
      <c r="D721" s="8">
        <v>5.17</v>
      </c>
      <c r="E721" s="4">
        <v>1</v>
      </c>
      <c r="F721" s="8">
        <v>3.7</v>
      </c>
      <c r="G721" s="4">
        <v>2</v>
      </c>
      <c r="H721" s="8">
        <v>6.9</v>
      </c>
      <c r="I721" s="4">
        <v>0</v>
      </c>
    </row>
    <row r="722" spans="1:9" x14ac:dyDescent="0.2">
      <c r="A722" s="2">
        <v>7</v>
      </c>
      <c r="B722" s="1" t="s">
        <v>96</v>
      </c>
      <c r="C722" s="4">
        <v>3</v>
      </c>
      <c r="D722" s="8">
        <v>5.17</v>
      </c>
      <c r="E722" s="4">
        <v>2</v>
      </c>
      <c r="F722" s="8">
        <v>7.41</v>
      </c>
      <c r="G722" s="4">
        <v>1</v>
      </c>
      <c r="H722" s="8">
        <v>3.45</v>
      </c>
      <c r="I722" s="4">
        <v>0</v>
      </c>
    </row>
    <row r="723" spans="1:9" x14ac:dyDescent="0.2">
      <c r="A723" s="2">
        <v>7</v>
      </c>
      <c r="B723" s="1" t="s">
        <v>99</v>
      </c>
      <c r="C723" s="4">
        <v>3</v>
      </c>
      <c r="D723" s="8">
        <v>5.17</v>
      </c>
      <c r="E723" s="4">
        <v>3</v>
      </c>
      <c r="F723" s="8">
        <v>11.11</v>
      </c>
      <c r="G723" s="4">
        <v>0</v>
      </c>
      <c r="H723" s="8">
        <v>0</v>
      </c>
      <c r="I723" s="4">
        <v>0</v>
      </c>
    </row>
    <row r="724" spans="1:9" x14ac:dyDescent="0.2">
      <c r="A724" s="2">
        <v>10</v>
      </c>
      <c r="B724" s="1" t="s">
        <v>84</v>
      </c>
      <c r="C724" s="4">
        <v>2</v>
      </c>
      <c r="D724" s="8">
        <v>3.45</v>
      </c>
      <c r="E724" s="4">
        <v>1</v>
      </c>
      <c r="F724" s="8">
        <v>3.7</v>
      </c>
      <c r="G724" s="4">
        <v>1</v>
      </c>
      <c r="H724" s="8">
        <v>3.45</v>
      </c>
      <c r="I724" s="4">
        <v>0</v>
      </c>
    </row>
    <row r="725" spans="1:9" x14ac:dyDescent="0.2">
      <c r="A725" s="2">
        <v>10</v>
      </c>
      <c r="B725" s="1" t="s">
        <v>130</v>
      </c>
      <c r="C725" s="4">
        <v>2</v>
      </c>
      <c r="D725" s="8">
        <v>3.45</v>
      </c>
      <c r="E725" s="4">
        <v>1</v>
      </c>
      <c r="F725" s="8">
        <v>3.7</v>
      </c>
      <c r="G725" s="4">
        <v>1</v>
      </c>
      <c r="H725" s="8">
        <v>3.45</v>
      </c>
      <c r="I725" s="4">
        <v>0</v>
      </c>
    </row>
    <row r="726" spans="1:9" x14ac:dyDescent="0.2">
      <c r="A726" s="2">
        <v>10</v>
      </c>
      <c r="B726" s="1" t="s">
        <v>102</v>
      </c>
      <c r="C726" s="4">
        <v>2</v>
      </c>
      <c r="D726" s="8">
        <v>3.45</v>
      </c>
      <c r="E726" s="4">
        <v>2</v>
      </c>
      <c r="F726" s="8">
        <v>7.41</v>
      </c>
      <c r="G726" s="4">
        <v>0</v>
      </c>
      <c r="H726" s="8">
        <v>0</v>
      </c>
      <c r="I726" s="4">
        <v>0</v>
      </c>
    </row>
    <row r="727" spans="1:9" x14ac:dyDescent="0.2">
      <c r="A727" s="2">
        <v>13</v>
      </c>
      <c r="B727" s="1" t="s">
        <v>110</v>
      </c>
      <c r="C727" s="4">
        <v>1</v>
      </c>
      <c r="D727" s="8">
        <v>1.72</v>
      </c>
      <c r="E727" s="4">
        <v>0</v>
      </c>
      <c r="F727" s="8">
        <v>0</v>
      </c>
      <c r="G727" s="4">
        <v>1</v>
      </c>
      <c r="H727" s="8">
        <v>3.45</v>
      </c>
      <c r="I727" s="4">
        <v>0</v>
      </c>
    </row>
    <row r="728" spans="1:9" x14ac:dyDescent="0.2">
      <c r="A728" s="2">
        <v>13</v>
      </c>
      <c r="B728" s="1" t="s">
        <v>124</v>
      </c>
      <c r="C728" s="4">
        <v>1</v>
      </c>
      <c r="D728" s="8">
        <v>1.72</v>
      </c>
      <c r="E728" s="4">
        <v>0</v>
      </c>
      <c r="F728" s="8">
        <v>0</v>
      </c>
      <c r="G728" s="4">
        <v>1</v>
      </c>
      <c r="H728" s="8">
        <v>3.45</v>
      </c>
      <c r="I728" s="4">
        <v>0</v>
      </c>
    </row>
    <row r="729" spans="1:9" x14ac:dyDescent="0.2">
      <c r="A729" s="2">
        <v>13</v>
      </c>
      <c r="B729" s="1" t="s">
        <v>114</v>
      </c>
      <c r="C729" s="4">
        <v>1</v>
      </c>
      <c r="D729" s="8">
        <v>1.72</v>
      </c>
      <c r="E729" s="4">
        <v>1</v>
      </c>
      <c r="F729" s="8">
        <v>3.7</v>
      </c>
      <c r="G729" s="4">
        <v>0</v>
      </c>
      <c r="H729" s="8">
        <v>0</v>
      </c>
      <c r="I729" s="4">
        <v>0</v>
      </c>
    </row>
    <row r="730" spans="1:9" x14ac:dyDescent="0.2">
      <c r="A730" s="2">
        <v>13</v>
      </c>
      <c r="B730" s="1" t="s">
        <v>105</v>
      </c>
      <c r="C730" s="4">
        <v>1</v>
      </c>
      <c r="D730" s="8">
        <v>1.72</v>
      </c>
      <c r="E730" s="4">
        <v>0</v>
      </c>
      <c r="F730" s="8">
        <v>0</v>
      </c>
      <c r="G730" s="4">
        <v>1</v>
      </c>
      <c r="H730" s="8">
        <v>3.45</v>
      </c>
      <c r="I730" s="4">
        <v>0</v>
      </c>
    </row>
    <row r="731" spans="1:9" x14ac:dyDescent="0.2">
      <c r="A731" s="2">
        <v>13</v>
      </c>
      <c r="B731" s="1" t="s">
        <v>128</v>
      </c>
      <c r="C731" s="4">
        <v>1</v>
      </c>
      <c r="D731" s="8">
        <v>1.72</v>
      </c>
      <c r="E731" s="4">
        <v>0</v>
      </c>
      <c r="F731" s="8">
        <v>0</v>
      </c>
      <c r="G731" s="4">
        <v>1</v>
      </c>
      <c r="H731" s="8">
        <v>3.45</v>
      </c>
      <c r="I731" s="4">
        <v>0</v>
      </c>
    </row>
    <row r="732" spans="1:9" x14ac:dyDescent="0.2">
      <c r="A732" s="2">
        <v>13</v>
      </c>
      <c r="B732" s="1" t="s">
        <v>107</v>
      </c>
      <c r="C732" s="4">
        <v>1</v>
      </c>
      <c r="D732" s="8">
        <v>1.72</v>
      </c>
      <c r="E732" s="4">
        <v>0</v>
      </c>
      <c r="F732" s="8">
        <v>0</v>
      </c>
      <c r="G732" s="4">
        <v>1</v>
      </c>
      <c r="H732" s="8">
        <v>3.45</v>
      </c>
      <c r="I732" s="4">
        <v>0</v>
      </c>
    </row>
    <row r="733" spans="1:9" x14ac:dyDescent="0.2">
      <c r="A733" s="2">
        <v>13</v>
      </c>
      <c r="B733" s="1" t="s">
        <v>109</v>
      </c>
      <c r="C733" s="4">
        <v>1</v>
      </c>
      <c r="D733" s="8">
        <v>1.72</v>
      </c>
      <c r="E733" s="4">
        <v>0</v>
      </c>
      <c r="F733" s="8">
        <v>0</v>
      </c>
      <c r="G733" s="4">
        <v>1</v>
      </c>
      <c r="H733" s="8">
        <v>3.45</v>
      </c>
      <c r="I733" s="4">
        <v>0</v>
      </c>
    </row>
    <row r="734" spans="1:9" x14ac:dyDescent="0.2">
      <c r="A734" s="2">
        <v>13</v>
      </c>
      <c r="B734" s="1" t="s">
        <v>94</v>
      </c>
      <c r="C734" s="4">
        <v>1</v>
      </c>
      <c r="D734" s="8">
        <v>1.72</v>
      </c>
      <c r="E734" s="4">
        <v>0</v>
      </c>
      <c r="F734" s="8">
        <v>0</v>
      </c>
      <c r="G734" s="4">
        <v>1</v>
      </c>
      <c r="H734" s="8">
        <v>3.45</v>
      </c>
      <c r="I734" s="4">
        <v>0</v>
      </c>
    </row>
    <row r="735" spans="1:9" x14ac:dyDescent="0.2">
      <c r="A735" s="2">
        <v>13</v>
      </c>
      <c r="B735" s="1" t="s">
        <v>113</v>
      </c>
      <c r="C735" s="4">
        <v>1</v>
      </c>
      <c r="D735" s="8">
        <v>1.72</v>
      </c>
      <c r="E735" s="4">
        <v>0</v>
      </c>
      <c r="F735" s="8">
        <v>0</v>
      </c>
      <c r="G735" s="4">
        <v>1</v>
      </c>
      <c r="H735" s="8">
        <v>3.45</v>
      </c>
      <c r="I735" s="4">
        <v>0</v>
      </c>
    </row>
    <row r="736" spans="1:9" x14ac:dyDescent="0.2">
      <c r="A736" s="2">
        <v>13</v>
      </c>
      <c r="B736" s="1" t="s">
        <v>98</v>
      </c>
      <c r="C736" s="4">
        <v>1</v>
      </c>
      <c r="D736" s="8">
        <v>1.72</v>
      </c>
      <c r="E736" s="4">
        <v>1</v>
      </c>
      <c r="F736" s="8">
        <v>3.7</v>
      </c>
      <c r="G736" s="4">
        <v>0</v>
      </c>
      <c r="H736" s="8">
        <v>0</v>
      </c>
      <c r="I736" s="4">
        <v>0</v>
      </c>
    </row>
    <row r="737" spans="1:9" x14ac:dyDescent="0.2">
      <c r="A737" s="2">
        <v>13</v>
      </c>
      <c r="B737" s="1" t="s">
        <v>100</v>
      </c>
      <c r="C737" s="4">
        <v>1</v>
      </c>
      <c r="D737" s="8">
        <v>1.72</v>
      </c>
      <c r="E737" s="4">
        <v>1</v>
      </c>
      <c r="F737" s="8">
        <v>3.7</v>
      </c>
      <c r="G737" s="4">
        <v>0</v>
      </c>
      <c r="H737" s="8">
        <v>0</v>
      </c>
      <c r="I737" s="4">
        <v>0</v>
      </c>
    </row>
    <row r="738" spans="1:9" x14ac:dyDescent="0.2">
      <c r="A738" s="2">
        <v>13</v>
      </c>
      <c r="B738" s="1" t="s">
        <v>101</v>
      </c>
      <c r="C738" s="4">
        <v>1</v>
      </c>
      <c r="D738" s="8">
        <v>1.72</v>
      </c>
      <c r="E738" s="4">
        <v>0</v>
      </c>
      <c r="F738" s="8">
        <v>0</v>
      </c>
      <c r="G738" s="4">
        <v>1</v>
      </c>
      <c r="H738" s="8">
        <v>3.45</v>
      </c>
      <c r="I738" s="4">
        <v>0</v>
      </c>
    </row>
    <row r="739" spans="1:9" x14ac:dyDescent="0.2">
      <c r="A739" s="2">
        <v>13</v>
      </c>
      <c r="B739" s="1" t="s">
        <v>120</v>
      </c>
      <c r="C739" s="4">
        <v>1</v>
      </c>
      <c r="D739" s="8">
        <v>1.72</v>
      </c>
      <c r="E739" s="4">
        <v>1</v>
      </c>
      <c r="F739" s="8">
        <v>3.7</v>
      </c>
      <c r="G739" s="4">
        <v>0</v>
      </c>
      <c r="H739" s="8">
        <v>0</v>
      </c>
      <c r="I739" s="4">
        <v>0</v>
      </c>
    </row>
    <row r="740" spans="1:9" x14ac:dyDescent="0.2">
      <c r="A740" s="2">
        <v>13</v>
      </c>
      <c r="B740" s="1" t="s">
        <v>140</v>
      </c>
      <c r="C740" s="4">
        <v>1</v>
      </c>
      <c r="D740" s="8">
        <v>1.72</v>
      </c>
      <c r="E740" s="4">
        <v>0</v>
      </c>
      <c r="F740" s="8">
        <v>0</v>
      </c>
      <c r="G740" s="4">
        <v>0</v>
      </c>
      <c r="H740" s="8">
        <v>0</v>
      </c>
      <c r="I740" s="4">
        <v>0</v>
      </c>
    </row>
    <row r="741" spans="1:9" x14ac:dyDescent="0.2">
      <c r="A741" s="1"/>
      <c r="C741" s="4"/>
      <c r="D741" s="8"/>
      <c r="E741" s="4"/>
      <c r="F741" s="8"/>
      <c r="G741" s="4"/>
      <c r="H741" s="8"/>
      <c r="I741" s="4"/>
    </row>
    <row r="742" spans="1:9" x14ac:dyDescent="0.2">
      <c r="A742" s="1" t="s">
        <v>30</v>
      </c>
      <c r="C742" s="4"/>
      <c r="D742" s="8"/>
      <c r="E742" s="4"/>
      <c r="F742" s="8"/>
      <c r="G742" s="4"/>
      <c r="H742" s="8"/>
      <c r="I742" s="4"/>
    </row>
    <row r="743" spans="1:9" x14ac:dyDescent="0.2">
      <c r="A743" s="2">
        <v>1</v>
      </c>
      <c r="B743" s="1" t="s">
        <v>89</v>
      </c>
      <c r="C743" s="4">
        <v>18</v>
      </c>
      <c r="D743" s="8">
        <v>15</v>
      </c>
      <c r="E743" s="4">
        <v>14</v>
      </c>
      <c r="F743" s="8">
        <v>17.28</v>
      </c>
      <c r="G743" s="4">
        <v>4</v>
      </c>
      <c r="H743" s="8">
        <v>10.53</v>
      </c>
      <c r="I743" s="4">
        <v>0</v>
      </c>
    </row>
    <row r="744" spans="1:9" x14ac:dyDescent="0.2">
      <c r="A744" s="2">
        <v>2</v>
      </c>
      <c r="B744" s="1" t="s">
        <v>83</v>
      </c>
      <c r="C744" s="4">
        <v>14</v>
      </c>
      <c r="D744" s="8">
        <v>11.67</v>
      </c>
      <c r="E744" s="4">
        <v>9</v>
      </c>
      <c r="F744" s="8">
        <v>11.11</v>
      </c>
      <c r="G744" s="4">
        <v>5</v>
      </c>
      <c r="H744" s="8">
        <v>13.16</v>
      </c>
      <c r="I744" s="4">
        <v>0</v>
      </c>
    </row>
    <row r="745" spans="1:9" x14ac:dyDescent="0.2">
      <c r="A745" s="2">
        <v>3</v>
      </c>
      <c r="B745" s="1" t="s">
        <v>97</v>
      </c>
      <c r="C745" s="4">
        <v>12</v>
      </c>
      <c r="D745" s="8">
        <v>10</v>
      </c>
      <c r="E745" s="4">
        <v>12</v>
      </c>
      <c r="F745" s="8">
        <v>14.81</v>
      </c>
      <c r="G745" s="4">
        <v>0</v>
      </c>
      <c r="H745" s="8">
        <v>0</v>
      </c>
      <c r="I745" s="4">
        <v>0</v>
      </c>
    </row>
    <row r="746" spans="1:9" x14ac:dyDescent="0.2">
      <c r="A746" s="2">
        <v>4</v>
      </c>
      <c r="B746" s="1" t="s">
        <v>95</v>
      </c>
      <c r="C746" s="4">
        <v>11</v>
      </c>
      <c r="D746" s="8">
        <v>9.17</v>
      </c>
      <c r="E746" s="4">
        <v>8</v>
      </c>
      <c r="F746" s="8">
        <v>9.8800000000000008</v>
      </c>
      <c r="G746" s="4">
        <v>3</v>
      </c>
      <c r="H746" s="8">
        <v>7.89</v>
      </c>
      <c r="I746" s="4">
        <v>0</v>
      </c>
    </row>
    <row r="747" spans="1:9" x14ac:dyDescent="0.2">
      <c r="A747" s="2">
        <v>4</v>
      </c>
      <c r="B747" s="1" t="s">
        <v>96</v>
      </c>
      <c r="C747" s="4">
        <v>11</v>
      </c>
      <c r="D747" s="8">
        <v>9.17</v>
      </c>
      <c r="E747" s="4">
        <v>10</v>
      </c>
      <c r="F747" s="8">
        <v>12.35</v>
      </c>
      <c r="G747" s="4">
        <v>1</v>
      </c>
      <c r="H747" s="8">
        <v>2.63</v>
      </c>
      <c r="I747" s="4">
        <v>0</v>
      </c>
    </row>
    <row r="748" spans="1:9" x14ac:dyDescent="0.2">
      <c r="A748" s="2">
        <v>6</v>
      </c>
      <c r="B748" s="1" t="s">
        <v>91</v>
      </c>
      <c r="C748" s="4">
        <v>9</v>
      </c>
      <c r="D748" s="8">
        <v>7.5</v>
      </c>
      <c r="E748" s="4">
        <v>5</v>
      </c>
      <c r="F748" s="8">
        <v>6.17</v>
      </c>
      <c r="G748" s="4">
        <v>4</v>
      </c>
      <c r="H748" s="8">
        <v>10.53</v>
      </c>
      <c r="I748" s="4">
        <v>0</v>
      </c>
    </row>
    <row r="749" spans="1:9" x14ac:dyDescent="0.2">
      <c r="A749" s="2">
        <v>7</v>
      </c>
      <c r="B749" s="1" t="s">
        <v>84</v>
      </c>
      <c r="C749" s="4">
        <v>7</v>
      </c>
      <c r="D749" s="8">
        <v>5.83</v>
      </c>
      <c r="E749" s="4">
        <v>6</v>
      </c>
      <c r="F749" s="8">
        <v>7.41</v>
      </c>
      <c r="G749" s="4">
        <v>1</v>
      </c>
      <c r="H749" s="8">
        <v>2.63</v>
      </c>
      <c r="I749" s="4">
        <v>0</v>
      </c>
    </row>
    <row r="750" spans="1:9" x14ac:dyDescent="0.2">
      <c r="A750" s="2">
        <v>8</v>
      </c>
      <c r="B750" s="1" t="s">
        <v>85</v>
      </c>
      <c r="C750" s="4">
        <v>4</v>
      </c>
      <c r="D750" s="8">
        <v>3.33</v>
      </c>
      <c r="E750" s="4">
        <v>2</v>
      </c>
      <c r="F750" s="8">
        <v>2.4700000000000002</v>
      </c>
      <c r="G750" s="4">
        <v>2</v>
      </c>
      <c r="H750" s="8">
        <v>5.26</v>
      </c>
      <c r="I750" s="4">
        <v>0</v>
      </c>
    </row>
    <row r="751" spans="1:9" x14ac:dyDescent="0.2">
      <c r="A751" s="2">
        <v>8</v>
      </c>
      <c r="B751" s="1" t="s">
        <v>90</v>
      </c>
      <c r="C751" s="4">
        <v>4</v>
      </c>
      <c r="D751" s="8">
        <v>3.33</v>
      </c>
      <c r="E751" s="4">
        <v>4</v>
      </c>
      <c r="F751" s="8">
        <v>4.9400000000000004</v>
      </c>
      <c r="G751" s="4">
        <v>0</v>
      </c>
      <c r="H751" s="8">
        <v>0</v>
      </c>
      <c r="I751" s="4">
        <v>0</v>
      </c>
    </row>
    <row r="752" spans="1:9" x14ac:dyDescent="0.2">
      <c r="A752" s="2">
        <v>8</v>
      </c>
      <c r="B752" s="1" t="s">
        <v>94</v>
      </c>
      <c r="C752" s="4">
        <v>4</v>
      </c>
      <c r="D752" s="8">
        <v>3.33</v>
      </c>
      <c r="E752" s="4">
        <v>4</v>
      </c>
      <c r="F752" s="8">
        <v>4.9400000000000004</v>
      </c>
      <c r="G752" s="4">
        <v>0</v>
      </c>
      <c r="H752" s="8">
        <v>0</v>
      </c>
      <c r="I752" s="4">
        <v>0</v>
      </c>
    </row>
    <row r="753" spans="1:9" x14ac:dyDescent="0.2">
      <c r="A753" s="2">
        <v>11</v>
      </c>
      <c r="B753" s="1" t="s">
        <v>88</v>
      </c>
      <c r="C753" s="4">
        <v>3</v>
      </c>
      <c r="D753" s="8">
        <v>2.5</v>
      </c>
      <c r="E753" s="4">
        <v>1</v>
      </c>
      <c r="F753" s="8">
        <v>1.23</v>
      </c>
      <c r="G753" s="4">
        <v>2</v>
      </c>
      <c r="H753" s="8">
        <v>5.26</v>
      </c>
      <c r="I753" s="4">
        <v>0</v>
      </c>
    </row>
    <row r="754" spans="1:9" x14ac:dyDescent="0.2">
      <c r="A754" s="2">
        <v>11</v>
      </c>
      <c r="B754" s="1" t="s">
        <v>101</v>
      </c>
      <c r="C754" s="4">
        <v>3</v>
      </c>
      <c r="D754" s="8">
        <v>2.5</v>
      </c>
      <c r="E754" s="4">
        <v>0</v>
      </c>
      <c r="F754" s="8">
        <v>0</v>
      </c>
      <c r="G754" s="4">
        <v>3</v>
      </c>
      <c r="H754" s="8">
        <v>7.89</v>
      </c>
      <c r="I754" s="4">
        <v>0</v>
      </c>
    </row>
    <row r="755" spans="1:9" x14ac:dyDescent="0.2">
      <c r="A755" s="2">
        <v>13</v>
      </c>
      <c r="B755" s="1" t="s">
        <v>113</v>
      </c>
      <c r="C755" s="4">
        <v>2</v>
      </c>
      <c r="D755" s="8">
        <v>1.67</v>
      </c>
      <c r="E755" s="4">
        <v>1</v>
      </c>
      <c r="F755" s="8">
        <v>1.23</v>
      </c>
      <c r="G755" s="4">
        <v>1</v>
      </c>
      <c r="H755" s="8">
        <v>2.63</v>
      </c>
      <c r="I755" s="4">
        <v>0</v>
      </c>
    </row>
    <row r="756" spans="1:9" x14ac:dyDescent="0.2">
      <c r="A756" s="2">
        <v>13</v>
      </c>
      <c r="B756" s="1" t="s">
        <v>98</v>
      </c>
      <c r="C756" s="4">
        <v>2</v>
      </c>
      <c r="D756" s="8">
        <v>1.67</v>
      </c>
      <c r="E756" s="4">
        <v>0</v>
      </c>
      <c r="F756" s="8">
        <v>0</v>
      </c>
      <c r="G756" s="4">
        <v>2</v>
      </c>
      <c r="H756" s="8">
        <v>5.26</v>
      </c>
      <c r="I756" s="4">
        <v>0</v>
      </c>
    </row>
    <row r="757" spans="1:9" x14ac:dyDescent="0.2">
      <c r="A757" s="2">
        <v>13</v>
      </c>
      <c r="B757" s="1" t="s">
        <v>129</v>
      </c>
      <c r="C757" s="4">
        <v>2</v>
      </c>
      <c r="D757" s="8">
        <v>1.67</v>
      </c>
      <c r="E757" s="4">
        <v>0</v>
      </c>
      <c r="F757" s="8">
        <v>0</v>
      </c>
      <c r="G757" s="4">
        <v>2</v>
      </c>
      <c r="H757" s="8">
        <v>5.26</v>
      </c>
      <c r="I757" s="4">
        <v>0</v>
      </c>
    </row>
    <row r="758" spans="1:9" x14ac:dyDescent="0.2">
      <c r="A758" s="2">
        <v>13</v>
      </c>
      <c r="B758" s="1" t="s">
        <v>108</v>
      </c>
      <c r="C758" s="4">
        <v>2</v>
      </c>
      <c r="D758" s="8">
        <v>1.67</v>
      </c>
      <c r="E758" s="4">
        <v>0</v>
      </c>
      <c r="F758" s="8">
        <v>0</v>
      </c>
      <c r="G758" s="4">
        <v>2</v>
      </c>
      <c r="H758" s="8">
        <v>5.26</v>
      </c>
      <c r="I758" s="4">
        <v>0</v>
      </c>
    </row>
    <row r="759" spans="1:9" x14ac:dyDescent="0.2">
      <c r="A759" s="2">
        <v>17</v>
      </c>
      <c r="B759" s="1" t="s">
        <v>124</v>
      </c>
      <c r="C759" s="4">
        <v>1</v>
      </c>
      <c r="D759" s="8">
        <v>0.83</v>
      </c>
      <c r="E759" s="4">
        <v>1</v>
      </c>
      <c r="F759" s="8">
        <v>1.23</v>
      </c>
      <c r="G759" s="4">
        <v>0</v>
      </c>
      <c r="H759" s="8">
        <v>0</v>
      </c>
      <c r="I759" s="4">
        <v>0</v>
      </c>
    </row>
    <row r="760" spans="1:9" x14ac:dyDescent="0.2">
      <c r="A760" s="2">
        <v>17</v>
      </c>
      <c r="B760" s="1" t="s">
        <v>114</v>
      </c>
      <c r="C760" s="4">
        <v>1</v>
      </c>
      <c r="D760" s="8">
        <v>0.83</v>
      </c>
      <c r="E760" s="4">
        <v>0</v>
      </c>
      <c r="F760" s="8">
        <v>0</v>
      </c>
      <c r="G760" s="4">
        <v>1</v>
      </c>
      <c r="H760" s="8">
        <v>2.63</v>
      </c>
      <c r="I760" s="4">
        <v>0</v>
      </c>
    </row>
    <row r="761" spans="1:9" x14ac:dyDescent="0.2">
      <c r="A761" s="2">
        <v>17</v>
      </c>
      <c r="B761" s="1" t="s">
        <v>142</v>
      </c>
      <c r="C761" s="4">
        <v>1</v>
      </c>
      <c r="D761" s="8">
        <v>0.83</v>
      </c>
      <c r="E761" s="4">
        <v>0</v>
      </c>
      <c r="F761" s="8">
        <v>0</v>
      </c>
      <c r="G761" s="4">
        <v>1</v>
      </c>
      <c r="H761" s="8">
        <v>2.63</v>
      </c>
      <c r="I761" s="4">
        <v>0</v>
      </c>
    </row>
    <row r="762" spans="1:9" x14ac:dyDescent="0.2">
      <c r="A762" s="2">
        <v>17</v>
      </c>
      <c r="B762" s="1" t="s">
        <v>105</v>
      </c>
      <c r="C762" s="4">
        <v>1</v>
      </c>
      <c r="D762" s="8">
        <v>0.83</v>
      </c>
      <c r="E762" s="4">
        <v>1</v>
      </c>
      <c r="F762" s="8">
        <v>1.23</v>
      </c>
      <c r="G762" s="4">
        <v>0</v>
      </c>
      <c r="H762" s="8">
        <v>0</v>
      </c>
      <c r="I762" s="4">
        <v>0</v>
      </c>
    </row>
    <row r="763" spans="1:9" x14ac:dyDescent="0.2">
      <c r="A763" s="2">
        <v>17</v>
      </c>
      <c r="B763" s="1" t="s">
        <v>127</v>
      </c>
      <c r="C763" s="4">
        <v>1</v>
      </c>
      <c r="D763" s="8">
        <v>0.83</v>
      </c>
      <c r="E763" s="4">
        <v>0</v>
      </c>
      <c r="F763" s="8">
        <v>0</v>
      </c>
      <c r="G763" s="4">
        <v>0</v>
      </c>
      <c r="H763" s="8">
        <v>0</v>
      </c>
      <c r="I763" s="4">
        <v>0</v>
      </c>
    </row>
    <row r="764" spans="1:9" x14ac:dyDescent="0.2">
      <c r="A764" s="2">
        <v>17</v>
      </c>
      <c r="B764" s="1" t="s">
        <v>147</v>
      </c>
      <c r="C764" s="4">
        <v>1</v>
      </c>
      <c r="D764" s="8">
        <v>0.83</v>
      </c>
      <c r="E764" s="4">
        <v>0</v>
      </c>
      <c r="F764" s="8">
        <v>0</v>
      </c>
      <c r="G764" s="4">
        <v>1</v>
      </c>
      <c r="H764" s="8">
        <v>2.63</v>
      </c>
      <c r="I764" s="4">
        <v>0</v>
      </c>
    </row>
    <row r="765" spans="1:9" x14ac:dyDescent="0.2">
      <c r="A765" s="2">
        <v>17</v>
      </c>
      <c r="B765" s="1" t="s">
        <v>106</v>
      </c>
      <c r="C765" s="4">
        <v>1</v>
      </c>
      <c r="D765" s="8">
        <v>0.83</v>
      </c>
      <c r="E765" s="4">
        <v>0</v>
      </c>
      <c r="F765" s="8">
        <v>0</v>
      </c>
      <c r="G765" s="4">
        <v>1</v>
      </c>
      <c r="H765" s="8">
        <v>2.63</v>
      </c>
      <c r="I765" s="4">
        <v>0</v>
      </c>
    </row>
    <row r="766" spans="1:9" x14ac:dyDescent="0.2">
      <c r="A766" s="2">
        <v>17</v>
      </c>
      <c r="B766" s="1" t="s">
        <v>148</v>
      </c>
      <c r="C766" s="4">
        <v>1</v>
      </c>
      <c r="D766" s="8">
        <v>0.83</v>
      </c>
      <c r="E766" s="4">
        <v>1</v>
      </c>
      <c r="F766" s="8">
        <v>1.23</v>
      </c>
      <c r="G766" s="4">
        <v>0</v>
      </c>
      <c r="H766" s="8">
        <v>0</v>
      </c>
      <c r="I766" s="4">
        <v>0</v>
      </c>
    </row>
    <row r="767" spans="1:9" x14ac:dyDescent="0.2">
      <c r="A767" s="2">
        <v>17</v>
      </c>
      <c r="B767" s="1" t="s">
        <v>92</v>
      </c>
      <c r="C767" s="4">
        <v>1</v>
      </c>
      <c r="D767" s="8">
        <v>0.83</v>
      </c>
      <c r="E767" s="4">
        <v>1</v>
      </c>
      <c r="F767" s="8">
        <v>1.23</v>
      </c>
      <c r="G767" s="4">
        <v>0</v>
      </c>
      <c r="H767" s="8">
        <v>0</v>
      </c>
      <c r="I767" s="4">
        <v>0</v>
      </c>
    </row>
    <row r="768" spans="1:9" x14ac:dyDescent="0.2">
      <c r="A768" s="2">
        <v>17</v>
      </c>
      <c r="B768" s="1" t="s">
        <v>139</v>
      </c>
      <c r="C768" s="4">
        <v>1</v>
      </c>
      <c r="D768" s="8">
        <v>0.83</v>
      </c>
      <c r="E768" s="4">
        <v>0</v>
      </c>
      <c r="F768" s="8">
        <v>0</v>
      </c>
      <c r="G768" s="4">
        <v>1</v>
      </c>
      <c r="H768" s="8">
        <v>2.63</v>
      </c>
      <c r="I768" s="4">
        <v>0</v>
      </c>
    </row>
    <row r="769" spans="1:9" x14ac:dyDescent="0.2">
      <c r="A769" s="2">
        <v>17</v>
      </c>
      <c r="B769" s="1" t="s">
        <v>93</v>
      </c>
      <c r="C769" s="4">
        <v>1</v>
      </c>
      <c r="D769" s="8">
        <v>0.83</v>
      </c>
      <c r="E769" s="4">
        <v>1</v>
      </c>
      <c r="F769" s="8">
        <v>1.23</v>
      </c>
      <c r="G769" s="4">
        <v>0</v>
      </c>
      <c r="H769" s="8">
        <v>0</v>
      </c>
      <c r="I769" s="4">
        <v>0</v>
      </c>
    </row>
    <row r="770" spans="1:9" x14ac:dyDescent="0.2">
      <c r="A770" s="2">
        <v>17</v>
      </c>
      <c r="B770" s="1" t="s">
        <v>123</v>
      </c>
      <c r="C770" s="4">
        <v>1</v>
      </c>
      <c r="D770" s="8">
        <v>0.83</v>
      </c>
      <c r="E770" s="4">
        <v>0</v>
      </c>
      <c r="F770" s="8">
        <v>0</v>
      </c>
      <c r="G770" s="4">
        <v>1</v>
      </c>
      <c r="H770" s="8">
        <v>2.63</v>
      </c>
      <c r="I770" s="4">
        <v>0</v>
      </c>
    </row>
    <row r="771" spans="1:9" x14ac:dyDescent="0.2">
      <c r="A771" s="1"/>
      <c r="C771" s="4"/>
      <c r="D771" s="8"/>
      <c r="E771" s="4"/>
      <c r="F771" s="8"/>
      <c r="G771" s="4"/>
      <c r="H771" s="8"/>
      <c r="I771" s="4"/>
    </row>
    <row r="772" spans="1:9" x14ac:dyDescent="0.2">
      <c r="A772" s="1" t="s">
        <v>31</v>
      </c>
      <c r="C772" s="4"/>
      <c r="D772" s="8"/>
      <c r="E772" s="4"/>
      <c r="F772" s="8"/>
      <c r="G772" s="4"/>
      <c r="H772" s="8"/>
      <c r="I772" s="4"/>
    </row>
    <row r="773" spans="1:9" x14ac:dyDescent="0.2">
      <c r="A773" s="2">
        <v>1</v>
      </c>
      <c r="B773" s="1" t="s">
        <v>97</v>
      </c>
      <c r="C773" s="4">
        <v>9</v>
      </c>
      <c r="D773" s="8">
        <v>17.309999999999999</v>
      </c>
      <c r="E773" s="4">
        <v>9</v>
      </c>
      <c r="F773" s="8">
        <v>32.14</v>
      </c>
      <c r="G773" s="4">
        <v>0</v>
      </c>
      <c r="H773" s="8">
        <v>0</v>
      </c>
      <c r="I773" s="4">
        <v>0</v>
      </c>
    </row>
    <row r="774" spans="1:9" x14ac:dyDescent="0.2">
      <c r="A774" s="2">
        <v>2</v>
      </c>
      <c r="B774" s="1" t="s">
        <v>89</v>
      </c>
      <c r="C774" s="4">
        <v>6</v>
      </c>
      <c r="D774" s="8">
        <v>11.54</v>
      </c>
      <c r="E774" s="4">
        <v>4</v>
      </c>
      <c r="F774" s="8">
        <v>14.29</v>
      </c>
      <c r="G774" s="4">
        <v>1</v>
      </c>
      <c r="H774" s="8">
        <v>4.3499999999999996</v>
      </c>
      <c r="I774" s="4">
        <v>1</v>
      </c>
    </row>
    <row r="775" spans="1:9" x14ac:dyDescent="0.2">
      <c r="A775" s="2">
        <v>2</v>
      </c>
      <c r="B775" s="1" t="s">
        <v>96</v>
      </c>
      <c r="C775" s="4">
        <v>6</v>
      </c>
      <c r="D775" s="8">
        <v>11.54</v>
      </c>
      <c r="E775" s="4">
        <v>5</v>
      </c>
      <c r="F775" s="8">
        <v>17.86</v>
      </c>
      <c r="G775" s="4">
        <v>1</v>
      </c>
      <c r="H775" s="8">
        <v>4.3499999999999996</v>
      </c>
      <c r="I775" s="4">
        <v>0</v>
      </c>
    </row>
    <row r="776" spans="1:9" x14ac:dyDescent="0.2">
      <c r="A776" s="2">
        <v>4</v>
      </c>
      <c r="B776" s="1" t="s">
        <v>83</v>
      </c>
      <c r="C776" s="4">
        <v>4</v>
      </c>
      <c r="D776" s="8">
        <v>7.69</v>
      </c>
      <c r="E776" s="4">
        <v>2</v>
      </c>
      <c r="F776" s="8">
        <v>7.14</v>
      </c>
      <c r="G776" s="4">
        <v>2</v>
      </c>
      <c r="H776" s="8">
        <v>8.6999999999999993</v>
      </c>
      <c r="I776" s="4">
        <v>0</v>
      </c>
    </row>
    <row r="777" spans="1:9" x14ac:dyDescent="0.2">
      <c r="A777" s="2">
        <v>4</v>
      </c>
      <c r="B777" s="1" t="s">
        <v>95</v>
      </c>
      <c r="C777" s="4">
        <v>4</v>
      </c>
      <c r="D777" s="8">
        <v>7.69</v>
      </c>
      <c r="E777" s="4">
        <v>1</v>
      </c>
      <c r="F777" s="8">
        <v>3.57</v>
      </c>
      <c r="G777" s="4">
        <v>3</v>
      </c>
      <c r="H777" s="8">
        <v>13.04</v>
      </c>
      <c r="I777" s="4">
        <v>0</v>
      </c>
    </row>
    <row r="778" spans="1:9" x14ac:dyDescent="0.2">
      <c r="A778" s="2">
        <v>6</v>
      </c>
      <c r="B778" s="1" t="s">
        <v>84</v>
      </c>
      <c r="C778" s="4">
        <v>3</v>
      </c>
      <c r="D778" s="8">
        <v>5.77</v>
      </c>
      <c r="E778" s="4">
        <v>2</v>
      </c>
      <c r="F778" s="8">
        <v>7.14</v>
      </c>
      <c r="G778" s="4">
        <v>1</v>
      </c>
      <c r="H778" s="8">
        <v>4.3499999999999996</v>
      </c>
      <c r="I778" s="4">
        <v>0</v>
      </c>
    </row>
    <row r="779" spans="1:9" x14ac:dyDescent="0.2">
      <c r="A779" s="2">
        <v>6</v>
      </c>
      <c r="B779" s="1" t="s">
        <v>91</v>
      </c>
      <c r="C779" s="4">
        <v>3</v>
      </c>
      <c r="D779" s="8">
        <v>5.77</v>
      </c>
      <c r="E779" s="4">
        <v>1</v>
      </c>
      <c r="F779" s="8">
        <v>3.57</v>
      </c>
      <c r="G779" s="4">
        <v>2</v>
      </c>
      <c r="H779" s="8">
        <v>8.6999999999999993</v>
      </c>
      <c r="I779" s="4">
        <v>0</v>
      </c>
    </row>
    <row r="780" spans="1:9" x14ac:dyDescent="0.2">
      <c r="A780" s="2">
        <v>8</v>
      </c>
      <c r="B780" s="1" t="s">
        <v>110</v>
      </c>
      <c r="C780" s="4">
        <v>2</v>
      </c>
      <c r="D780" s="8">
        <v>3.85</v>
      </c>
      <c r="E780" s="4">
        <v>0</v>
      </c>
      <c r="F780" s="8">
        <v>0</v>
      </c>
      <c r="G780" s="4">
        <v>2</v>
      </c>
      <c r="H780" s="8">
        <v>8.6999999999999993</v>
      </c>
      <c r="I780" s="4">
        <v>0</v>
      </c>
    </row>
    <row r="781" spans="1:9" x14ac:dyDescent="0.2">
      <c r="A781" s="2">
        <v>8</v>
      </c>
      <c r="B781" s="1" t="s">
        <v>124</v>
      </c>
      <c r="C781" s="4">
        <v>2</v>
      </c>
      <c r="D781" s="8">
        <v>3.85</v>
      </c>
      <c r="E781" s="4">
        <v>0</v>
      </c>
      <c r="F781" s="8">
        <v>0</v>
      </c>
      <c r="G781" s="4">
        <v>2</v>
      </c>
      <c r="H781" s="8">
        <v>8.6999999999999993</v>
      </c>
      <c r="I781" s="4">
        <v>0</v>
      </c>
    </row>
    <row r="782" spans="1:9" x14ac:dyDescent="0.2">
      <c r="A782" s="2">
        <v>8</v>
      </c>
      <c r="B782" s="1" t="s">
        <v>92</v>
      </c>
      <c r="C782" s="4">
        <v>2</v>
      </c>
      <c r="D782" s="8">
        <v>3.85</v>
      </c>
      <c r="E782" s="4">
        <v>0</v>
      </c>
      <c r="F782" s="8">
        <v>0</v>
      </c>
      <c r="G782" s="4">
        <v>2</v>
      </c>
      <c r="H782" s="8">
        <v>8.6999999999999993</v>
      </c>
      <c r="I782" s="4">
        <v>0</v>
      </c>
    </row>
    <row r="783" spans="1:9" x14ac:dyDescent="0.2">
      <c r="A783" s="2">
        <v>8</v>
      </c>
      <c r="B783" s="1" t="s">
        <v>101</v>
      </c>
      <c r="C783" s="4">
        <v>2</v>
      </c>
      <c r="D783" s="8">
        <v>3.85</v>
      </c>
      <c r="E783" s="4">
        <v>0</v>
      </c>
      <c r="F783" s="8">
        <v>0</v>
      </c>
      <c r="G783" s="4">
        <v>2</v>
      </c>
      <c r="H783" s="8">
        <v>8.6999999999999993</v>
      </c>
      <c r="I783" s="4">
        <v>0</v>
      </c>
    </row>
    <row r="784" spans="1:9" x14ac:dyDescent="0.2">
      <c r="A784" s="2">
        <v>12</v>
      </c>
      <c r="B784" s="1" t="s">
        <v>116</v>
      </c>
      <c r="C784" s="4">
        <v>1</v>
      </c>
      <c r="D784" s="8">
        <v>1.92</v>
      </c>
      <c r="E784" s="4">
        <v>1</v>
      </c>
      <c r="F784" s="8">
        <v>3.57</v>
      </c>
      <c r="G784" s="4">
        <v>0</v>
      </c>
      <c r="H784" s="8">
        <v>0</v>
      </c>
      <c r="I784" s="4">
        <v>0</v>
      </c>
    </row>
    <row r="785" spans="1:9" x14ac:dyDescent="0.2">
      <c r="A785" s="2">
        <v>12</v>
      </c>
      <c r="B785" s="1" t="s">
        <v>149</v>
      </c>
      <c r="C785" s="4">
        <v>1</v>
      </c>
      <c r="D785" s="8">
        <v>1.92</v>
      </c>
      <c r="E785" s="4">
        <v>0</v>
      </c>
      <c r="F785" s="8">
        <v>0</v>
      </c>
      <c r="G785" s="4">
        <v>1</v>
      </c>
      <c r="H785" s="8">
        <v>4.3499999999999996</v>
      </c>
      <c r="I785" s="4">
        <v>0</v>
      </c>
    </row>
    <row r="786" spans="1:9" x14ac:dyDescent="0.2">
      <c r="A786" s="2">
        <v>12</v>
      </c>
      <c r="B786" s="1" t="s">
        <v>86</v>
      </c>
      <c r="C786" s="4">
        <v>1</v>
      </c>
      <c r="D786" s="8">
        <v>1.92</v>
      </c>
      <c r="E786" s="4">
        <v>0</v>
      </c>
      <c r="F786" s="8">
        <v>0</v>
      </c>
      <c r="G786" s="4">
        <v>1</v>
      </c>
      <c r="H786" s="8">
        <v>4.3499999999999996</v>
      </c>
      <c r="I786" s="4">
        <v>0</v>
      </c>
    </row>
    <row r="787" spans="1:9" x14ac:dyDescent="0.2">
      <c r="A787" s="2">
        <v>12</v>
      </c>
      <c r="B787" s="1" t="s">
        <v>90</v>
      </c>
      <c r="C787" s="4">
        <v>1</v>
      </c>
      <c r="D787" s="8">
        <v>1.92</v>
      </c>
      <c r="E787" s="4">
        <v>1</v>
      </c>
      <c r="F787" s="8">
        <v>3.57</v>
      </c>
      <c r="G787" s="4">
        <v>0</v>
      </c>
      <c r="H787" s="8">
        <v>0</v>
      </c>
      <c r="I787" s="4">
        <v>0</v>
      </c>
    </row>
    <row r="788" spans="1:9" x14ac:dyDescent="0.2">
      <c r="A788" s="2">
        <v>12</v>
      </c>
      <c r="B788" s="1" t="s">
        <v>109</v>
      </c>
      <c r="C788" s="4">
        <v>1</v>
      </c>
      <c r="D788" s="8">
        <v>1.92</v>
      </c>
      <c r="E788" s="4">
        <v>1</v>
      </c>
      <c r="F788" s="8">
        <v>3.57</v>
      </c>
      <c r="G788" s="4">
        <v>0</v>
      </c>
      <c r="H788" s="8">
        <v>0</v>
      </c>
      <c r="I788" s="4">
        <v>0</v>
      </c>
    </row>
    <row r="789" spans="1:9" x14ac:dyDescent="0.2">
      <c r="A789" s="2">
        <v>12</v>
      </c>
      <c r="B789" s="1" t="s">
        <v>93</v>
      </c>
      <c r="C789" s="4">
        <v>1</v>
      </c>
      <c r="D789" s="8">
        <v>1.92</v>
      </c>
      <c r="E789" s="4">
        <v>0</v>
      </c>
      <c r="F789" s="8">
        <v>0</v>
      </c>
      <c r="G789" s="4">
        <v>1</v>
      </c>
      <c r="H789" s="8">
        <v>4.3499999999999996</v>
      </c>
      <c r="I789" s="4">
        <v>0</v>
      </c>
    </row>
    <row r="790" spans="1:9" x14ac:dyDescent="0.2">
      <c r="A790" s="2">
        <v>12</v>
      </c>
      <c r="B790" s="1" t="s">
        <v>113</v>
      </c>
      <c r="C790" s="4">
        <v>1</v>
      </c>
      <c r="D790" s="8">
        <v>1.92</v>
      </c>
      <c r="E790" s="4">
        <v>0</v>
      </c>
      <c r="F790" s="8">
        <v>0</v>
      </c>
      <c r="G790" s="4">
        <v>1</v>
      </c>
      <c r="H790" s="8">
        <v>4.3499999999999996</v>
      </c>
      <c r="I790" s="4">
        <v>0</v>
      </c>
    </row>
    <row r="791" spans="1:9" x14ac:dyDescent="0.2">
      <c r="A791" s="2">
        <v>12</v>
      </c>
      <c r="B791" s="1" t="s">
        <v>102</v>
      </c>
      <c r="C791" s="4">
        <v>1</v>
      </c>
      <c r="D791" s="8">
        <v>1.92</v>
      </c>
      <c r="E791" s="4">
        <v>1</v>
      </c>
      <c r="F791" s="8">
        <v>3.57</v>
      </c>
      <c r="G791" s="4">
        <v>0</v>
      </c>
      <c r="H791" s="8">
        <v>0</v>
      </c>
      <c r="I791" s="4">
        <v>0</v>
      </c>
    </row>
    <row r="792" spans="1:9" x14ac:dyDescent="0.2">
      <c r="A792" s="2">
        <v>12</v>
      </c>
      <c r="B792" s="1" t="s">
        <v>108</v>
      </c>
      <c r="C792" s="4">
        <v>1</v>
      </c>
      <c r="D792" s="8">
        <v>1.92</v>
      </c>
      <c r="E792" s="4">
        <v>0</v>
      </c>
      <c r="F792" s="8">
        <v>0</v>
      </c>
      <c r="G792" s="4">
        <v>1</v>
      </c>
      <c r="H792" s="8">
        <v>4.3499999999999996</v>
      </c>
      <c r="I792" s="4">
        <v>0</v>
      </c>
    </row>
    <row r="793" spans="1:9" x14ac:dyDescent="0.2">
      <c r="A793" s="1"/>
      <c r="C793" s="4"/>
      <c r="D793" s="8"/>
      <c r="E793" s="4"/>
      <c r="F793" s="8"/>
      <c r="G793" s="4"/>
      <c r="H793" s="8"/>
      <c r="I793" s="4"/>
    </row>
    <row r="794" spans="1:9" x14ac:dyDescent="0.2">
      <c r="A794" s="1" t="s">
        <v>32</v>
      </c>
      <c r="C794" s="4"/>
      <c r="D794" s="8"/>
      <c r="E794" s="4"/>
      <c r="F794" s="8"/>
      <c r="G794" s="4"/>
      <c r="H794" s="8"/>
      <c r="I794" s="4"/>
    </row>
    <row r="795" spans="1:9" x14ac:dyDescent="0.2">
      <c r="A795" s="2">
        <v>1</v>
      </c>
      <c r="B795" s="1" t="s">
        <v>91</v>
      </c>
      <c r="C795" s="4">
        <v>15</v>
      </c>
      <c r="D795" s="8">
        <v>12.82</v>
      </c>
      <c r="E795" s="4">
        <v>10</v>
      </c>
      <c r="F795" s="8">
        <v>12.35</v>
      </c>
      <c r="G795" s="4">
        <v>5</v>
      </c>
      <c r="H795" s="8">
        <v>14.71</v>
      </c>
      <c r="I795" s="4">
        <v>0</v>
      </c>
    </row>
    <row r="796" spans="1:9" x14ac:dyDescent="0.2">
      <c r="A796" s="2">
        <v>2</v>
      </c>
      <c r="B796" s="1" t="s">
        <v>97</v>
      </c>
      <c r="C796" s="4">
        <v>14</v>
      </c>
      <c r="D796" s="8">
        <v>11.97</v>
      </c>
      <c r="E796" s="4">
        <v>13</v>
      </c>
      <c r="F796" s="8">
        <v>16.05</v>
      </c>
      <c r="G796" s="4">
        <v>1</v>
      </c>
      <c r="H796" s="8">
        <v>2.94</v>
      </c>
      <c r="I796" s="4">
        <v>0</v>
      </c>
    </row>
    <row r="797" spans="1:9" x14ac:dyDescent="0.2">
      <c r="A797" s="2">
        <v>3</v>
      </c>
      <c r="B797" s="1" t="s">
        <v>84</v>
      </c>
      <c r="C797" s="4">
        <v>11</v>
      </c>
      <c r="D797" s="8">
        <v>9.4</v>
      </c>
      <c r="E797" s="4">
        <v>10</v>
      </c>
      <c r="F797" s="8">
        <v>12.35</v>
      </c>
      <c r="G797" s="4">
        <v>1</v>
      </c>
      <c r="H797" s="8">
        <v>2.94</v>
      </c>
      <c r="I797" s="4">
        <v>0</v>
      </c>
    </row>
    <row r="798" spans="1:9" x14ac:dyDescent="0.2">
      <c r="A798" s="2">
        <v>3</v>
      </c>
      <c r="B798" s="1" t="s">
        <v>89</v>
      </c>
      <c r="C798" s="4">
        <v>11</v>
      </c>
      <c r="D798" s="8">
        <v>9.4</v>
      </c>
      <c r="E798" s="4">
        <v>8</v>
      </c>
      <c r="F798" s="8">
        <v>9.8800000000000008</v>
      </c>
      <c r="G798" s="4">
        <v>2</v>
      </c>
      <c r="H798" s="8">
        <v>5.88</v>
      </c>
      <c r="I798" s="4">
        <v>1</v>
      </c>
    </row>
    <row r="799" spans="1:9" x14ac:dyDescent="0.2">
      <c r="A799" s="2">
        <v>5</v>
      </c>
      <c r="B799" s="1" t="s">
        <v>95</v>
      </c>
      <c r="C799" s="4">
        <v>10</v>
      </c>
      <c r="D799" s="8">
        <v>8.5500000000000007</v>
      </c>
      <c r="E799" s="4">
        <v>7</v>
      </c>
      <c r="F799" s="8">
        <v>8.64</v>
      </c>
      <c r="G799" s="4">
        <v>3</v>
      </c>
      <c r="H799" s="8">
        <v>8.82</v>
      </c>
      <c r="I799" s="4">
        <v>0</v>
      </c>
    </row>
    <row r="800" spans="1:9" x14ac:dyDescent="0.2">
      <c r="A800" s="2">
        <v>6</v>
      </c>
      <c r="B800" s="1" t="s">
        <v>96</v>
      </c>
      <c r="C800" s="4">
        <v>9</v>
      </c>
      <c r="D800" s="8">
        <v>7.69</v>
      </c>
      <c r="E800" s="4">
        <v>8</v>
      </c>
      <c r="F800" s="8">
        <v>9.8800000000000008</v>
      </c>
      <c r="G800" s="4">
        <v>1</v>
      </c>
      <c r="H800" s="8">
        <v>2.94</v>
      </c>
      <c r="I800" s="4">
        <v>0</v>
      </c>
    </row>
    <row r="801" spans="1:9" x14ac:dyDescent="0.2">
      <c r="A801" s="2">
        <v>7</v>
      </c>
      <c r="B801" s="1" t="s">
        <v>110</v>
      </c>
      <c r="C801" s="4">
        <v>4</v>
      </c>
      <c r="D801" s="8">
        <v>3.42</v>
      </c>
      <c r="E801" s="4">
        <v>3</v>
      </c>
      <c r="F801" s="8">
        <v>3.7</v>
      </c>
      <c r="G801" s="4">
        <v>1</v>
      </c>
      <c r="H801" s="8">
        <v>2.94</v>
      </c>
      <c r="I801" s="4">
        <v>0</v>
      </c>
    </row>
    <row r="802" spans="1:9" x14ac:dyDescent="0.2">
      <c r="A802" s="2">
        <v>7</v>
      </c>
      <c r="B802" s="1" t="s">
        <v>90</v>
      </c>
      <c r="C802" s="4">
        <v>4</v>
      </c>
      <c r="D802" s="8">
        <v>3.42</v>
      </c>
      <c r="E802" s="4">
        <v>3</v>
      </c>
      <c r="F802" s="8">
        <v>3.7</v>
      </c>
      <c r="G802" s="4">
        <v>1</v>
      </c>
      <c r="H802" s="8">
        <v>2.94</v>
      </c>
      <c r="I802" s="4">
        <v>0</v>
      </c>
    </row>
    <row r="803" spans="1:9" x14ac:dyDescent="0.2">
      <c r="A803" s="2">
        <v>9</v>
      </c>
      <c r="B803" s="1" t="s">
        <v>83</v>
      </c>
      <c r="C803" s="4">
        <v>3</v>
      </c>
      <c r="D803" s="8">
        <v>2.56</v>
      </c>
      <c r="E803" s="4">
        <v>3</v>
      </c>
      <c r="F803" s="8">
        <v>3.7</v>
      </c>
      <c r="G803" s="4">
        <v>0</v>
      </c>
      <c r="H803" s="8">
        <v>0</v>
      </c>
      <c r="I803" s="4">
        <v>0</v>
      </c>
    </row>
    <row r="804" spans="1:9" x14ac:dyDescent="0.2">
      <c r="A804" s="2">
        <v>9</v>
      </c>
      <c r="B804" s="1" t="s">
        <v>106</v>
      </c>
      <c r="C804" s="4">
        <v>3</v>
      </c>
      <c r="D804" s="8">
        <v>2.56</v>
      </c>
      <c r="E804" s="4">
        <v>2</v>
      </c>
      <c r="F804" s="8">
        <v>2.4700000000000002</v>
      </c>
      <c r="G804" s="4">
        <v>1</v>
      </c>
      <c r="H804" s="8">
        <v>2.94</v>
      </c>
      <c r="I804" s="4">
        <v>0</v>
      </c>
    </row>
    <row r="805" spans="1:9" x14ac:dyDescent="0.2">
      <c r="A805" s="2">
        <v>9</v>
      </c>
      <c r="B805" s="1" t="s">
        <v>88</v>
      </c>
      <c r="C805" s="4">
        <v>3</v>
      </c>
      <c r="D805" s="8">
        <v>2.56</v>
      </c>
      <c r="E805" s="4">
        <v>3</v>
      </c>
      <c r="F805" s="8">
        <v>3.7</v>
      </c>
      <c r="G805" s="4">
        <v>0</v>
      </c>
      <c r="H805" s="8">
        <v>0</v>
      </c>
      <c r="I805" s="4">
        <v>0</v>
      </c>
    </row>
    <row r="806" spans="1:9" x14ac:dyDescent="0.2">
      <c r="A806" s="2">
        <v>9</v>
      </c>
      <c r="B806" s="1" t="s">
        <v>101</v>
      </c>
      <c r="C806" s="4">
        <v>3</v>
      </c>
      <c r="D806" s="8">
        <v>2.56</v>
      </c>
      <c r="E806" s="4">
        <v>0</v>
      </c>
      <c r="F806" s="8">
        <v>0</v>
      </c>
      <c r="G806" s="4">
        <v>3</v>
      </c>
      <c r="H806" s="8">
        <v>8.82</v>
      </c>
      <c r="I806" s="4">
        <v>0</v>
      </c>
    </row>
    <row r="807" spans="1:9" x14ac:dyDescent="0.2">
      <c r="A807" s="2">
        <v>9</v>
      </c>
      <c r="B807" s="1" t="s">
        <v>102</v>
      </c>
      <c r="C807" s="4">
        <v>3</v>
      </c>
      <c r="D807" s="8">
        <v>2.56</v>
      </c>
      <c r="E807" s="4">
        <v>3</v>
      </c>
      <c r="F807" s="8">
        <v>3.7</v>
      </c>
      <c r="G807" s="4">
        <v>0</v>
      </c>
      <c r="H807" s="8">
        <v>0</v>
      </c>
      <c r="I807" s="4">
        <v>0</v>
      </c>
    </row>
    <row r="808" spans="1:9" x14ac:dyDescent="0.2">
      <c r="A808" s="2">
        <v>14</v>
      </c>
      <c r="B808" s="1" t="s">
        <v>85</v>
      </c>
      <c r="C808" s="4">
        <v>2</v>
      </c>
      <c r="D808" s="8">
        <v>1.71</v>
      </c>
      <c r="E808" s="4">
        <v>0</v>
      </c>
      <c r="F808" s="8">
        <v>0</v>
      </c>
      <c r="G808" s="4">
        <v>2</v>
      </c>
      <c r="H808" s="8">
        <v>5.88</v>
      </c>
      <c r="I808" s="4">
        <v>0</v>
      </c>
    </row>
    <row r="809" spans="1:9" x14ac:dyDescent="0.2">
      <c r="A809" s="2">
        <v>14</v>
      </c>
      <c r="B809" s="1" t="s">
        <v>124</v>
      </c>
      <c r="C809" s="4">
        <v>2</v>
      </c>
      <c r="D809" s="8">
        <v>1.71</v>
      </c>
      <c r="E809" s="4">
        <v>1</v>
      </c>
      <c r="F809" s="8">
        <v>1.23</v>
      </c>
      <c r="G809" s="4">
        <v>1</v>
      </c>
      <c r="H809" s="8">
        <v>2.94</v>
      </c>
      <c r="I809" s="4">
        <v>0</v>
      </c>
    </row>
    <row r="810" spans="1:9" x14ac:dyDescent="0.2">
      <c r="A810" s="2">
        <v>14</v>
      </c>
      <c r="B810" s="1" t="s">
        <v>135</v>
      </c>
      <c r="C810" s="4">
        <v>2</v>
      </c>
      <c r="D810" s="8">
        <v>1.71</v>
      </c>
      <c r="E810" s="4">
        <v>0</v>
      </c>
      <c r="F810" s="8">
        <v>0</v>
      </c>
      <c r="G810" s="4">
        <v>2</v>
      </c>
      <c r="H810" s="8">
        <v>5.88</v>
      </c>
      <c r="I810" s="4">
        <v>0</v>
      </c>
    </row>
    <row r="811" spans="1:9" x14ac:dyDescent="0.2">
      <c r="A811" s="2">
        <v>14</v>
      </c>
      <c r="B811" s="1" t="s">
        <v>86</v>
      </c>
      <c r="C811" s="4">
        <v>2</v>
      </c>
      <c r="D811" s="8">
        <v>1.71</v>
      </c>
      <c r="E811" s="4">
        <v>1</v>
      </c>
      <c r="F811" s="8">
        <v>1.23</v>
      </c>
      <c r="G811" s="4">
        <v>1</v>
      </c>
      <c r="H811" s="8">
        <v>2.94</v>
      </c>
      <c r="I811" s="4">
        <v>0</v>
      </c>
    </row>
    <row r="812" spans="1:9" x14ac:dyDescent="0.2">
      <c r="A812" s="2">
        <v>14</v>
      </c>
      <c r="B812" s="1" t="s">
        <v>92</v>
      </c>
      <c r="C812" s="4">
        <v>2</v>
      </c>
      <c r="D812" s="8">
        <v>1.71</v>
      </c>
      <c r="E812" s="4">
        <v>0</v>
      </c>
      <c r="F812" s="8">
        <v>0</v>
      </c>
      <c r="G812" s="4">
        <v>2</v>
      </c>
      <c r="H812" s="8">
        <v>5.88</v>
      </c>
      <c r="I812" s="4">
        <v>0</v>
      </c>
    </row>
    <row r="813" spans="1:9" x14ac:dyDescent="0.2">
      <c r="A813" s="2">
        <v>19</v>
      </c>
      <c r="B813" s="1" t="s">
        <v>131</v>
      </c>
      <c r="C813" s="4">
        <v>1</v>
      </c>
      <c r="D813" s="8">
        <v>0.85</v>
      </c>
      <c r="E813" s="4">
        <v>1</v>
      </c>
      <c r="F813" s="8">
        <v>1.23</v>
      </c>
      <c r="G813" s="4">
        <v>0</v>
      </c>
      <c r="H813" s="8">
        <v>0</v>
      </c>
      <c r="I813" s="4">
        <v>0</v>
      </c>
    </row>
    <row r="814" spans="1:9" x14ac:dyDescent="0.2">
      <c r="A814" s="2">
        <v>19</v>
      </c>
      <c r="B814" s="1" t="s">
        <v>132</v>
      </c>
      <c r="C814" s="4">
        <v>1</v>
      </c>
      <c r="D814" s="8">
        <v>0.85</v>
      </c>
      <c r="E814" s="4">
        <v>0</v>
      </c>
      <c r="F814" s="8">
        <v>0</v>
      </c>
      <c r="G814" s="4">
        <v>1</v>
      </c>
      <c r="H814" s="8">
        <v>2.94</v>
      </c>
      <c r="I814" s="4">
        <v>0</v>
      </c>
    </row>
    <row r="815" spans="1:9" x14ac:dyDescent="0.2">
      <c r="A815" s="2">
        <v>19</v>
      </c>
      <c r="B815" s="1" t="s">
        <v>116</v>
      </c>
      <c r="C815" s="4">
        <v>1</v>
      </c>
      <c r="D815" s="8">
        <v>0.85</v>
      </c>
      <c r="E815" s="4">
        <v>1</v>
      </c>
      <c r="F815" s="8">
        <v>1.23</v>
      </c>
      <c r="G815" s="4">
        <v>0</v>
      </c>
      <c r="H815" s="8">
        <v>0</v>
      </c>
      <c r="I815" s="4">
        <v>0</v>
      </c>
    </row>
    <row r="816" spans="1:9" x14ac:dyDescent="0.2">
      <c r="A816" s="2">
        <v>19</v>
      </c>
      <c r="B816" s="1" t="s">
        <v>118</v>
      </c>
      <c r="C816" s="4">
        <v>1</v>
      </c>
      <c r="D816" s="8">
        <v>0.85</v>
      </c>
      <c r="E816" s="4">
        <v>0</v>
      </c>
      <c r="F816" s="8">
        <v>0</v>
      </c>
      <c r="G816" s="4">
        <v>1</v>
      </c>
      <c r="H816" s="8">
        <v>2.94</v>
      </c>
      <c r="I816" s="4">
        <v>0</v>
      </c>
    </row>
    <row r="817" spans="1:9" x14ac:dyDescent="0.2">
      <c r="A817" s="2">
        <v>19</v>
      </c>
      <c r="B817" s="1" t="s">
        <v>133</v>
      </c>
      <c r="C817" s="4">
        <v>1</v>
      </c>
      <c r="D817" s="8">
        <v>0.85</v>
      </c>
      <c r="E817" s="4">
        <v>1</v>
      </c>
      <c r="F817" s="8">
        <v>1.23</v>
      </c>
      <c r="G817" s="4">
        <v>0</v>
      </c>
      <c r="H817" s="8">
        <v>0</v>
      </c>
      <c r="I817" s="4">
        <v>0</v>
      </c>
    </row>
    <row r="818" spans="1:9" x14ac:dyDescent="0.2">
      <c r="A818" s="2">
        <v>19</v>
      </c>
      <c r="B818" s="1" t="s">
        <v>136</v>
      </c>
      <c r="C818" s="4">
        <v>1</v>
      </c>
      <c r="D818" s="8">
        <v>0.85</v>
      </c>
      <c r="E818" s="4">
        <v>0</v>
      </c>
      <c r="F818" s="8">
        <v>0</v>
      </c>
      <c r="G818" s="4">
        <v>1</v>
      </c>
      <c r="H818" s="8">
        <v>2.94</v>
      </c>
      <c r="I818" s="4">
        <v>0</v>
      </c>
    </row>
    <row r="819" spans="1:9" x14ac:dyDescent="0.2">
      <c r="A819" s="2">
        <v>19</v>
      </c>
      <c r="B819" s="1" t="s">
        <v>141</v>
      </c>
      <c r="C819" s="4">
        <v>1</v>
      </c>
      <c r="D819" s="8">
        <v>0.85</v>
      </c>
      <c r="E819" s="4">
        <v>0</v>
      </c>
      <c r="F819" s="8">
        <v>0</v>
      </c>
      <c r="G819" s="4">
        <v>1</v>
      </c>
      <c r="H819" s="8">
        <v>2.94</v>
      </c>
      <c r="I819" s="4">
        <v>0</v>
      </c>
    </row>
    <row r="820" spans="1:9" x14ac:dyDescent="0.2">
      <c r="A820" s="2">
        <v>19</v>
      </c>
      <c r="B820" s="1" t="s">
        <v>150</v>
      </c>
      <c r="C820" s="4">
        <v>1</v>
      </c>
      <c r="D820" s="8">
        <v>0.85</v>
      </c>
      <c r="E820" s="4">
        <v>1</v>
      </c>
      <c r="F820" s="8">
        <v>1.23</v>
      </c>
      <c r="G820" s="4">
        <v>0</v>
      </c>
      <c r="H820" s="8">
        <v>0</v>
      </c>
      <c r="I820" s="4">
        <v>0</v>
      </c>
    </row>
    <row r="821" spans="1:9" x14ac:dyDescent="0.2">
      <c r="A821" s="2">
        <v>19</v>
      </c>
      <c r="B821" s="1" t="s">
        <v>94</v>
      </c>
      <c r="C821" s="4">
        <v>1</v>
      </c>
      <c r="D821" s="8">
        <v>0.85</v>
      </c>
      <c r="E821" s="4">
        <v>0</v>
      </c>
      <c r="F821" s="8">
        <v>0</v>
      </c>
      <c r="G821" s="4">
        <v>1</v>
      </c>
      <c r="H821" s="8">
        <v>2.94</v>
      </c>
      <c r="I821" s="4">
        <v>0</v>
      </c>
    </row>
    <row r="822" spans="1:9" x14ac:dyDescent="0.2">
      <c r="A822" s="2">
        <v>19</v>
      </c>
      <c r="B822" s="1" t="s">
        <v>113</v>
      </c>
      <c r="C822" s="4">
        <v>1</v>
      </c>
      <c r="D822" s="8">
        <v>0.85</v>
      </c>
      <c r="E822" s="4">
        <v>0</v>
      </c>
      <c r="F822" s="8">
        <v>0</v>
      </c>
      <c r="G822" s="4">
        <v>1</v>
      </c>
      <c r="H822" s="8">
        <v>2.94</v>
      </c>
      <c r="I822" s="4">
        <v>0</v>
      </c>
    </row>
    <row r="823" spans="1:9" x14ac:dyDescent="0.2">
      <c r="A823" s="2">
        <v>19</v>
      </c>
      <c r="B823" s="1" t="s">
        <v>98</v>
      </c>
      <c r="C823" s="4">
        <v>1</v>
      </c>
      <c r="D823" s="8">
        <v>0.85</v>
      </c>
      <c r="E823" s="4">
        <v>1</v>
      </c>
      <c r="F823" s="8">
        <v>1.23</v>
      </c>
      <c r="G823" s="4">
        <v>0</v>
      </c>
      <c r="H823" s="8">
        <v>0</v>
      </c>
      <c r="I823" s="4">
        <v>0</v>
      </c>
    </row>
    <row r="824" spans="1:9" x14ac:dyDescent="0.2">
      <c r="A824" s="2">
        <v>19</v>
      </c>
      <c r="B824" s="1" t="s">
        <v>129</v>
      </c>
      <c r="C824" s="4">
        <v>1</v>
      </c>
      <c r="D824" s="8">
        <v>0.85</v>
      </c>
      <c r="E824" s="4">
        <v>0</v>
      </c>
      <c r="F824" s="8">
        <v>0</v>
      </c>
      <c r="G824" s="4">
        <v>1</v>
      </c>
      <c r="H824" s="8">
        <v>2.94</v>
      </c>
      <c r="I824" s="4">
        <v>0</v>
      </c>
    </row>
    <row r="825" spans="1:9" x14ac:dyDescent="0.2">
      <c r="A825" s="2">
        <v>19</v>
      </c>
      <c r="B825" s="1" t="s">
        <v>100</v>
      </c>
      <c r="C825" s="4">
        <v>1</v>
      </c>
      <c r="D825" s="8">
        <v>0.85</v>
      </c>
      <c r="E825" s="4">
        <v>1</v>
      </c>
      <c r="F825" s="8">
        <v>1.23</v>
      </c>
      <c r="G825" s="4">
        <v>0</v>
      </c>
      <c r="H825" s="8">
        <v>0</v>
      </c>
      <c r="I825" s="4">
        <v>0</v>
      </c>
    </row>
    <row r="826" spans="1:9" x14ac:dyDescent="0.2">
      <c r="A826" s="2">
        <v>19</v>
      </c>
      <c r="B826" s="1" t="s">
        <v>108</v>
      </c>
      <c r="C826" s="4">
        <v>1</v>
      </c>
      <c r="D826" s="8">
        <v>0.85</v>
      </c>
      <c r="E826" s="4">
        <v>0</v>
      </c>
      <c r="F826" s="8">
        <v>0</v>
      </c>
      <c r="G826" s="4">
        <v>0</v>
      </c>
      <c r="H826" s="8">
        <v>0</v>
      </c>
      <c r="I826" s="4">
        <v>0</v>
      </c>
    </row>
    <row r="827" spans="1:9" x14ac:dyDescent="0.2">
      <c r="A827" s="1"/>
      <c r="C827" s="4"/>
      <c r="D827" s="8"/>
      <c r="E827" s="4"/>
      <c r="F827" s="8"/>
      <c r="G827" s="4"/>
      <c r="H827" s="8"/>
      <c r="I827" s="4"/>
    </row>
    <row r="828" spans="1:9" x14ac:dyDescent="0.2">
      <c r="A828" s="1" t="s">
        <v>33</v>
      </c>
      <c r="C828" s="4"/>
      <c r="D828" s="8"/>
      <c r="E828" s="4"/>
      <c r="F828" s="8"/>
      <c r="G828" s="4"/>
      <c r="H828" s="8"/>
      <c r="I828" s="4"/>
    </row>
    <row r="829" spans="1:9" x14ac:dyDescent="0.2">
      <c r="A829" s="2">
        <v>1</v>
      </c>
      <c r="B829" s="1" t="s">
        <v>97</v>
      </c>
      <c r="C829" s="4">
        <v>7</v>
      </c>
      <c r="D829" s="8">
        <v>12.96</v>
      </c>
      <c r="E829" s="4">
        <v>7</v>
      </c>
      <c r="F829" s="8">
        <v>19.440000000000001</v>
      </c>
      <c r="G829" s="4">
        <v>0</v>
      </c>
      <c r="H829" s="8">
        <v>0</v>
      </c>
      <c r="I829" s="4">
        <v>0</v>
      </c>
    </row>
    <row r="830" spans="1:9" x14ac:dyDescent="0.2">
      <c r="A830" s="2">
        <v>2</v>
      </c>
      <c r="B830" s="1" t="s">
        <v>91</v>
      </c>
      <c r="C830" s="4">
        <v>6</v>
      </c>
      <c r="D830" s="8">
        <v>11.11</v>
      </c>
      <c r="E830" s="4">
        <v>2</v>
      </c>
      <c r="F830" s="8">
        <v>5.56</v>
      </c>
      <c r="G830" s="4">
        <v>4</v>
      </c>
      <c r="H830" s="8">
        <v>25</v>
      </c>
      <c r="I830" s="4">
        <v>0</v>
      </c>
    </row>
    <row r="831" spans="1:9" x14ac:dyDescent="0.2">
      <c r="A831" s="2">
        <v>3</v>
      </c>
      <c r="B831" s="1" t="s">
        <v>96</v>
      </c>
      <c r="C831" s="4">
        <v>5</v>
      </c>
      <c r="D831" s="8">
        <v>9.26</v>
      </c>
      <c r="E831" s="4">
        <v>4</v>
      </c>
      <c r="F831" s="8">
        <v>11.11</v>
      </c>
      <c r="G831" s="4">
        <v>1</v>
      </c>
      <c r="H831" s="8">
        <v>6.25</v>
      </c>
      <c r="I831" s="4">
        <v>0</v>
      </c>
    </row>
    <row r="832" spans="1:9" x14ac:dyDescent="0.2">
      <c r="A832" s="2">
        <v>4</v>
      </c>
      <c r="B832" s="1" t="s">
        <v>89</v>
      </c>
      <c r="C832" s="4">
        <v>4</v>
      </c>
      <c r="D832" s="8">
        <v>7.41</v>
      </c>
      <c r="E832" s="4">
        <v>2</v>
      </c>
      <c r="F832" s="8">
        <v>5.56</v>
      </c>
      <c r="G832" s="4">
        <v>2</v>
      </c>
      <c r="H832" s="8">
        <v>12.5</v>
      </c>
      <c r="I832" s="4">
        <v>0</v>
      </c>
    </row>
    <row r="833" spans="1:9" x14ac:dyDescent="0.2">
      <c r="A833" s="2">
        <v>5</v>
      </c>
      <c r="B833" s="1" t="s">
        <v>83</v>
      </c>
      <c r="C833" s="4">
        <v>3</v>
      </c>
      <c r="D833" s="8">
        <v>5.56</v>
      </c>
      <c r="E833" s="4">
        <v>1</v>
      </c>
      <c r="F833" s="8">
        <v>2.78</v>
      </c>
      <c r="G833" s="4">
        <v>2</v>
      </c>
      <c r="H833" s="8">
        <v>12.5</v>
      </c>
      <c r="I833" s="4">
        <v>0</v>
      </c>
    </row>
    <row r="834" spans="1:9" x14ac:dyDescent="0.2">
      <c r="A834" s="2">
        <v>5</v>
      </c>
      <c r="B834" s="1" t="s">
        <v>110</v>
      </c>
      <c r="C834" s="4">
        <v>3</v>
      </c>
      <c r="D834" s="8">
        <v>5.56</v>
      </c>
      <c r="E834" s="4">
        <v>2</v>
      </c>
      <c r="F834" s="8">
        <v>5.56</v>
      </c>
      <c r="G834" s="4">
        <v>1</v>
      </c>
      <c r="H834" s="8">
        <v>6.25</v>
      </c>
      <c r="I834" s="4">
        <v>0</v>
      </c>
    </row>
    <row r="835" spans="1:9" x14ac:dyDescent="0.2">
      <c r="A835" s="2">
        <v>5</v>
      </c>
      <c r="B835" s="1" t="s">
        <v>95</v>
      </c>
      <c r="C835" s="4">
        <v>3</v>
      </c>
      <c r="D835" s="8">
        <v>5.56</v>
      </c>
      <c r="E835" s="4">
        <v>3</v>
      </c>
      <c r="F835" s="8">
        <v>8.33</v>
      </c>
      <c r="G835" s="4">
        <v>0</v>
      </c>
      <c r="H835" s="8">
        <v>0</v>
      </c>
      <c r="I835" s="4">
        <v>0</v>
      </c>
    </row>
    <row r="836" spans="1:9" x14ac:dyDescent="0.2">
      <c r="A836" s="2">
        <v>8</v>
      </c>
      <c r="B836" s="1" t="s">
        <v>84</v>
      </c>
      <c r="C836" s="4">
        <v>2</v>
      </c>
      <c r="D836" s="8">
        <v>3.7</v>
      </c>
      <c r="E836" s="4">
        <v>2</v>
      </c>
      <c r="F836" s="8">
        <v>5.56</v>
      </c>
      <c r="G836" s="4">
        <v>0</v>
      </c>
      <c r="H836" s="8">
        <v>0</v>
      </c>
      <c r="I836" s="4">
        <v>0</v>
      </c>
    </row>
    <row r="837" spans="1:9" x14ac:dyDescent="0.2">
      <c r="A837" s="2">
        <v>8</v>
      </c>
      <c r="B837" s="1" t="s">
        <v>85</v>
      </c>
      <c r="C837" s="4">
        <v>2</v>
      </c>
      <c r="D837" s="8">
        <v>3.7</v>
      </c>
      <c r="E837" s="4">
        <v>2</v>
      </c>
      <c r="F837" s="8">
        <v>5.56</v>
      </c>
      <c r="G837" s="4">
        <v>0</v>
      </c>
      <c r="H837" s="8">
        <v>0</v>
      </c>
      <c r="I837" s="4">
        <v>0</v>
      </c>
    </row>
    <row r="838" spans="1:9" x14ac:dyDescent="0.2">
      <c r="A838" s="2">
        <v>8</v>
      </c>
      <c r="B838" s="1" t="s">
        <v>98</v>
      </c>
      <c r="C838" s="4">
        <v>2</v>
      </c>
      <c r="D838" s="8">
        <v>3.7</v>
      </c>
      <c r="E838" s="4">
        <v>2</v>
      </c>
      <c r="F838" s="8">
        <v>5.56</v>
      </c>
      <c r="G838" s="4">
        <v>0</v>
      </c>
      <c r="H838" s="8">
        <v>0</v>
      </c>
      <c r="I838" s="4">
        <v>0</v>
      </c>
    </row>
    <row r="839" spans="1:9" x14ac:dyDescent="0.2">
      <c r="A839" s="2">
        <v>8</v>
      </c>
      <c r="B839" s="1" t="s">
        <v>99</v>
      </c>
      <c r="C839" s="4">
        <v>2</v>
      </c>
      <c r="D839" s="8">
        <v>3.7</v>
      </c>
      <c r="E839" s="4">
        <v>0</v>
      </c>
      <c r="F839" s="8">
        <v>0</v>
      </c>
      <c r="G839" s="4">
        <v>1</v>
      </c>
      <c r="H839" s="8">
        <v>6.25</v>
      </c>
      <c r="I839" s="4">
        <v>0</v>
      </c>
    </row>
    <row r="840" spans="1:9" x14ac:dyDescent="0.2">
      <c r="A840" s="2">
        <v>12</v>
      </c>
      <c r="B840" s="1" t="s">
        <v>111</v>
      </c>
      <c r="C840" s="4">
        <v>1</v>
      </c>
      <c r="D840" s="8">
        <v>1.85</v>
      </c>
      <c r="E840" s="4">
        <v>0</v>
      </c>
      <c r="F840" s="8">
        <v>0</v>
      </c>
      <c r="G840" s="4">
        <v>1</v>
      </c>
      <c r="H840" s="8">
        <v>6.25</v>
      </c>
      <c r="I840" s="4">
        <v>0</v>
      </c>
    </row>
    <row r="841" spans="1:9" x14ac:dyDescent="0.2">
      <c r="A841" s="2">
        <v>12</v>
      </c>
      <c r="B841" s="1" t="s">
        <v>116</v>
      </c>
      <c r="C841" s="4">
        <v>1</v>
      </c>
      <c r="D841" s="8">
        <v>1.85</v>
      </c>
      <c r="E841" s="4">
        <v>1</v>
      </c>
      <c r="F841" s="8">
        <v>2.78</v>
      </c>
      <c r="G841" s="4">
        <v>0</v>
      </c>
      <c r="H841" s="8">
        <v>0</v>
      </c>
      <c r="I841" s="4">
        <v>0</v>
      </c>
    </row>
    <row r="842" spans="1:9" x14ac:dyDescent="0.2">
      <c r="A842" s="2">
        <v>12</v>
      </c>
      <c r="B842" s="1" t="s">
        <v>112</v>
      </c>
      <c r="C842" s="4">
        <v>1</v>
      </c>
      <c r="D842" s="8">
        <v>1.85</v>
      </c>
      <c r="E842" s="4">
        <v>1</v>
      </c>
      <c r="F842" s="8">
        <v>2.78</v>
      </c>
      <c r="G842" s="4">
        <v>0</v>
      </c>
      <c r="H842" s="8">
        <v>0</v>
      </c>
      <c r="I842" s="4">
        <v>0</v>
      </c>
    </row>
    <row r="843" spans="1:9" x14ac:dyDescent="0.2">
      <c r="A843" s="2">
        <v>12</v>
      </c>
      <c r="B843" s="1" t="s">
        <v>115</v>
      </c>
      <c r="C843" s="4">
        <v>1</v>
      </c>
      <c r="D843" s="8">
        <v>1.85</v>
      </c>
      <c r="E843" s="4">
        <v>1</v>
      </c>
      <c r="F843" s="8">
        <v>2.78</v>
      </c>
      <c r="G843" s="4">
        <v>0</v>
      </c>
      <c r="H843" s="8">
        <v>0</v>
      </c>
      <c r="I843" s="4">
        <v>0</v>
      </c>
    </row>
    <row r="844" spans="1:9" x14ac:dyDescent="0.2">
      <c r="A844" s="2">
        <v>12</v>
      </c>
      <c r="B844" s="1" t="s">
        <v>105</v>
      </c>
      <c r="C844" s="4">
        <v>1</v>
      </c>
      <c r="D844" s="8">
        <v>1.85</v>
      </c>
      <c r="E844" s="4">
        <v>1</v>
      </c>
      <c r="F844" s="8">
        <v>2.78</v>
      </c>
      <c r="G844" s="4">
        <v>0</v>
      </c>
      <c r="H844" s="8">
        <v>0</v>
      </c>
      <c r="I844" s="4">
        <v>0</v>
      </c>
    </row>
    <row r="845" spans="1:9" x14ac:dyDescent="0.2">
      <c r="A845" s="2">
        <v>12</v>
      </c>
      <c r="B845" s="1" t="s">
        <v>136</v>
      </c>
      <c r="C845" s="4">
        <v>1</v>
      </c>
      <c r="D845" s="8">
        <v>1.85</v>
      </c>
      <c r="E845" s="4">
        <v>0</v>
      </c>
      <c r="F845" s="8">
        <v>0</v>
      </c>
      <c r="G845" s="4">
        <v>1</v>
      </c>
      <c r="H845" s="8">
        <v>6.25</v>
      </c>
      <c r="I845" s="4">
        <v>0</v>
      </c>
    </row>
    <row r="846" spans="1:9" x14ac:dyDescent="0.2">
      <c r="A846" s="2">
        <v>12</v>
      </c>
      <c r="B846" s="1" t="s">
        <v>106</v>
      </c>
      <c r="C846" s="4">
        <v>1</v>
      </c>
      <c r="D846" s="8">
        <v>1.85</v>
      </c>
      <c r="E846" s="4">
        <v>1</v>
      </c>
      <c r="F846" s="8">
        <v>2.78</v>
      </c>
      <c r="G846" s="4">
        <v>0</v>
      </c>
      <c r="H846" s="8">
        <v>0</v>
      </c>
      <c r="I846" s="4">
        <v>0</v>
      </c>
    </row>
    <row r="847" spans="1:9" x14ac:dyDescent="0.2">
      <c r="A847" s="2">
        <v>12</v>
      </c>
      <c r="B847" s="1" t="s">
        <v>148</v>
      </c>
      <c r="C847" s="4">
        <v>1</v>
      </c>
      <c r="D847" s="8">
        <v>1.85</v>
      </c>
      <c r="E847" s="4">
        <v>0</v>
      </c>
      <c r="F847" s="8">
        <v>0</v>
      </c>
      <c r="G847" s="4">
        <v>1</v>
      </c>
      <c r="H847" s="8">
        <v>6.25</v>
      </c>
      <c r="I847" s="4">
        <v>0</v>
      </c>
    </row>
    <row r="848" spans="1:9" x14ac:dyDescent="0.2">
      <c r="A848" s="2">
        <v>12</v>
      </c>
      <c r="B848" s="1" t="s">
        <v>88</v>
      </c>
      <c r="C848" s="4">
        <v>1</v>
      </c>
      <c r="D848" s="8">
        <v>1.85</v>
      </c>
      <c r="E848" s="4">
        <v>1</v>
      </c>
      <c r="F848" s="8">
        <v>2.78</v>
      </c>
      <c r="G848" s="4">
        <v>0</v>
      </c>
      <c r="H848" s="8">
        <v>0</v>
      </c>
      <c r="I848" s="4">
        <v>0</v>
      </c>
    </row>
    <row r="849" spans="1:9" x14ac:dyDescent="0.2">
      <c r="A849" s="2">
        <v>12</v>
      </c>
      <c r="B849" s="1" t="s">
        <v>103</v>
      </c>
      <c r="C849" s="4">
        <v>1</v>
      </c>
      <c r="D849" s="8">
        <v>1.85</v>
      </c>
      <c r="E849" s="4">
        <v>1</v>
      </c>
      <c r="F849" s="8">
        <v>2.78</v>
      </c>
      <c r="G849" s="4">
        <v>0</v>
      </c>
      <c r="H849" s="8">
        <v>0</v>
      </c>
      <c r="I849" s="4">
        <v>0</v>
      </c>
    </row>
    <row r="850" spans="1:9" x14ac:dyDescent="0.2">
      <c r="A850" s="2">
        <v>12</v>
      </c>
      <c r="B850" s="1" t="s">
        <v>113</v>
      </c>
      <c r="C850" s="4">
        <v>1</v>
      </c>
      <c r="D850" s="8">
        <v>1.85</v>
      </c>
      <c r="E850" s="4">
        <v>0</v>
      </c>
      <c r="F850" s="8">
        <v>0</v>
      </c>
      <c r="G850" s="4">
        <v>1</v>
      </c>
      <c r="H850" s="8">
        <v>6.25</v>
      </c>
      <c r="I850" s="4">
        <v>0</v>
      </c>
    </row>
    <row r="851" spans="1:9" x14ac:dyDescent="0.2">
      <c r="A851" s="2">
        <v>12</v>
      </c>
      <c r="B851" s="1" t="s">
        <v>120</v>
      </c>
      <c r="C851" s="4">
        <v>1</v>
      </c>
      <c r="D851" s="8">
        <v>1.85</v>
      </c>
      <c r="E851" s="4">
        <v>1</v>
      </c>
      <c r="F851" s="8">
        <v>2.78</v>
      </c>
      <c r="G851" s="4">
        <v>0</v>
      </c>
      <c r="H851" s="8">
        <v>0</v>
      </c>
      <c r="I851" s="4">
        <v>0</v>
      </c>
    </row>
    <row r="852" spans="1:9" x14ac:dyDescent="0.2">
      <c r="A852" s="2">
        <v>12</v>
      </c>
      <c r="B852" s="1" t="s">
        <v>102</v>
      </c>
      <c r="C852" s="4">
        <v>1</v>
      </c>
      <c r="D852" s="8">
        <v>1.85</v>
      </c>
      <c r="E852" s="4">
        <v>1</v>
      </c>
      <c r="F852" s="8">
        <v>2.78</v>
      </c>
      <c r="G852" s="4">
        <v>0</v>
      </c>
      <c r="H852" s="8">
        <v>0</v>
      </c>
      <c r="I852" s="4">
        <v>0</v>
      </c>
    </row>
    <row r="853" spans="1:9" x14ac:dyDescent="0.2">
      <c r="A853" s="2">
        <v>12</v>
      </c>
      <c r="B853" s="1" t="s">
        <v>108</v>
      </c>
      <c r="C853" s="4">
        <v>1</v>
      </c>
      <c r="D853" s="8">
        <v>1.85</v>
      </c>
      <c r="E853" s="4">
        <v>0</v>
      </c>
      <c r="F853" s="8">
        <v>0</v>
      </c>
      <c r="G853" s="4">
        <v>1</v>
      </c>
      <c r="H853" s="8">
        <v>6.25</v>
      </c>
      <c r="I853" s="4">
        <v>0</v>
      </c>
    </row>
    <row r="854" spans="1:9" x14ac:dyDescent="0.2">
      <c r="A854" s="2">
        <v>12</v>
      </c>
      <c r="B854" s="1" t="s">
        <v>140</v>
      </c>
      <c r="C854" s="4">
        <v>1</v>
      </c>
      <c r="D854" s="8">
        <v>1.85</v>
      </c>
      <c r="E854" s="4">
        <v>0</v>
      </c>
      <c r="F854" s="8">
        <v>0</v>
      </c>
      <c r="G854" s="4">
        <v>0</v>
      </c>
      <c r="H854" s="8">
        <v>0</v>
      </c>
      <c r="I854" s="4">
        <v>1</v>
      </c>
    </row>
    <row r="855" spans="1:9" x14ac:dyDescent="0.2">
      <c r="A855" s="1"/>
      <c r="C855" s="4"/>
      <c r="D855" s="8"/>
      <c r="E855" s="4"/>
      <c r="F855" s="8"/>
      <c r="G855" s="4"/>
      <c r="H855" s="8"/>
      <c r="I855" s="4"/>
    </row>
    <row r="856" spans="1:9" x14ac:dyDescent="0.2">
      <c r="A856" s="1" t="s">
        <v>34</v>
      </c>
      <c r="C856" s="4"/>
      <c r="D856" s="8"/>
      <c r="E856" s="4"/>
      <c r="F856" s="8"/>
      <c r="G856" s="4"/>
      <c r="H856" s="8"/>
      <c r="I856" s="4"/>
    </row>
    <row r="857" spans="1:9" x14ac:dyDescent="0.2">
      <c r="A857" s="2">
        <v>1</v>
      </c>
      <c r="B857" s="1" t="s">
        <v>97</v>
      </c>
      <c r="C857" s="4">
        <v>61</v>
      </c>
      <c r="D857" s="8">
        <v>13.62</v>
      </c>
      <c r="E857" s="4">
        <v>60</v>
      </c>
      <c r="F857" s="8">
        <v>20.07</v>
      </c>
      <c r="G857" s="4">
        <v>1</v>
      </c>
      <c r="H857" s="8">
        <v>0.7</v>
      </c>
      <c r="I857" s="4">
        <v>0</v>
      </c>
    </row>
    <row r="858" spans="1:9" x14ac:dyDescent="0.2">
      <c r="A858" s="2">
        <v>2</v>
      </c>
      <c r="B858" s="1" t="s">
        <v>91</v>
      </c>
      <c r="C858" s="4">
        <v>43</v>
      </c>
      <c r="D858" s="8">
        <v>9.6</v>
      </c>
      <c r="E858" s="4">
        <v>27</v>
      </c>
      <c r="F858" s="8">
        <v>9.0299999999999994</v>
      </c>
      <c r="G858" s="4">
        <v>16</v>
      </c>
      <c r="H858" s="8">
        <v>11.19</v>
      </c>
      <c r="I858" s="4">
        <v>0</v>
      </c>
    </row>
    <row r="859" spans="1:9" x14ac:dyDescent="0.2">
      <c r="A859" s="2">
        <v>3</v>
      </c>
      <c r="B859" s="1" t="s">
        <v>83</v>
      </c>
      <c r="C859" s="4">
        <v>36</v>
      </c>
      <c r="D859" s="8">
        <v>8.0399999999999991</v>
      </c>
      <c r="E859" s="4">
        <v>20</v>
      </c>
      <c r="F859" s="8">
        <v>6.69</v>
      </c>
      <c r="G859" s="4">
        <v>16</v>
      </c>
      <c r="H859" s="8">
        <v>11.19</v>
      </c>
      <c r="I859" s="4">
        <v>0</v>
      </c>
    </row>
    <row r="860" spans="1:9" x14ac:dyDescent="0.2">
      <c r="A860" s="2">
        <v>4</v>
      </c>
      <c r="B860" s="1" t="s">
        <v>96</v>
      </c>
      <c r="C860" s="4">
        <v>35</v>
      </c>
      <c r="D860" s="8">
        <v>7.81</v>
      </c>
      <c r="E860" s="4">
        <v>31</v>
      </c>
      <c r="F860" s="8">
        <v>10.37</v>
      </c>
      <c r="G860" s="4">
        <v>4</v>
      </c>
      <c r="H860" s="8">
        <v>2.8</v>
      </c>
      <c r="I860" s="4">
        <v>0</v>
      </c>
    </row>
    <row r="861" spans="1:9" x14ac:dyDescent="0.2">
      <c r="A861" s="2">
        <v>5</v>
      </c>
      <c r="B861" s="1" t="s">
        <v>84</v>
      </c>
      <c r="C861" s="4">
        <v>32</v>
      </c>
      <c r="D861" s="8">
        <v>7.14</v>
      </c>
      <c r="E861" s="4">
        <v>22</v>
      </c>
      <c r="F861" s="8">
        <v>7.36</v>
      </c>
      <c r="G861" s="4">
        <v>10</v>
      </c>
      <c r="H861" s="8">
        <v>6.99</v>
      </c>
      <c r="I861" s="4">
        <v>0</v>
      </c>
    </row>
    <row r="862" spans="1:9" x14ac:dyDescent="0.2">
      <c r="A862" s="2">
        <v>5</v>
      </c>
      <c r="B862" s="1" t="s">
        <v>89</v>
      </c>
      <c r="C862" s="4">
        <v>32</v>
      </c>
      <c r="D862" s="8">
        <v>7.14</v>
      </c>
      <c r="E862" s="4">
        <v>28</v>
      </c>
      <c r="F862" s="8">
        <v>9.36</v>
      </c>
      <c r="G862" s="4">
        <v>4</v>
      </c>
      <c r="H862" s="8">
        <v>2.8</v>
      </c>
      <c r="I862" s="4">
        <v>0</v>
      </c>
    </row>
    <row r="863" spans="1:9" x14ac:dyDescent="0.2">
      <c r="A863" s="2">
        <v>7</v>
      </c>
      <c r="B863" s="1" t="s">
        <v>85</v>
      </c>
      <c r="C863" s="4">
        <v>22</v>
      </c>
      <c r="D863" s="8">
        <v>4.91</v>
      </c>
      <c r="E863" s="4">
        <v>10</v>
      </c>
      <c r="F863" s="8">
        <v>3.34</v>
      </c>
      <c r="G863" s="4">
        <v>12</v>
      </c>
      <c r="H863" s="8">
        <v>8.39</v>
      </c>
      <c r="I863" s="4">
        <v>0</v>
      </c>
    </row>
    <row r="864" spans="1:9" x14ac:dyDescent="0.2">
      <c r="A864" s="2">
        <v>8</v>
      </c>
      <c r="B864" s="1" t="s">
        <v>90</v>
      </c>
      <c r="C864" s="4">
        <v>20</v>
      </c>
      <c r="D864" s="8">
        <v>4.46</v>
      </c>
      <c r="E864" s="4">
        <v>16</v>
      </c>
      <c r="F864" s="8">
        <v>5.35</v>
      </c>
      <c r="G864" s="4">
        <v>4</v>
      </c>
      <c r="H864" s="8">
        <v>2.8</v>
      </c>
      <c r="I864" s="4">
        <v>0</v>
      </c>
    </row>
    <row r="865" spans="1:9" x14ac:dyDescent="0.2">
      <c r="A865" s="2">
        <v>9</v>
      </c>
      <c r="B865" s="1" t="s">
        <v>88</v>
      </c>
      <c r="C865" s="4">
        <v>15</v>
      </c>
      <c r="D865" s="8">
        <v>3.35</v>
      </c>
      <c r="E865" s="4">
        <v>11</v>
      </c>
      <c r="F865" s="8">
        <v>3.68</v>
      </c>
      <c r="G865" s="4">
        <v>4</v>
      </c>
      <c r="H865" s="8">
        <v>2.8</v>
      </c>
      <c r="I865" s="4">
        <v>0</v>
      </c>
    </row>
    <row r="866" spans="1:9" x14ac:dyDescent="0.2">
      <c r="A866" s="2">
        <v>10</v>
      </c>
      <c r="B866" s="1" t="s">
        <v>99</v>
      </c>
      <c r="C866" s="4">
        <v>14</v>
      </c>
      <c r="D866" s="8">
        <v>3.13</v>
      </c>
      <c r="E866" s="4">
        <v>8</v>
      </c>
      <c r="F866" s="8">
        <v>2.68</v>
      </c>
      <c r="G866" s="4">
        <v>2</v>
      </c>
      <c r="H866" s="8">
        <v>1.4</v>
      </c>
      <c r="I866" s="4">
        <v>0</v>
      </c>
    </row>
    <row r="867" spans="1:9" x14ac:dyDescent="0.2">
      <c r="A867" s="2">
        <v>11</v>
      </c>
      <c r="B867" s="1" t="s">
        <v>110</v>
      </c>
      <c r="C867" s="4">
        <v>10</v>
      </c>
      <c r="D867" s="8">
        <v>2.23</v>
      </c>
      <c r="E867" s="4">
        <v>7</v>
      </c>
      <c r="F867" s="8">
        <v>2.34</v>
      </c>
      <c r="G867" s="4">
        <v>3</v>
      </c>
      <c r="H867" s="8">
        <v>2.1</v>
      </c>
      <c r="I867" s="4">
        <v>0</v>
      </c>
    </row>
    <row r="868" spans="1:9" x14ac:dyDescent="0.2">
      <c r="A868" s="2">
        <v>12</v>
      </c>
      <c r="B868" s="1" t="s">
        <v>106</v>
      </c>
      <c r="C868" s="4">
        <v>9</v>
      </c>
      <c r="D868" s="8">
        <v>2.0099999999999998</v>
      </c>
      <c r="E868" s="4">
        <v>4</v>
      </c>
      <c r="F868" s="8">
        <v>1.34</v>
      </c>
      <c r="G868" s="4">
        <v>5</v>
      </c>
      <c r="H868" s="8">
        <v>3.5</v>
      </c>
      <c r="I868" s="4">
        <v>0</v>
      </c>
    </row>
    <row r="869" spans="1:9" x14ac:dyDescent="0.2">
      <c r="A869" s="2">
        <v>12</v>
      </c>
      <c r="B869" s="1" t="s">
        <v>94</v>
      </c>
      <c r="C869" s="4">
        <v>9</v>
      </c>
      <c r="D869" s="8">
        <v>2.0099999999999998</v>
      </c>
      <c r="E869" s="4">
        <v>4</v>
      </c>
      <c r="F869" s="8">
        <v>1.34</v>
      </c>
      <c r="G869" s="4">
        <v>5</v>
      </c>
      <c r="H869" s="8">
        <v>3.5</v>
      </c>
      <c r="I869" s="4">
        <v>0</v>
      </c>
    </row>
    <row r="870" spans="1:9" x14ac:dyDescent="0.2">
      <c r="A870" s="2">
        <v>14</v>
      </c>
      <c r="B870" s="1" t="s">
        <v>92</v>
      </c>
      <c r="C870" s="4">
        <v>8</v>
      </c>
      <c r="D870" s="8">
        <v>1.79</v>
      </c>
      <c r="E870" s="4">
        <v>5</v>
      </c>
      <c r="F870" s="8">
        <v>1.67</v>
      </c>
      <c r="G870" s="4">
        <v>3</v>
      </c>
      <c r="H870" s="8">
        <v>2.1</v>
      </c>
      <c r="I870" s="4">
        <v>0</v>
      </c>
    </row>
    <row r="871" spans="1:9" x14ac:dyDescent="0.2">
      <c r="A871" s="2">
        <v>14</v>
      </c>
      <c r="B871" s="1" t="s">
        <v>100</v>
      </c>
      <c r="C871" s="4">
        <v>8</v>
      </c>
      <c r="D871" s="8">
        <v>1.79</v>
      </c>
      <c r="E871" s="4">
        <v>7</v>
      </c>
      <c r="F871" s="8">
        <v>2.34</v>
      </c>
      <c r="G871" s="4">
        <v>1</v>
      </c>
      <c r="H871" s="8">
        <v>0.7</v>
      </c>
      <c r="I871" s="4">
        <v>0</v>
      </c>
    </row>
    <row r="872" spans="1:9" x14ac:dyDescent="0.2">
      <c r="A872" s="2">
        <v>16</v>
      </c>
      <c r="B872" s="1" t="s">
        <v>112</v>
      </c>
      <c r="C872" s="4">
        <v>7</v>
      </c>
      <c r="D872" s="8">
        <v>1.56</v>
      </c>
      <c r="E872" s="4">
        <v>4</v>
      </c>
      <c r="F872" s="8">
        <v>1.34</v>
      </c>
      <c r="G872" s="4">
        <v>3</v>
      </c>
      <c r="H872" s="8">
        <v>2.1</v>
      </c>
      <c r="I872" s="4">
        <v>0</v>
      </c>
    </row>
    <row r="873" spans="1:9" x14ac:dyDescent="0.2">
      <c r="A873" s="2">
        <v>16</v>
      </c>
      <c r="B873" s="1" t="s">
        <v>93</v>
      </c>
      <c r="C873" s="4">
        <v>7</v>
      </c>
      <c r="D873" s="8">
        <v>1.56</v>
      </c>
      <c r="E873" s="4">
        <v>5</v>
      </c>
      <c r="F873" s="8">
        <v>1.67</v>
      </c>
      <c r="G873" s="4">
        <v>2</v>
      </c>
      <c r="H873" s="8">
        <v>1.4</v>
      </c>
      <c r="I873" s="4">
        <v>0</v>
      </c>
    </row>
    <row r="874" spans="1:9" x14ac:dyDescent="0.2">
      <c r="A874" s="2">
        <v>18</v>
      </c>
      <c r="B874" s="1" t="s">
        <v>124</v>
      </c>
      <c r="C874" s="4">
        <v>6</v>
      </c>
      <c r="D874" s="8">
        <v>1.34</v>
      </c>
      <c r="E874" s="4">
        <v>4</v>
      </c>
      <c r="F874" s="8">
        <v>1.34</v>
      </c>
      <c r="G874" s="4">
        <v>2</v>
      </c>
      <c r="H874" s="8">
        <v>1.4</v>
      </c>
      <c r="I874" s="4">
        <v>0</v>
      </c>
    </row>
    <row r="875" spans="1:9" x14ac:dyDescent="0.2">
      <c r="A875" s="2">
        <v>19</v>
      </c>
      <c r="B875" s="1" t="s">
        <v>98</v>
      </c>
      <c r="C875" s="4">
        <v>5</v>
      </c>
      <c r="D875" s="8">
        <v>1.1200000000000001</v>
      </c>
      <c r="E875" s="4">
        <v>0</v>
      </c>
      <c r="F875" s="8">
        <v>0</v>
      </c>
      <c r="G875" s="4">
        <v>5</v>
      </c>
      <c r="H875" s="8">
        <v>3.5</v>
      </c>
      <c r="I875" s="4">
        <v>0</v>
      </c>
    </row>
    <row r="876" spans="1:9" x14ac:dyDescent="0.2">
      <c r="A876" s="2">
        <v>19</v>
      </c>
      <c r="B876" s="1" t="s">
        <v>101</v>
      </c>
      <c r="C876" s="4">
        <v>5</v>
      </c>
      <c r="D876" s="8">
        <v>1.1200000000000001</v>
      </c>
      <c r="E876" s="4">
        <v>0</v>
      </c>
      <c r="F876" s="8">
        <v>0</v>
      </c>
      <c r="G876" s="4">
        <v>5</v>
      </c>
      <c r="H876" s="8">
        <v>3.5</v>
      </c>
      <c r="I876" s="4">
        <v>0</v>
      </c>
    </row>
    <row r="877" spans="1:9" x14ac:dyDescent="0.2">
      <c r="A877" s="1"/>
      <c r="C877" s="4"/>
      <c r="D877" s="8"/>
      <c r="E877" s="4"/>
      <c r="F877" s="8"/>
      <c r="G877" s="4"/>
      <c r="H877" s="8"/>
      <c r="I877" s="4"/>
    </row>
    <row r="878" spans="1:9" x14ac:dyDescent="0.2">
      <c r="A878" s="1" t="s">
        <v>35</v>
      </c>
      <c r="C878" s="4"/>
      <c r="D878" s="8"/>
      <c r="E878" s="4"/>
      <c r="F878" s="8"/>
      <c r="G878" s="4"/>
      <c r="H878" s="8"/>
      <c r="I878" s="4"/>
    </row>
    <row r="879" spans="1:9" x14ac:dyDescent="0.2">
      <c r="A879" s="2">
        <v>1</v>
      </c>
      <c r="B879" s="1" t="s">
        <v>97</v>
      </c>
      <c r="C879" s="4">
        <v>37</v>
      </c>
      <c r="D879" s="8">
        <v>9.23</v>
      </c>
      <c r="E879" s="4">
        <v>35</v>
      </c>
      <c r="F879" s="8">
        <v>17.86</v>
      </c>
      <c r="G879" s="4">
        <v>2</v>
      </c>
      <c r="H879" s="8">
        <v>1.01</v>
      </c>
      <c r="I879" s="4">
        <v>0</v>
      </c>
    </row>
    <row r="880" spans="1:9" x14ac:dyDescent="0.2">
      <c r="A880" s="2">
        <v>2</v>
      </c>
      <c r="B880" s="1" t="s">
        <v>96</v>
      </c>
      <c r="C880" s="4">
        <v>33</v>
      </c>
      <c r="D880" s="8">
        <v>8.23</v>
      </c>
      <c r="E880" s="4">
        <v>27</v>
      </c>
      <c r="F880" s="8">
        <v>13.78</v>
      </c>
      <c r="G880" s="4">
        <v>5</v>
      </c>
      <c r="H880" s="8">
        <v>2.5099999999999998</v>
      </c>
      <c r="I880" s="4">
        <v>1</v>
      </c>
    </row>
    <row r="881" spans="1:9" x14ac:dyDescent="0.2">
      <c r="A881" s="2">
        <v>3</v>
      </c>
      <c r="B881" s="1" t="s">
        <v>83</v>
      </c>
      <c r="C881" s="4">
        <v>31</v>
      </c>
      <c r="D881" s="8">
        <v>7.73</v>
      </c>
      <c r="E881" s="4">
        <v>11</v>
      </c>
      <c r="F881" s="8">
        <v>5.61</v>
      </c>
      <c r="G881" s="4">
        <v>20</v>
      </c>
      <c r="H881" s="8">
        <v>10.050000000000001</v>
      </c>
      <c r="I881" s="4">
        <v>0</v>
      </c>
    </row>
    <row r="882" spans="1:9" x14ac:dyDescent="0.2">
      <c r="A882" s="2">
        <v>4</v>
      </c>
      <c r="B882" s="1" t="s">
        <v>92</v>
      </c>
      <c r="C882" s="4">
        <v>30</v>
      </c>
      <c r="D882" s="8">
        <v>7.48</v>
      </c>
      <c r="E882" s="4">
        <v>18</v>
      </c>
      <c r="F882" s="8">
        <v>9.18</v>
      </c>
      <c r="G882" s="4">
        <v>12</v>
      </c>
      <c r="H882" s="8">
        <v>6.03</v>
      </c>
      <c r="I882" s="4">
        <v>0</v>
      </c>
    </row>
    <row r="883" spans="1:9" x14ac:dyDescent="0.2">
      <c r="A883" s="2">
        <v>5</v>
      </c>
      <c r="B883" s="1" t="s">
        <v>85</v>
      </c>
      <c r="C883" s="4">
        <v>25</v>
      </c>
      <c r="D883" s="8">
        <v>6.23</v>
      </c>
      <c r="E883" s="4">
        <v>9</v>
      </c>
      <c r="F883" s="8">
        <v>4.59</v>
      </c>
      <c r="G883" s="4">
        <v>16</v>
      </c>
      <c r="H883" s="8">
        <v>8.0399999999999991</v>
      </c>
      <c r="I883" s="4">
        <v>0</v>
      </c>
    </row>
    <row r="884" spans="1:9" x14ac:dyDescent="0.2">
      <c r="A884" s="2">
        <v>6</v>
      </c>
      <c r="B884" s="1" t="s">
        <v>84</v>
      </c>
      <c r="C884" s="4">
        <v>23</v>
      </c>
      <c r="D884" s="8">
        <v>5.74</v>
      </c>
      <c r="E884" s="4">
        <v>8</v>
      </c>
      <c r="F884" s="8">
        <v>4.08</v>
      </c>
      <c r="G884" s="4">
        <v>15</v>
      </c>
      <c r="H884" s="8">
        <v>7.54</v>
      </c>
      <c r="I884" s="4">
        <v>0</v>
      </c>
    </row>
    <row r="885" spans="1:9" x14ac:dyDescent="0.2">
      <c r="A885" s="2">
        <v>7</v>
      </c>
      <c r="B885" s="1" t="s">
        <v>99</v>
      </c>
      <c r="C885" s="4">
        <v>16</v>
      </c>
      <c r="D885" s="8">
        <v>3.99</v>
      </c>
      <c r="E885" s="4">
        <v>11</v>
      </c>
      <c r="F885" s="8">
        <v>5.61</v>
      </c>
      <c r="G885" s="4">
        <v>4</v>
      </c>
      <c r="H885" s="8">
        <v>2.0099999999999998</v>
      </c>
      <c r="I885" s="4">
        <v>1</v>
      </c>
    </row>
    <row r="886" spans="1:9" x14ac:dyDescent="0.2">
      <c r="A886" s="2">
        <v>8</v>
      </c>
      <c r="B886" s="1" t="s">
        <v>91</v>
      </c>
      <c r="C886" s="4">
        <v>15</v>
      </c>
      <c r="D886" s="8">
        <v>3.74</v>
      </c>
      <c r="E886" s="4">
        <v>8</v>
      </c>
      <c r="F886" s="8">
        <v>4.08</v>
      </c>
      <c r="G886" s="4">
        <v>7</v>
      </c>
      <c r="H886" s="8">
        <v>3.52</v>
      </c>
      <c r="I886" s="4">
        <v>0</v>
      </c>
    </row>
    <row r="887" spans="1:9" x14ac:dyDescent="0.2">
      <c r="A887" s="2">
        <v>9</v>
      </c>
      <c r="B887" s="1" t="s">
        <v>101</v>
      </c>
      <c r="C887" s="4">
        <v>14</v>
      </c>
      <c r="D887" s="8">
        <v>3.49</v>
      </c>
      <c r="E887" s="4">
        <v>0</v>
      </c>
      <c r="F887" s="8">
        <v>0</v>
      </c>
      <c r="G887" s="4">
        <v>12</v>
      </c>
      <c r="H887" s="8">
        <v>6.03</v>
      </c>
      <c r="I887" s="4">
        <v>0</v>
      </c>
    </row>
    <row r="888" spans="1:9" x14ac:dyDescent="0.2">
      <c r="A888" s="2">
        <v>10</v>
      </c>
      <c r="B888" s="1" t="s">
        <v>100</v>
      </c>
      <c r="C888" s="4">
        <v>13</v>
      </c>
      <c r="D888" s="8">
        <v>3.24</v>
      </c>
      <c r="E888" s="4">
        <v>13</v>
      </c>
      <c r="F888" s="8">
        <v>6.63</v>
      </c>
      <c r="G888" s="4">
        <v>0</v>
      </c>
      <c r="H888" s="8">
        <v>0</v>
      </c>
      <c r="I888" s="4">
        <v>0</v>
      </c>
    </row>
    <row r="889" spans="1:9" x14ac:dyDescent="0.2">
      <c r="A889" s="2">
        <v>11</v>
      </c>
      <c r="B889" s="1" t="s">
        <v>89</v>
      </c>
      <c r="C889" s="4">
        <v>11</v>
      </c>
      <c r="D889" s="8">
        <v>2.74</v>
      </c>
      <c r="E889" s="4">
        <v>8</v>
      </c>
      <c r="F889" s="8">
        <v>4.08</v>
      </c>
      <c r="G889" s="4">
        <v>3</v>
      </c>
      <c r="H889" s="8">
        <v>1.51</v>
      </c>
      <c r="I889" s="4">
        <v>0</v>
      </c>
    </row>
    <row r="890" spans="1:9" x14ac:dyDescent="0.2">
      <c r="A890" s="2">
        <v>11</v>
      </c>
      <c r="B890" s="1" t="s">
        <v>94</v>
      </c>
      <c r="C890" s="4">
        <v>11</v>
      </c>
      <c r="D890" s="8">
        <v>2.74</v>
      </c>
      <c r="E890" s="4">
        <v>4</v>
      </c>
      <c r="F890" s="8">
        <v>2.04</v>
      </c>
      <c r="G890" s="4">
        <v>7</v>
      </c>
      <c r="H890" s="8">
        <v>3.52</v>
      </c>
      <c r="I890" s="4">
        <v>0</v>
      </c>
    </row>
    <row r="891" spans="1:9" x14ac:dyDescent="0.2">
      <c r="A891" s="2">
        <v>11</v>
      </c>
      <c r="B891" s="1" t="s">
        <v>102</v>
      </c>
      <c r="C891" s="4">
        <v>11</v>
      </c>
      <c r="D891" s="8">
        <v>2.74</v>
      </c>
      <c r="E891" s="4">
        <v>6</v>
      </c>
      <c r="F891" s="8">
        <v>3.06</v>
      </c>
      <c r="G891" s="4">
        <v>5</v>
      </c>
      <c r="H891" s="8">
        <v>2.5099999999999998</v>
      </c>
      <c r="I891" s="4">
        <v>0</v>
      </c>
    </row>
    <row r="892" spans="1:9" x14ac:dyDescent="0.2">
      <c r="A892" s="2">
        <v>14</v>
      </c>
      <c r="B892" s="1" t="s">
        <v>88</v>
      </c>
      <c r="C892" s="4">
        <v>10</v>
      </c>
      <c r="D892" s="8">
        <v>2.4900000000000002</v>
      </c>
      <c r="E892" s="4">
        <v>1</v>
      </c>
      <c r="F892" s="8">
        <v>0.51</v>
      </c>
      <c r="G892" s="4">
        <v>9</v>
      </c>
      <c r="H892" s="8">
        <v>4.5199999999999996</v>
      </c>
      <c r="I892" s="4">
        <v>0</v>
      </c>
    </row>
    <row r="893" spans="1:9" x14ac:dyDescent="0.2">
      <c r="A893" s="2">
        <v>14</v>
      </c>
      <c r="B893" s="1" t="s">
        <v>113</v>
      </c>
      <c r="C893" s="4">
        <v>10</v>
      </c>
      <c r="D893" s="8">
        <v>2.4900000000000002</v>
      </c>
      <c r="E893" s="4">
        <v>1</v>
      </c>
      <c r="F893" s="8">
        <v>0.51</v>
      </c>
      <c r="G893" s="4">
        <v>8</v>
      </c>
      <c r="H893" s="8">
        <v>4.0199999999999996</v>
      </c>
      <c r="I893" s="4">
        <v>0</v>
      </c>
    </row>
    <row r="894" spans="1:9" x14ac:dyDescent="0.2">
      <c r="A894" s="2">
        <v>16</v>
      </c>
      <c r="B894" s="1" t="s">
        <v>90</v>
      </c>
      <c r="C894" s="4">
        <v>9</v>
      </c>
      <c r="D894" s="8">
        <v>2.2400000000000002</v>
      </c>
      <c r="E894" s="4">
        <v>3</v>
      </c>
      <c r="F894" s="8">
        <v>1.53</v>
      </c>
      <c r="G894" s="4">
        <v>6</v>
      </c>
      <c r="H894" s="8">
        <v>3.02</v>
      </c>
      <c r="I894" s="4">
        <v>0</v>
      </c>
    </row>
    <row r="895" spans="1:9" x14ac:dyDescent="0.2">
      <c r="A895" s="2">
        <v>17</v>
      </c>
      <c r="B895" s="1" t="s">
        <v>93</v>
      </c>
      <c r="C895" s="4">
        <v>7</v>
      </c>
      <c r="D895" s="8">
        <v>1.75</v>
      </c>
      <c r="E895" s="4">
        <v>4</v>
      </c>
      <c r="F895" s="8">
        <v>2.04</v>
      </c>
      <c r="G895" s="4">
        <v>3</v>
      </c>
      <c r="H895" s="8">
        <v>1.51</v>
      </c>
      <c r="I895" s="4">
        <v>0</v>
      </c>
    </row>
    <row r="896" spans="1:9" x14ac:dyDescent="0.2">
      <c r="A896" s="2">
        <v>18</v>
      </c>
      <c r="B896" s="1" t="s">
        <v>98</v>
      </c>
      <c r="C896" s="4">
        <v>6</v>
      </c>
      <c r="D896" s="8">
        <v>1.5</v>
      </c>
      <c r="E896" s="4">
        <v>3</v>
      </c>
      <c r="F896" s="8">
        <v>1.53</v>
      </c>
      <c r="G896" s="4">
        <v>3</v>
      </c>
      <c r="H896" s="8">
        <v>1.51</v>
      </c>
      <c r="I896" s="4">
        <v>0</v>
      </c>
    </row>
    <row r="897" spans="1:9" x14ac:dyDescent="0.2">
      <c r="A897" s="2">
        <v>18</v>
      </c>
      <c r="B897" s="1" t="s">
        <v>129</v>
      </c>
      <c r="C897" s="4">
        <v>6</v>
      </c>
      <c r="D897" s="8">
        <v>1.5</v>
      </c>
      <c r="E897" s="4">
        <v>2</v>
      </c>
      <c r="F897" s="8">
        <v>1.02</v>
      </c>
      <c r="G897" s="4">
        <v>4</v>
      </c>
      <c r="H897" s="8">
        <v>2.0099999999999998</v>
      </c>
      <c r="I897" s="4">
        <v>0</v>
      </c>
    </row>
    <row r="898" spans="1:9" x14ac:dyDescent="0.2">
      <c r="A898" s="2">
        <v>20</v>
      </c>
      <c r="B898" s="1" t="s">
        <v>115</v>
      </c>
      <c r="C898" s="4">
        <v>5</v>
      </c>
      <c r="D898" s="8">
        <v>1.25</v>
      </c>
      <c r="E898" s="4">
        <v>1</v>
      </c>
      <c r="F898" s="8">
        <v>0.51</v>
      </c>
      <c r="G898" s="4">
        <v>4</v>
      </c>
      <c r="H898" s="8">
        <v>2.0099999999999998</v>
      </c>
      <c r="I898" s="4">
        <v>0</v>
      </c>
    </row>
    <row r="899" spans="1:9" x14ac:dyDescent="0.2">
      <c r="A899" s="2">
        <v>20</v>
      </c>
      <c r="B899" s="1" t="s">
        <v>109</v>
      </c>
      <c r="C899" s="4">
        <v>5</v>
      </c>
      <c r="D899" s="8">
        <v>1.25</v>
      </c>
      <c r="E899" s="4">
        <v>0</v>
      </c>
      <c r="F899" s="8">
        <v>0</v>
      </c>
      <c r="G899" s="4">
        <v>5</v>
      </c>
      <c r="H899" s="8">
        <v>2.5099999999999998</v>
      </c>
      <c r="I899" s="4">
        <v>0</v>
      </c>
    </row>
    <row r="900" spans="1:9" x14ac:dyDescent="0.2">
      <c r="A900" s="2">
        <v>20</v>
      </c>
      <c r="B900" s="1" t="s">
        <v>95</v>
      </c>
      <c r="C900" s="4">
        <v>5</v>
      </c>
      <c r="D900" s="8">
        <v>1.25</v>
      </c>
      <c r="E900" s="4">
        <v>4</v>
      </c>
      <c r="F900" s="8">
        <v>2.04</v>
      </c>
      <c r="G900" s="4">
        <v>1</v>
      </c>
      <c r="H900" s="8">
        <v>0.5</v>
      </c>
      <c r="I900" s="4">
        <v>0</v>
      </c>
    </row>
    <row r="901" spans="1:9" x14ac:dyDescent="0.2">
      <c r="A901" s="1"/>
      <c r="C901" s="4"/>
      <c r="D901" s="8"/>
      <c r="E901" s="4"/>
      <c r="F901" s="8"/>
      <c r="G901" s="4"/>
      <c r="H901" s="8"/>
      <c r="I901" s="4"/>
    </row>
    <row r="902" spans="1:9" x14ac:dyDescent="0.2">
      <c r="A902" s="1" t="s">
        <v>36</v>
      </c>
      <c r="C902" s="4"/>
      <c r="D902" s="8"/>
      <c r="E902" s="4"/>
      <c r="F902" s="8"/>
      <c r="G902" s="4"/>
      <c r="H902" s="8"/>
      <c r="I902" s="4"/>
    </row>
    <row r="903" spans="1:9" x14ac:dyDescent="0.2">
      <c r="A903" s="2">
        <v>1</v>
      </c>
      <c r="B903" s="1" t="s">
        <v>97</v>
      </c>
      <c r="C903" s="4">
        <v>13</v>
      </c>
      <c r="D903" s="8">
        <v>10.83</v>
      </c>
      <c r="E903" s="4">
        <v>13</v>
      </c>
      <c r="F903" s="8">
        <v>22.81</v>
      </c>
      <c r="G903" s="4">
        <v>0</v>
      </c>
      <c r="H903" s="8">
        <v>0</v>
      </c>
      <c r="I903" s="4">
        <v>0</v>
      </c>
    </row>
    <row r="904" spans="1:9" x14ac:dyDescent="0.2">
      <c r="A904" s="2">
        <v>2</v>
      </c>
      <c r="B904" s="1" t="s">
        <v>83</v>
      </c>
      <c r="C904" s="4">
        <v>11</v>
      </c>
      <c r="D904" s="8">
        <v>9.17</v>
      </c>
      <c r="E904" s="4">
        <v>4</v>
      </c>
      <c r="F904" s="8">
        <v>7.02</v>
      </c>
      <c r="G904" s="4">
        <v>7</v>
      </c>
      <c r="H904" s="8">
        <v>11.86</v>
      </c>
      <c r="I904" s="4">
        <v>0</v>
      </c>
    </row>
    <row r="905" spans="1:9" x14ac:dyDescent="0.2">
      <c r="A905" s="2">
        <v>3</v>
      </c>
      <c r="B905" s="1" t="s">
        <v>96</v>
      </c>
      <c r="C905" s="4">
        <v>10</v>
      </c>
      <c r="D905" s="8">
        <v>8.33</v>
      </c>
      <c r="E905" s="4">
        <v>9</v>
      </c>
      <c r="F905" s="8">
        <v>15.79</v>
      </c>
      <c r="G905" s="4">
        <v>1</v>
      </c>
      <c r="H905" s="8">
        <v>1.69</v>
      </c>
      <c r="I905" s="4">
        <v>0</v>
      </c>
    </row>
    <row r="906" spans="1:9" x14ac:dyDescent="0.2">
      <c r="A906" s="2">
        <v>4</v>
      </c>
      <c r="B906" s="1" t="s">
        <v>102</v>
      </c>
      <c r="C906" s="4">
        <v>8</v>
      </c>
      <c r="D906" s="8">
        <v>6.67</v>
      </c>
      <c r="E906" s="4">
        <v>5</v>
      </c>
      <c r="F906" s="8">
        <v>8.77</v>
      </c>
      <c r="G906" s="4">
        <v>3</v>
      </c>
      <c r="H906" s="8">
        <v>5.08</v>
      </c>
      <c r="I906" s="4">
        <v>0</v>
      </c>
    </row>
    <row r="907" spans="1:9" x14ac:dyDescent="0.2">
      <c r="A907" s="2">
        <v>5</v>
      </c>
      <c r="B907" s="1" t="s">
        <v>85</v>
      </c>
      <c r="C907" s="4">
        <v>6</v>
      </c>
      <c r="D907" s="8">
        <v>5</v>
      </c>
      <c r="E907" s="4">
        <v>3</v>
      </c>
      <c r="F907" s="8">
        <v>5.26</v>
      </c>
      <c r="G907" s="4">
        <v>3</v>
      </c>
      <c r="H907" s="8">
        <v>5.08</v>
      </c>
      <c r="I907" s="4">
        <v>0</v>
      </c>
    </row>
    <row r="908" spans="1:9" x14ac:dyDescent="0.2">
      <c r="A908" s="2">
        <v>5</v>
      </c>
      <c r="B908" s="1" t="s">
        <v>91</v>
      </c>
      <c r="C908" s="4">
        <v>6</v>
      </c>
      <c r="D908" s="8">
        <v>5</v>
      </c>
      <c r="E908" s="4">
        <v>5</v>
      </c>
      <c r="F908" s="8">
        <v>8.77</v>
      </c>
      <c r="G908" s="4">
        <v>1</v>
      </c>
      <c r="H908" s="8">
        <v>1.69</v>
      </c>
      <c r="I908" s="4">
        <v>0</v>
      </c>
    </row>
    <row r="909" spans="1:9" x14ac:dyDescent="0.2">
      <c r="A909" s="2">
        <v>7</v>
      </c>
      <c r="B909" s="1" t="s">
        <v>90</v>
      </c>
      <c r="C909" s="4">
        <v>5</v>
      </c>
      <c r="D909" s="8">
        <v>4.17</v>
      </c>
      <c r="E909" s="4">
        <v>2</v>
      </c>
      <c r="F909" s="8">
        <v>3.51</v>
      </c>
      <c r="G909" s="4">
        <v>3</v>
      </c>
      <c r="H909" s="8">
        <v>5.08</v>
      </c>
      <c r="I909" s="4">
        <v>0</v>
      </c>
    </row>
    <row r="910" spans="1:9" x14ac:dyDescent="0.2">
      <c r="A910" s="2">
        <v>7</v>
      </c>
      <c r="B910" s="1" t="s">
        <v>100</v>
      </c>
      <c r="C910" s="4">
        <v>5</v>
      </c>
      <c r="D910" s="8">
        <v>4.17</v>
      </c>
      <c r="E910" s="4">
        <v>4</v>
      </c>
      <c r="F910" s="8">
        <v>7.02</v>
      </c>
      <c r="G910" s="4">
        <v>1</v>
      </c>
      <c r="H910" s="8">
        <v>1.69</v>
      </c>
      <c r="I910" s="4">
        <v>0</v>
      </c>
    </row>
    <row r="911" spans="1:9" x14ac:dyDescent="0.2">
      <c r="A911" s="2">
        <v>9</v>
      </c>
      <c r="B911" s="1" t="s">
        <v>84</v>
      </c>
      <c r="C911" s="4">
        <v>4</v>
      </c>
      <c r="D911" s="8">
        <v>3.33</v>
      </c>
      <c r="E911" s="4">
        <v>1</v>
      </c>
      <c r="F911" s="8">
        <v>1.75</v>
      </c>
      <c r="G911" s="4">
        <v>3</v>
      </c>
      <c r="H911" s="8">
        <v>5.08</v>
      </c>
      <c r="I911" s="4">
        <v>0</v>
      </c>
    </row>
    <row r="912" spans="1:9" x14ac:dyDescent="0.2">
      <c r="A912" s="2">
        <v>9</v>
      </c>
      <c r="B912" s="1" t="s">
        <v>89</v>
      </c>
      <c r="C912" s="4">
        <v>4</v>
      </c>
      <c r="D912" s="8">
        <v>3.33</v>
      </c>
      <c r="E912" s="4">
        <v>3</v>
      </c>
      <c r="F912" s="8">
        <v>5.26</v>
      </c>
      <c r="G912" s="4">
        <v>1</v>
      </c>
      <c r="H912" s="8">
        <v>1.69</v>
      </c>
      <c r="I912" s="4">
        <v>0</v>
      </c>
    </row>
    <row r="913" spans="1:9" x14ac:dyDescent="0.2">
      <c r="A913" s="2">
        <v>9</v>
      </c>
      <c r="B913" s="1" t="s">
        <v>99</v>
      </c>
      <c r="C913" s="4">
        <v>4</v>
      </c>
      <c r="D913" s="8">
        <v>3.33</v>
      </c>
      <c r="E913" s="4">
        <v>2</v>
      </c>
      <c r="F913" s="8">
        <v>3.51</v>
      </c>
      <c r="G913" s="4">
        <v>0</v>
      </c>
      <c r="H913" s="8">
        <v>0</v>
      </c>
      <c r="I913" s="4">
        <v>0</v>
      </c>
    </row>
    <row r="914" spans="1:9" x14ac:dyDescent="0.2">
      <c r="A914" s="2">
        <v>12</v>
      </c>
      <c r="B914" s="1" t="s">
        <v>115</v>
      </c>
      <c r="C914" s="4">
        <v>3</v>
      </c>
      <c r="D914" s="8">
        <v>2.5</v>
      </c>
      <c r="E914" s="4">
        <v>1</v>
      </c>
      <c r="F914" s="8">
        <v>1.75</v>
      </c>
      <c r="G914" s="4">
        <v>2</v>
      </c>
      <c r="H914" s="8">
        <v>3.39</v>
      </c>
      <c r="I914" s="4">
        <v>0</v>
      </c>
    </row>
    <row r="915" spans="1:9" x14ac:dyDescent="0.2">
      <c r="A915" s="2">
        <v>12</v>
      </c>
      <c r="B915" s="1" t="s">
        <v>117</v>
      </c>
      <c r="C915" s="4">
        <v>3</v>
      </c>
      <c r="D915" s="8">
        <v>2.5</v>
      </c>
      <c r="E915" s="4">
        <v>0</v>
      </c>
      <c r="F915" s="8">
        <v>0</v>
      </c>
      <c r="G915" s="4">
        <v>3</v>
      </c>
      <c r="H915" s="8">
        <v>5.08</v>
      </c>
      <c r="I915" s="4">
        <v>0</v>
      </c>
    </row>
    <row r="916" spans="1:9" x14ac:dyDescent="0.2">
      <c r="A916" s="2">
        <v>12</v>
      </c>
      <c r="B916" s="1" t="s">
        <v>106</v>
      </c>
      <c r="C916" s="4">
        <v>3</v>
      </c>
      <c r="D916" s="8">
        <v>2.5</v>
      </c>
      <c r="E916" s="4">
        <v>1</v>
      </c>
      <c r="F916" s="8">
        <v>1.75</v>
      </c>
      <c r="G916" s="4">
        <v>2</v>
      </c>
      <c r="H916" s="8">
        <v>3.39</v>
      </c>
      <c r="I916" s="4">
        <v>0</v>
      </c>
    </row>
    <row r="917" spans="1:9" x14ac:dyDescent="0.2">
      <c r="A917" s="2">
        <v>12</v>
      </c>
      <c r="B917" s="1" t="s">
        <v>101</v>
      </c>
      <c r="C917" s="4">
        <v>3</v>
      </c>
      <c r="D917" s="8">
        <v>2.5</v>
      </c>
      <c r="E917" s="4">
        <v>0</v>
      </c>
      <c r="F917" s="8">
        <v>0</v>
      </c>
      <c r="G917" s="4">
        <v>3</v>
      </c>
      <c r="H917" s="8">
        <v>5.08</v>
      </c>
      <c r="I917" s="4">
        <v>0</v>
      </c>
    </row>
    <row r="918" spans="1:9" x14ac:dyDescent="0.2">
      <c r="A918" s="2">
        <v>16</v>
      </c>
      <c r="B918" s="1" t="s">
        <v>118</v>
      </c>
      <c r="C918" s="4">
        <v>2</v>
      </c>
      <c r="D918" s="8">
        <v>1.67</v>
      </c>
      <c r="E918" s="4">
        <v>0</v>
      </c>
      <c r="F918" s="8">
        <v>0</v>
      </c>
      <c r="G918" s="4">
        <v>1</v>
      </c>
      <c r="H918" s="8">
        <v>1.69</v>
      </c>
      <c r="I918" s="4">
        <v>1</v>
      </c>
    </row>
    <row r="919" spans="1:9" x14ac:dyDescent="0.2">
      <c r="A919" s="2">
        <v>16</v>
      </c>
      <c r="B919" s="1" t="s">
        <v>121</v>
      </c>
      <c r="C919" s="4">
        <v>2</v>
      </c>
      <c r="D919" s="8">
        <v>1.67</v>
      </c>
      <c r="E919" s="4">
        <v>0</v>
      </c>
      <c r="F919" s="8">
        <v>0</v>
      </c>
      <c r="G919" s="4">
        <v>2</v>
      </c>
      <c r="H919" s="8">
        <v>3.39</v>
      </c>
      <c r="I919" s="4">
        <v>0</v>
      </c>
    </row>
    <row r="920" spans="1:9" x14ac:dyDescent="0.2">
      <c r="A920" s="2">
        <v>16</v>
      </c>
      <c r="B920" s="1" t="s">
        <v>114</v>
      </c>
      <c r="C920" s="4">
        <v>2</v>
      </c>
      <c r="D920" s="8">
        <v>1.67</v>
      </c>
      <c r="E920" s="4">
        <v>0</v>
      </c>
      <c r="F920" s="8">
        <v>0</v>
      </c>
      <c r="G920" s="4">
        <v>2</v>
      </c>
      <c r="H920" s="8">
        <v>3.39</v>
      </c>
      <c r="I920" s="4">
        <v>0</v>
      </c>
    </row>
    <row r="921" spans="1:9" x14ac:dyDescent="0.2">
      <c r="A921" s="2">
        <v>16</v>
      </c>
      <c r="B921" s="1" t="s">
        <v>105</v>
      </c>
      <c r="C921" s="4">
        <v>2</v>
      </c>
      <c r="D921" s="8">
        <v>1.67</v>
      </c>
      <c r="E921" s="4">
        <v>1</v>
      </c>
      <c r="F921" s="8">
        <v>1.75</v>
      </c>
      <c r="G921" s="4">
        <v>1</v>
      </c>
      <c r="H921" s="8">
        <v>1.69</v>
      </c>
      <c r="I921" s="4">
        <v>0</v>
      </c>
    </row>
    <row r="922" spans="1:9" x14ac:dyDescent="0.2">
      <c r="A922" s="2">
        <v>16</v>
      </c>
      <c r="B922" s="1" t="s">
        <v>137</v>
      </c>
      <c r="C922" s="4">
        <v>2</v>
      </c>
      <c r="D922" s="8">
        <v>1.67</v>
      </c>
      <c r="E922" s="4">
        <v>0</v>
      </c>
      <c r="F922" s="8">
        <v>0</v>
      </c>
      <c r="G922" s="4">
        <v>2</v>
      </c>
      <c r="H922" s="8">
        <v>3.39</v>
      </c>
      <c r="I922" s="4">
        <v>0</v>
      </c>
    </row>
    <row r="923" spans="1:9" x14ac:dyDescent="0.2">
      <c r="A923" s="2">
        <v>16</v>
      </c>
      <c r="B923" s="1" t="s">
        <v>109</v>
      </c>
      <c r="C923" s="4">
        <v>2</v>
      </c>
      <c r="D923" s="8">
        <v>1.67</v>
      </c>
      <c r="E923" s="4">
        <v>0</v>
      </c>
      <c r="F923" s="8">
        <v>0</v>
      </c>
      <c r="G923" s="4">
        <v>2</v>
      </c>
      <c r="H923" s="8">
        <v>3.39</v>
      </c>
      <c r="I923" s="4">
        <v>0</v>
      </c>
    </row>
    <row r="924" spans="1:9" x14ac:dyDescent="0.2">
      <c r="A924" s="2">
        <v>16</v>
      </c>
      <c r="B924" s="1" t="s">
        <v>113</v>
      </c>
      <c r="C924" s="4">
        <v>2</v>
      </c>
      <c r="D924" s="8">
        <v>1.67</v>
      </c>
      <c r="E924" s="4">
        <v>0</v>
      </c>
      <c r="F924" s="8">
        <v>0</v>
      </c>
      <c r="G924" s="4">
        <v>1</v>
      </c>
      <c r="H924" s="8">
        <v>1.69</v>
      </c>
      <c r="I924" s="4">
        <v>0</v>
      </c>
    </row>
    <row r="925" spans="1:9" x14ac:dyDescent="0.2">
      <c r="A925" s="1"/>
      <c r="C925" s="4"/>
      <c r="D925" s="8"/>
      <c r="E925" s="4"/>
      <c r="F925" s="8"/>
      <c r="G925" s="4"/>
      <c r="H925" s="8"/>
      <c r="I925" s="4"/>
    </row>
    <row r="926" spans="1:9" x14ac:dyDescent="0.2">
      <c r="A926" s="1" t="s">
        <v>37</v>
      </c>
      <c r="C926" s="4"/>
      <c r="D926" s="8"/>
      <c r="E926" s="4"/>
      <c r="F926" s="8"/>
      <c r="G926" s="4"/>
      <c r="H926" s="8"/>
      <c r="I926" s="4"/>
    </row>
    <row r="927" spans="1:9" x14ac:dyDescent="0.2">
      <c r="A927" s="2">
        <v>1</v>
      </c>
      <c r="B927" s="1" t="s">
        <v>83</v>
      </c>
      <c r="C927" s="4">
        <v>15</v>
      </c>
      <c r="D927" s="8">
        <v>15.15</v>
      </c>
      <c r="E927" s="4">
        <v>6</v>
      </c>
      <c r="F927" s="8">
        <v>9.84</v>
      </c>
      <c r="G927" s="4">
        <v>9</v>
      </c>
      <c r="H927" s="8">
        <v>25</v>
      </c>
      <c r="I927" s="4">
        <v>0</v>
      </c>
    </row>
    <row r="928" spans="1:9" x14ac:dyDescent="0.2">
      <c r="A928" s="2">
        <v>1</v>
      </c>
      <c r="B928" s="1" t="s">
        <v>84</v>
      </c>
      <c r="C928" s="4">
        <v>15</v>
      </c>
      <c r="D928" s="8">
        <v>15.15</v>
      </c>
      <c r="E928" s="4">
        <v>7</v>
      </c>
      <c r="F928" s="8">
        <v>11.48</v>
      </c>
      <c r="G928" s="4">
        <v>8</v>
      </c>
      <c r="H928" s="8">
        <v>22.22</v>
      </c>
      <c r="I928" s="4">
        <v>0</v>
      </c>
    </row>
    <row r="929" spans="1:9" x14ac:dyDescent="0.2">
      <c r="A929" s="2">
        <v>3</v>
      </c>
      <c r="B929" s="1" t="s">
        <v>97</v>
      </c>
      <c r="C929" s="4">
        <v>10</v>
      </c>
      <c r="D929" s="8">
        <v>10.1</v>
      </c>
      <c r="E929" s="4">
        <v>10</v>
      </c>
      <c r="F929" s="8">
        <v>16.39</v>
      </c>
      <c r="G929" s="4">
        <v>0</v>
      </c>
      <c r="H929" s="8">
        <v>0</v>
      </c>
      <c r="I929" s="4">
        <v>0</v>
      </c>
    </row>
    <row r="930" spans="1:9" x14ac:dyDescent="0.2">
      <c r="A930" s="2">
        <v>4</v>
      </c>
      <c r="B930" s="1" t="s">
        <v>89</v>
      </c>
      <c r="C930" s="4">
        <v>8</v>
      </c>
      <c r="D930" s="8">
        <v>8.08</v>
      </c>
      <c r="E930" s="4">
        <v>7</v>
      </c>
      <c r="F930" s="8">
        <v>11.48</v>
      </c>
      <c r="G930" s="4">
        <v>0</v>
      </c>
      <c r="H930" s="8">
        <v>0</v>
      </c>
      <c r="I930" s="4">
        <v>1</v>
      </c>
    </row>
    <row r="931" spans="1:9" x14ac:dyDescent="0.2">
      <c r="A931" s="2">
        <v>4</v>
      </c>
      <c r="B931" s="1" t="s">
        <v>96</v>
      </c>
      <c r="C931" s="4">
        <v>8</v>
      </c>
      <c r="D931" s="8">
        <v>8.08</v>
      </c>
      <c r="E931" s="4">
        <v>8</v>
      </c>
      <c r="F931" s="8">
        <v>13.11</v>
      </c>
      <c r="G931" s="4">
        <v>0</v>
      </c>
      <c r="H931" s="8">
        <v>0</v>
      </c>
      <c r="I931" s="4">
        <v>0</v>
      </c>
    </row>
    <row r="932" spans="1:9" x14ac:dyDescent="0.2">
      <c r="A932" s="2">
        <v>6</v>
      </c>
      <c r="B932" s="1" t="s">
        <v>114</v>
      </c>
      <c r="C932" s="4">
        <v>5</v>
      </c>
      <c r="D932" s="8">
        <v>5.05</v>
      </c>
      <c r="E932" s="4">
        <v>1</v>
      </c>
      <c r="F932" s="8">
        <v>1.64</v>
      </c>
      <c r="G932" s="4">
        <v>4</v>
      </c>
      <c r="H932" s="8">
        <v>11.11</v>
      </c>
      <c r="I932" s="4">
        <v>0</v>
      </c>
    </row>
    <row r="933" spans="1:9" x14ac:dyDescent="0.2">
      <c r="A933" s="2">
        <v>7</v>
      </c>
      <c r="B933" s="1" t="s">
        <v>91</v>
      </c>
      <c r="C933" s="4">
        <v>4</v>
      </c>
      <c r="D933" s="8">
        <v>4.04</v>
      </c>
      <c r="E933" s="4">
        <v>2</v>
      </c>
      <c r="F933" s="8">
        <v>3.28</v>
      </c>
      <c r="G933" s="4">
        <v>2</v>
      </c>
      <c r="H933" s="8">
        <v>5.56</v>
      </c>
      <c r="I933" s="4">
        <v>0</v>
      </c>
    </row>
    <row r="934" spans="1:9" x14ac:dyDescent="0.2">
      <c r="A934" s="2">
        <v>7</v>
      </c>
      <c r="B934" s="1" t="s">
        <v>100</v>
      </c>
      <c r="C934" s="4">
        <v>4</v>
      </c>
      <c r="D934" s="8">
        <v>4.04</v>
      </c>
      <c r="E934" s="4">
        <v>4</v>
      </c>
      <c r="F934" s="8">
        <v>6.56</v>
      </c>
      <c r="G934" s="4">
        <v>0</v>
      </c>
      <c r="H934" s="8">
        <v>0</v>
      </c>
      <c r="I934" s="4">
        <v>0</v>
      </c>
    </row>
    <row r="935" spans="1:9" x14ac:dyDescent="0.2">
      <c r="A935" s="2">
        <v>9</v>
      </c>
      <c r="B935" s="1" t="s">
        <v>111</v>
      </c>
      <c r="C935" s="4">
        <v>3</v>
      </c>
      <c r="D935" s="8">
        <v>3.03</v>
      </c>
      <c r="E935" s="4">
        <v>2</v>
      </c>
      <c r="F935" s="8">
        <v>3.28</v>
      </c>
      <c r="G935" s="4">
        <v>1</v>
      </c>
      <c r="H935" s="8">
        <v>2.78</v>
      </c>
      <c r="I935" s="4">
        <v>0</v>
      </c>
    </row>
    <row r="936" spans="1:9" x14ac:dyDescent="0.2">
      <c r="A936" s="2">
        <v>9</v>
      </c>
      <c r="B936" s="1" t="s">
        <v>90</v>
      </c>
      <c r="C936" s="4">
        <v>3</v>
      </c>
      <c r="D936" s="8">
        <v>3.03</v>
      </c>
      <c r="E936" s="4">
        <v>3</v>
      </c>
      <c r="F936" s="8">
        <v>4.92</v>
      </c>
      <c r="G936" s="4">
        <v>0</v>
      </c>
      <c r="H936" s="8">
        <v>0</v>
      </c>
      <c r="I936" s="4">
        <v>0</v>
      </c>
    </row>
    <row r="937" spans="1:9" x14ac:dyDescent="0.2">
      <c r="A937" s="2">
        <v>11</v>
      </c>
      <c r="B937" s="1" t="s">
        <v>85</v>
      </c>
      <c r="C937" s="4">
        <v>2</v>
      </c>
      <c r="D937" s="8">
        <v>2.02</v>
      </c>
      <c r="E937" s="4">
        <v>0</v>
      </c>
      <c r="F937" s="8">
        <v>0</v>
      </c>
      <c r="G937" s="4">
        <v>2</v>
      </c>
      <c r="H937" s="8">
        <v>5.56</v>
      </c>
      <c r="I937" s="4">
        <v>0</v>
      </c>
    </row>
    <row r="938" spans="1:9" x14ac:dyDescent="0.2">
      <c r="A938" s="2">
        <v>11</v>
      </c>
      <c r="B938" s="1" t="s">
        <v>126</v>
      </c>
      <c r="C938" s="4">
        <v>2</v>
      </c>
      <c r="D938" s="8">
        <v>2.02</v>
      </c>
      <c r="E938" s="4">
        <v>0</v>
      </c>
      <c r="F938" s="8">
        <v>0</v>
      </c>
      <c r="G938" s="4">
        <v>2</v>
      </c>
      <c r="H938" s="8">
        <v>5.56</v>
      </c>
      <c r="I938" s="4">
        <v>0</v>
      </c>
    </row>
    <row r="939" spans="1:9" x14ac:dyDescent="0.2">
      <c r="A939" s="2">
        <v>11</v>
      </c>
      <c r="B939" s="1" t="s">
        <v>117</v>
      </c>
      <c r="C939" s="4">
        <v>2</v>
      </c>
      <c r="D939" s="8">
        <v>2.02</v>
      </c>
      <c r="E939" s="4">
        <v>1</v>
      </c>
      <c r="F939" s="8">
        <v>1.64</v>
      </c>
      <c r="G939" s="4">
        <v>1</v>
      </c>
      <c r="H939" s="8">
        <v>2.78</v>
      </c>
      <c r="I939" s="4">
        <v>0</v>
      </c>
    </row>
    <row r="940" spans="1:9" x14ac:dyDescent="0.2">
      <c r="A940" s="2">
        <v>11</v>
      </c>
      <c r="B940" s="1" t="s">
        <v>86</v>
      </c>
      <c r="C940" s="4">
        <v>2</v>
      </c>
      <c r="D940" s="8">
        <v>2.02</v>
      </c>
      <c r="E940" s="4">
        <v>0</v>
      </c>
      <c r="F940" s="8">
        <v>0</v>
      </c>
      <c r="G940" s="4">
        <v>2</v>
      </c>
      <c r="H940" s="8">
        <v>5.56</v>
      </c>
      <c r="I940" s="4">
        <v>0</v>
      </c>
    </row>
    <row r="941" spans="1:9" x14ac:dyDescent="0.2">
      <c r="A941" s="2">
        <v>11</v>
      </c>
      <c r="B941" s="1" t="s">
        <v>99</v>
      </c>
      <c r="C941" s="4">
        <v>2</v>
      </c>
      <c r="D941" s="8">
        <v>2.02</v>
      </c>
      <c r="E941" s="4">
        <v>2</v>
      </c>
      <c r="F941" s="8">
        <v>3.28</v>
      </c>
      <c r="G941" s="4">
        <v>0</v>
      </c>
      <c r="H941" s="8">
        <v>0</v>
      </c>
      <c r="I941" s="4">
        <v>0</v>
      </c>
    </row>
    <row r="942" spans="1:9" x14ac:dyDescent="0.2">
      <c r="A942" s="2">
        <v>11</v>
      </c>
      <c r="B942" s="1" t="s">
        <v>102</v>
      </c>
      <c r="C942" s="4">
        <v>2</v>
      </c>
      <c r="D942" s="8">
        <v>2.02</v>
      </c>
      <c r="E942" s="4">
        <v>2</v>
      </c>
      <c r="F942" s="8">
        <v>3.28</v>
      </c>
      <c r="G942" s="4">
        <v>0</v>
      </c>
      <c r="H942" s="8">
        <v>0</v>
      </c>
      <c r="I942" s="4">
        <v>0</v>
      </c>
    </row>
    <row r="943" spans="1:9" x14ac:dyDescent="0.2">
      <c r="A943" s="2">
        <v>17</v>
      </c>
      <c r="B943" s="1" t="s">
        <v>133</v>
      </c>
      <c r="C943" s="4">
        <v>1</v>
      </c>
      <c r="D943" s="8">
        <v>1.01</v>
      </c>
      <c r="E943" s="4">
        <v>1</v>
      </c>
      <c r="F943" s="8">
        <v>1.64</v>
      </c>
      <c r="G943" s="4">
        <v>0</v>
      </c>
      <c r="H943" s="8">
        <v>0</v>
      </c>
      <c r="I943" s="4">
        <v>0</v>
      </c>
    </row>
    <row r="944" spans="1:9" x14ac:dyDescent="0.2">
      <c r="A944" s="2">
        <v>17</v>
      </c>
      <c r="B944" s="1" t="s">
        <v>151</v>
      </c>
      <c r="C944" s="4">
        <v>1</v>
      </c>
      <c r="D944" s="8">
        <v>1.01</v>
      </c>
      <c r="E944" s="4">
        <v>0</v>
      </c>
      <c r="F944" s="8">
        <v>0</v>
      </c>
      <c r="G944" s="4">
        <v>1</v>
      </c>
      <c r="H944" s="8">
        <v>2.78</v>
      </c>
      <c r="I944" s="4">
        <v>0</v>
      </c>
    </row>
    <row r="945" spans="1:9" x14ac:dyDescent="0.2">
      <c r="A945" s="2">
        <v>17</v>
      </c>
      <c r="B945" s="1" t="s">
        <v>115</v>
      </c>
      <c r="C945" s="4">
        <v>1</v>
      </c>
      <c r="D945" s="8">
        <v>1.01</v>
      </c>
      <c r="E945" s="4">
        <v>0</v>
      </c>
      <c r="F945" s="8">
        <v>0</v>
      </c>
      <c r="G945" s="4">
        <v>1</v>
      </c>
      <c r="H945" s="8">
        <v>2.78</v>
      </c>
      <c r="I945" s="4">
        <v>0</v>
      </c>
    </row>
    <row r="946" spans="1:9" x14ac:dyDescent="0.2">
      <c r="A946" s="2">
        <v>17</v>
      </c>
      <c r="B946" s="1" t="s">
        <v>122</v>
      </c>
      <c r="C946" s="4">
        <v>1</v>
      </c>
      <c r="D946" s="8">
        <v>1.01</v>
      </c>
      <c r="E946" s="4">
        <v>1</v>
      </c>
      <c r="F946" s="8">
        <v>1.64</v>
      </c>
      <c r="G946" s="4">
        <v>0</v>
      </c>
      <c r="H946" s="8">
        <v>0</v>
      </c>
      <c r="I946" s="4">
        <v>0</v>
      </c>
    </row>
    <row r="947" spans="1:9" x14ac:dyDescent="0.2">
      <c r="A947" s="2">
        <v>17</v>
      </c>
      <c r="B947" s="1" t="s">
        <v>105</v>
      </c>
      <c r="C947" s="4">
        <v>1</v>
      </c>
      <c r="D947" s="8">
        <v>1.01</v>
      </c>
      <c r="E947" s="4">
        <v>1</v>
      </c>
      <c r="F947" s="8">
        <v>1.64</v>
      </c>
      <c r="G947" s="4">
        <v>0</v>
      </c>
      <c r="H947" s="8">
        <v>0</v>
      </c>
      <c r="I947" s="4">
        <v>0</v>
      </c>
    </row>
    <row r="948" spans="1:9" x14ac:dyDescent="0.2">
      <c r="A948" s="2">
        <v>17</v>
      </c>
      <c r="B948" s="1" t="s">
        <v>127</v>
      </c>
      <c r="C948" s="4">
        <v>1</v>
      </c>
      <c r="D948" s="8">
        <v>1.01</v>
      </c>
      <c r="E948" s="4">
        <v>0</v>
      </c>
      <c r="F948" s="8">
        <v>0</v>
      </c>
      <c r="G948" s="4">
        <v>0</v>
      </c>
      <c r="H948" s="8">
        <v>0</v>
      </c>
      <c r="I948" s="4">
        <v>0</v>
      </c>
    </row>
    <row r="949" spans="1:9" x14ac:dyDescent="0.2">
      <c r="A949" s="2">
        <v>17</v>
      </c>
      <c r="B949" s="1" t="s">
        <v>88</v>
      </c>
      <c r="C949" s="4">
        <v>1</v>
      </c>
      <c r="D949" s="8">
        <v>1.01</v>
      </c>
      <c r="E949" s="4">
        <v>1</v>
      </c>
      <c r="F949" s="8">
        <v>1.64</v>
      </c>
      <c r="G949" s="4">
        <v>0</v>
      </c>
      <c r="H949" s="8">
        <v>0</v>
      </c>
      <c r="I949" s="4">
        <v>0</v>
      </c>
    </row>
    <row r="950" spans="1:9" x14ac:dyDescent="0.2">
      <c r="A950" s="2">
        <v>17</v>
      </c>
      <c r="B950" s="1" t="s">
        <v>103</v>
      </c>
      <c r="C950" s="4">
        <v>1</v>
      </c>
      <c r="D950" s="8">
        <v>1.01</v>
      </c>
      <c r="E950" s="4">
        <v>0</v>
      </c>
      <c r="F950" s="8">
        <v>0</v>
      </c>
      <c r="G950" s="4">
        <v>1</v>
      </c>
      <c r="H950" s="8">
        <v>2.78</v>
      </c>
      <c r="I950" s="4">
        <v>0</v>
      </c>
    </row>
    <row r="951" spans="1:9" x14ac:dyDescent="0.2">
      <c r="A951" s="2">
        <v>17</v>
      </c>
      <c r="B951" s="1" t="s">
        <v>92</v>
      </c>
      <c r="C951" s="4">
        <v>1</v>
      </c>
      <c r="D951" s="8">
        <v>1.01</v>
      </c>
      <c r="E951" s="4">
        <v>0</v>
      </c>
      <c r="F951" s="8">
        <v>0</v>
      </c>
      <c r="G951" s="4">
        <v>1</v>
      </c>
      <c r="H951" s="8">
        <v>2.78</v>
      </c>
      <c r="I951" s="4">
        <v>0</v>
      </c>
    </row>
    <row r="952" spans="1:9" x14ac:dyDescent="0.2">
      <c r="A952" s="2">
        <v>17</v>
      </c>
      <c r="B952" s="1" t="s">
        <v>94</v>
      </c>
      <c r="C952" s="4">
        <v>1</v>
      </c>
      <c r="D952" s="8">
        <v>1.01</v>
      </c>
      <c r="E952" s="4">
        <v>1</v>
      </c>
      <c r="F952" s="8">
        <v>1.64</v>
      </c>
      <c r="G952" s="4">
        <v>0</v>
      </c>
      <c r="H952" s="8">
        <v>0</v>
      </c>
      <c r="I952" s="4">
        <v>0</v>
      </c>
    </row>
    <row r="953" spans="1:9" x14ac:dyDescent="0.2">
      <c r="A953" s="2">
        <v>17</v>
      </c>
      <c r="B953" s="1" t="s">
        <v>113</v>
      </c>
      <c r="C953" s="4">
        <v>1</v>
      </c>
      <c r="D953" s="8">
        <v>1.01</v>
      </c>
      <c r="E953" s="4">
        <v>0</v>
      </c>
      <c r="F953" s="8">
        <v>0</v>
      </c>
      <c r="G953" s="4">
        <v>1</v>
      </c>
      <c r="H953" s="8">
        <v>2.78</v>
      </c>
      <c r="I953" s="4">
        <v>0</v>
      </c>
    </row>
    <row r="954" spans="1:9" x14ac:dyDescent="0.2">
      <c r="A954" s="2">
        <v>17</v>
      </c>
      <c r="B954" s="1" t="s">
        <v>146</v>
      </c>
      <c r="C954" s="4">
        <v>1</v>
      </c>
      <c r="D954" s="8">
        <v>1.01</v>
      </c>
      <c r="E954" s="4">
        <v>1</v>
      </c>
      <c r="F954" s="8">
        <v>1.64</v>
      </c>
      <c r="G954" s="4">
        <v>0</v>
      </c>
      <c r="H954" s="8">
        <v>0</v>
      </c>
      <c r="I954" s="4">
        <v>0</v>
      </c>
    </row>
    <row r="955" spans="1:9" x14ac:dyDescent="0.2">
      <c r="A955" s="1"/>
      <c r="C955" s="4"/>
      <c r="D955" s="8"/>
      <c r="E955" s="4"/>
      <c r="F955" s="8"/>
      <c r="G955" s="4"/>
      <c r="H955" s="8"/>
      <c r="I955" s="4"/>
    </row>
    <row r="956" spans="1:9" x14ac:dyDescent="0.2">
      <c r="A956" s="1" t="s">
        <v>38</v>
      </c>
      <c r="C956" s="4"/>
      <c r="D956" s="8"/>
      <c r="E956" s="4"/>
      <c r="F956" s="8"/>
      <c r="G956" s="4"/>
      <c r="H956" s="8"/>
      <c r="I956" s="4"/>
    </row>
    <row r="957" spans="1:9" x14ac:dyDescent="0.2">
      <c r="A957" s="2">
        <v>1</v>
      </c>
      <c r="B957" s="1" t="s">
        <v>97</v>
      </c>
      <c r="C957" s="4">
        <v>52</v>
      </c>
      <c r="D957" s="8">
        <v>12.71</v>
      </c>
      <c r="E957" s="4">
        <v>47</v>
      </c>
      <c r="F957" s="8">
        <v>19.5</v>
      </c>
      <c r="G957" s="4">
        <v>5</v>
      </c>
      <c r="H957" s="8">
        <v>3.05</v>
      </c>
      <c r="I957" s="4">
        <v>0</v>
      </c>
    </row>
    <row r="958" spans="1:9" x14ac:dyDescent="0.2">
      <c r="A958" s="2">
        <v>2</v>
      </c>
      <c r="B958" s="1" t="s">
        <v>91</v>
      </c>
      <c r="C958" s="4">
        <v>37</v>
      </c>
      <c r="D958" s="8">
        <v>9.0500000000000007</v>
      </c>
      <c r="E958" s="4">
        <v>23</v>
      </c>
      <c r="F958" s="8">
        <v>9.5399999999999991</v>
      </c>
      <c r="G958" s="4">
        <v>14</v>
      </c>
      <c r="H958" s="8">
        <v>8.5399999999999991</v>
      </c>
      <c r="I958" s="4">
        <v>0</v>
      </c>
    </row>
    <row r="959" spans="1:9" x14ac:dyDescent="0.2">
      <c r="A959" s="2">
        <v>3</v>
      </c>
      <c r="B959" s="1" t="s">
        <v>83</v>
      </c>
      <c r="C959" s="4">
        <v>35</v>
      </c>
      <c r="D959" s="8">
        <v>8.56</v>
      </c>
      <c r="E959" s="4">
        <v>11</v>
      </c>
      <c r="F959" s="8">
        <v>4.5599999999999996</v>
      </c>
      <c r="G959" s="4">
        <v>24</v>
      </c>
      <c r="H959" s="8">
        <v>14.63</v>
      </c>
      <c r="I959" s="4">
        <v>0</v>
      </c>
    </row>
    <row r="960" spans="1:9" x14ac:dyDescent="0.2">
      <c r="A960" s="2">
        <v>4</v>
      </c>
      <c r="B960" s="1" t="s">
        <v>96</v>
      </c>
      <c r="C960" s="4">
        <v>34</v>
      </c>
      <c r="D960" s="8">
        <v>8.31</v>
      </c>
      <c r="E960" s="4">
        <v>32</v>
      </c>
      <c r="F960" s="8">
        <v>13.28</v>
      </c>
      <c r="G960" s="4">
        <v>2</v>
      </c>
      <c r="H960" s="8">
        <v>1.22</v>
      </c>
      <c r="I960" s="4">
        <v>0</v>
      </c>
    </row>
    <row r="961" spans="1:9" x14ac:dyDescent="0.2">
      <c r="A961" s="2">
        <v>5</v>
      </c>
      <c r="B961" s="1" t="s">
        <v>89</v>
      </c>
      <c r="C961" s="4">
        <v>21</v>
      </c>
      <c r="D961" s="8">
        <v>5.13</v>
      </c>
      <c r="E961" s="4">
        <v>17</v>
      </c>
      <c r="F961" s="8">
        <v>7.05</v>
      </c>
      <c r="G961" s="4">
        <v>4</v>
      </c>
      <c r="H961" s="8">
        <v>2.44</v>
      </c>
      <c r="I961" s="4">
        <v>0</v>
      </c>
    </row>
    <row r="962" spans="1:9" x14ac:dyDescent="0.2">
      <c r="A962" s="2">
        <v>6</v>
      </c>
      <c r="B962" s="1" t="s">
        <v>84</v>
      </c>
      <c r="C962" s="4">
        <v>18</v>
      </c>
      <c r="D962" s="8">
        <v>4.4000000000000004</v>
      </c>
      <c r="E962" s="4">
        <v>11</v>
      </c>
      <c r="F962" s="8">
        <v>4.5599999999999996</v>
      </c>
      <c r="G962" s="4">
        <v>7</v>
      </c>
      <c r="H962" s="8">
        <v>4.2699999999999996</v>
      </c>
      <c r="I962" s="4">
        <v>0</v>
      </c>
    </row>
    <row r="963" spans="1:9" x14ac:dyDescent="0.2">
      <c r="A963" s="2">
        <v>7</v>
      </c>
      <c r="B963" s="1" t="s">
        <v>99</v>
      </c>
      <c r="C963" s="4">
        <v>15</v>
      </c>
      <c r="D963" s="8">
        <v>3.67</v>
      </c>
      <c r="E963" s="4">
        <v>10</v>
      </c>
      <c r="F963" s="8">
        <v>4.1500000000000004</v>
      </c>
      <c r="G963" s="4">
        <v>3</v>
      </c>
      <c r="H963" s="8">
        <v>1.83</v>
      </c>
      <c r="I963" s="4">
        <v>0</v>
      </c>
    </row>
    <row r="964" spans="1:9" x14ac:dyDescent="0.2">
      <c r="A964" s="2">
        <v>8</v>
      </c>
      <c r="B964" s="1" t="s">
        <v>85</v>
      </c>
      <c r="C964" s="4">
        <v>14</v>
      </c>
      <c r="D964" s="8">
        <v>3.42</v>
      </c>
      <c r="E964" s="4">
        <v>6</v>
      </c>
      <c r="F964" s="8">
        <v>2.4900000000000002</v>
      </c>
      <c r="G964" s="4">
        <v>8</v>
      </c>
      <c r="H964" s="8">
        <v>4.88</v>
      </c>
      <c r="I964" s="4">
        <v>0</v>
      </c>
    </row>
    <row r="965" spans="1:9" x14ac:dyDescent="0.2">
      <c r="A965" s="2">
        <v>9</v>
      </c>
      <c r="B965" s="1" t="s">
        <v>90</v>
      </c>
      <c r="C965" s="4">
        <v>13</v>
      </c>
      <c r="D965" s="8">
        <v>3.18</v>
      </c>
      <c r="E965" s="4">
        <v>11</v>
      </c>
      <c r="F965" s="8">
        <v>4.5599999999999996</v>
      </c>
      <c r="G965" s="4">
        <v>2</v>
      </c>
      <c r="H965" s="8">
        <v>1.22</v>
      </c>
      <c r="I965" s="4">
        <v>0</v>
      </c>
    </row>
    <row r="966" spans="1:9" x14ac:dyDescent="0.2">
      <c r="A966" s="2">
        <v>9</v>
      </c>
      <c r="B966" s="1" t="s">
        <v>94</v>
      </c>
      <c r="C966" s="4">
        <v>13</v>
      </c>
      <c r="D966" s="8">
        <v>3.18</v>
      </c>
      <c r="E966" s="4">
        <v>4</v>
      </c>
      <c r="F966" s="8">
        <v>1.66</v>
      </c>
      <c r="G966" s="4">
        <v>8</v>
      </c>
      <c r="H966" s="8">
        <v>4.88</v>
      </c>
      <c r="I966" s="4">
        <v>0</v>
      </c>
    </row>
    <row r="967" spans="1:9" x14ac:dyDescent="0.2">
      <c r="A967" s="2">
        <v>11</v>
      </c>
      <c r="B967" s="1" t="s">
        <v>113</v>
      </c>
      <c r="C967" s="4">
        <v>12</v>
      </c>
      <c r="D967" s="8">
        <v>2.93</v>
      </c>
      <c r="E967" s="4">
        <v>3</v>
      </c>
      <c r="F967" s="8">
        <v>1.24</v>
      </c>
      <c r="G967" s="4">
        <v>9</v>
      </c>
      <c r="H967" s="8">
        <v>5.49</v>
      </c>
      <c r="I967" s="4">
        <v>0</v>
      </c>
    </row>
    <row r="968" spans="1:9" x14ac:dyDescent="0.2">
      <c r="A968" s="2">
        <v>11</v>
      </c>
      <c r="B968" s="1" t="s">
        <v>100</v>
      </c>
      <c r="C968" s="4">
        <v>12</v>
      </c>
      <c r="D968" s="8">
        <v>2.93</v>
      </c>
      <c r="E968" s="4">
        <v>9</v>
      </c>
      <c r="F968" s="8">
        <v>3.73</v>
      </c>
      <c r="G968" s="4">
        <v>3</v>
      </c>
      <c r="H968" s="8">
        <v>1.83</v>
      </c>
      <c r="I968" s="4">
        <v>0</v>
      </c>
    </row>
    <row r="969" spans="1:9" x14ac:dyDescent="0.2">
      <c r="A969" s="2">
        <v>13</v>
      </c>
      <c r="B969" s="1" t="s">
        <v>92</v>
      </c>
      <c r="C969" s="4">
        <v>11</v>
      </c>
      <c r="D969" s="8">
        <v>2.69</v>
      </c>
      <c r="E969" s="4">
        <v>6</v>
      </c>
      <c r="F969" s="8">
        <v>2.4900000000000002</v>
      </c>
      <c r="G969" s="4">
        <v>5</v>
      </c>
      <c r="H969" s="8">
        <v>3.05</v>
      </c>
      <c r="I969" s="4">
        <v>0</v>
      </c>
    </row>
    <row r="970" spans="1:9" x14ac:dyDescent="0.2">
      <c r="A970" s="2">
        <v>14</v>
      </c>
      <c r="B970" s="1" t="s">
        <v>102</v>
      </c>
      <c r="C970" s="4">
        <v>10</v>
      </c>
      <c r="D970" s="8">
        <v>2.44</v>
      </c>
      <c r="E970" s="4">
        <v>8</v>
      </c>
      <c r="F970" s="8">
        <v>3.32</v>
      </c>
      <c r="G970" s="4">
        <v>2</v>
      </c>
      <c r="H970" s="8">
        <v>1.22</v>
      </c>
      <c r="I970" s="4">
        <v>0</v>
      </c>
    </row>
    <row r="971" spans="1:9" x14ac:dyDescent="0.2">
      <c r="A971" s="2">
        <v>15</v>
      </c>
      <c r="B971" s="1" t="s">
        <v>93</v>
      </c>
      <c r="C971" s="4">
        <v>8</v>
      </c>
      <c r="D971" s="8">
        <v>1.96</v>
      </c>
      <c r="E971" s="4">
        <v>5</v>
      </c>
      <c r="F971" s="8">
        <v>2.0699999999999998</v>
      </c>
      <c r="G971" s="4">
        <v>3</v>
      </c>
      <c r="H971" s="8">
        <v>1.83</v>
      </c>
      <c r="I971" s="4">
        <v>0</v>
      </c>
    </row>
    <row r="972" spans="1:9" x14ac:dyDescent="0.2">
      <c r="A972" s="2">
        <v>16</v>
      </c>
      <c r="B972" s="1" t="s">
        <v>111</v>
      </c>
      <c r="C972" s="4">
        <v>7</v>
      </c>
      <c r="D972" s="8">
        <v>1.71</v>
      </c>
      <c r="E972" s="4">
        <v>5</v>
      </c>
      <c r="F972" s="8">
        <v>2.0699999999999998</v>
      </c>
      <c r="G972" s="4">
        <v>2</v>
      </c>
      <c r="H972" s="8">
        <v>1.22</v>
      </c>
      <c r="I972" s="4">
        <v>0</v>
      </c>
    </row>
    <row r="973" spans="1:9" x14ac:dyDescent="0.2">
      <c r="A973" s="2">
        <v>16</v>
      </c>
      <c r="B973" s="1" t="s">
        <v>109</v>
      </c>
      <c r="C973" s="4">
        <v>7</v>
      </c>
      <c r="D973" s="8">
        <v>1.71</v>
      </c>
      <c r="E973" s="4">
        <v>1</v>
      </c>
      <c r="F973" s="8">
        <v>0.41</v>
      </c>
      <c r="G973" s="4">
        <v>6</v>
      </c>
      <c r="H973" s="8">
        <v>3.66</v>
      </c>
      <c r="I973" s="4">
        <v>0</v>
      </c>
    </row>
    <row r="974" spans="1:9" x14ac:dyDescent="0.2">
      <c r="A974" s="2">
        <v>18</v>
      </c>
      <c r="B974" s="1" t="s">
        <v>115</v>
      </c>
      <c r="C974" s="4">
        <v>6</v>
      </c>
      <c r="D974" s="8">
        <v>1.47</v>
      </c>
      <c r="E974" s="4">
        <v>4</v>
      </c>
      <c r="F974" s="8">
        <v>1.66</v>
      </c>
      <c r="G974" s="4">
        <v>2</v>
      </c>
      <c r="H974" s="8">
        <v>1.22</v>
      </c>
      <c r="I974" s="4">
        <v>0</v>
      </c>
    </row>
    <row r="975" spans="1:9" x14ac:dyDescent="0.2">
      <c r="A975" s="2">
        <v>18</v>
      </c>
      <c r="B975" s="1" t="s">
        <v>88</v>
      </c>
      <c r="C975" s="4">
        <v>6</v>
      </c>
      <c r="D975" s="8">
        <v>1.47</v>
      </c>
      <c r="E975" s="4">
        <v>6</v>
      </c>
      <c r="F975" s="8">
        <v>2.4900000000000002</v>
      </c>
      <c r="G975" s="4">
        <v>0</v>
      </c>
      <c r="H975" s="8">
        <v>0</v>
      </c>
      <c r="I975" s="4">
        <v>0</v>
      </c>
    </row>
    <row r="976" spans="1:9" x14ac:dyDescent="0.2">
      <c r="A976" s="2">
        <v>20</v>
      </c>
      <c r="B976" s="1" t="s">
        <v>114</v>
      </c>
      <c r="C976" s="4">
        <v>5</v>
      </c>
      <c r="D976" s="8">
        <v>1.22</v>
      </c>
      <c r="E976" s="4">
        <v>0</v>
      </c>
      <c r="F976" s="8">
        <v>0</v>
      </c>
      <c r="G976" s="4">
        <v>5</v>
      </c>
      <c r="H976" s="8">
        <v>3.05</v>
      </c>
      <c r="I976" s="4">
        <v>0</v>
      </c>
    </row>
    <row r="977" spans="1:9" x14ac:dyDescent="0.2">
      <c r="A977" s="2">
        <v>20</v>
      </c>
      <c r="B977" s="1" t="s">
        <v>98</v>
      </c>
      <c r="C977" s="4">
        <v>5</v>
      </c>
      <c r="D977" s="8">
        <v>1.22</v>
      </c>
      <c r="E977" s="4">
        <v>3</v>
      </c>
      <c r="F977" s="8">
        <v>1.24</v>
      </c>
      <c r="G977" s="4">
        <v>2</v>
      </c>
      <c r="H977" s="8">
        <v>1.22</v>
      </c>
      <c r="I977" s="4">
        <v>0</v>
      </c>
    </row>
    <row r="978" spans="1:9" x14ac:dyDescent="0.2">
      <c r="A978" s="2">
        <v>20</v>
      </c>
      <c r="B978" s="1" t="s">
        <v>101</v>
      </c>
      <c r="C978" s="4">
        <v>5</v>
      </c>
      <c r="D978" s="8">
        <v>1.22</v>
      </c>
      <c r="E978" s="4">
        <v>0</v>
      </c>
      <c r="F978" s="8">
        <v>0</v>
      </c>
      <c r="G978" s="4">
        <v>5</v>
      </c>
      <c r="H978" s="8">
        <v>3.05</v>
      </c>
      <c r="I978" s="4">
        <v>0</v>
      </c>
    </row>
    <row r="979" spans="1:9" x14ac:dyDescent="0.2">
      <c r="A979" s="1"/>
      <c r="C979" s="4"/>
      <c r="D979" s="8"/>
      <c r="E979" s="4"/>
      <c r="F979" s="8"/>
      <c r="G979" s="4"/>
      <c r="H979" s="8"/>
      <c r="I979" s="4"/>
    </row>
    <row r="980" spans="1:9" x14ac:dyDescent="0.2">
      <c r="A980" s="1" t="s">
        <v>39</v>
      </c>
      <c r="C980" s="4"/>
      <c r="D980" s="8"/>
      <c r="E980" s="4"/>
      <c r="F980" s="8"/>
      <c r="G980" s="4"/>
      <c r="H980" s="8"/>
      <c r="I980" s="4"/>
    </row>
    <row r="981" spans="1:9" x14ac:dyDescent="0.2">
      <c r="A981" s="2">
        <v>1</v>
      </c>
      <c r="B981" s="1" t="s">
        <v>96</v>
      </c>
      <c r="C981" s="4">
        <v>58</v>
      </c>
      <c r="D981" s="8">
        <v>13</v>
      </c>
      <c r="E981" s="4">
        <v>54</v>
      </c>
      <c r="F981" s="8">
        <v>18.239999999999998</v>
      </c>
      <c r="G981" s="4">
        <v>4</v>
      </c>
      <c r="H981" s="8">
        <v>2.76</v>
      </c>
      <c r="I981" s="4">
        <v>0</v>
      </c>
    </row>
    <row r="982" spans="1:9" x14ac:dyDescent="0.2">
      <c r="A982" s="2">
        <v>2</v>
      </c>
      <c r="B982" s="1" t="s">
        <v>97</v>
      </c>
      <c r="C982" s="4">
        <v>56</v>
      </c>
      <c r="D982" s="8">
        <v>12.56</v>
      </c>
      <c r="E982" s="4">
        <v>52</v>
      </c>
      <c r="F982" s="8">
        <v>17.57</v>
      </c>
      <c r="G982" s="4">
        <v>4</v>
      </c>
      <c r="H982" s="8">
        <v>2.76</v>
      </c>
      <c r="I982" s="4">
        <v>0</v>
      </c>
    </row>
    <row r="983" spans="1:9" x14ac:dyDescent="0.2">
      <c r="A983" s="2">
        <v>3</v>
      </c>
      <c r="B983" s="1" t="s">
        <v>91</v>
      </c>
      <c r="C983" s="4">
        <v>36</v>
      </c>
      <c r="D983" s="8">
        <v>8.07</v>
      </c>
      <c r="E983" s="4">
        <v>20</v>
      </c>
      <c r="F983" s="8">
        <v>6.76</v>
      </c>
      <c r="G983" s="4">
        <v>16</v>
      </c>
      <c r="H983" s="8">
        <v>11.03</v>
      </c>
      <c r="I983" s="4">
        <v>0</v>
      </c>
    </row>
    <row r="984" spans="1:9" x14ac:dyDescent="0.2">
      <c r="A984" s="2">
        <v>4</v>
      </c>
      <c r="B984" s="1" t="s">
        <v>84</v>
      </c>
      <c r="C984" s="4">
        <v>31</v>
      </c>
      <c r="D984" s="8">
        <v>6.95</v>
      </c>
      <c r="E984" s="4">
        <v>21</v>
      </c>
      <c r="F984" s="8">
        <v>7.09</v>
      </c>
      <c r="G984" s="4">
        <v>10</v>
      </c>
      <c r="H984" s="8">
        <v>6.9</v>
      </c>
      <c r="I984" s="4">
        <v>0</v>
      </c>
    </row>
    <row r="985" spans="1:9" x14ac:dyDescent="0.2">
      <c r="A985" s="2">
        <v>4</v>
      </c>
      <c r="B985" s="1" t="s">
        <v>89</v>
      </c>
      <c r="C985" s="4">
        <v>31</v>
      </c>
      <c r="D985" s="8">
        <v>6.95</v>
      </c>
      <c r="E985" s="4">
        <v>28</v>
      </c>
      <c r="F985" s="8">
        <v>9.4600000000000009</v>
      </c>
      <c r="G985" s="4">
        <v>2</v>
      </c>
      <c r="H985" s="8">
        <v>1.38</v>
      </c>
      <c r="I985" s="4">
        <v>1</v>
      </c>
    </row>
    <row r="986" spans="1:9" x14ac:dyDescent="0.2">
      <c r="A986" s="2">
        <v>6</v>
      </c>
      <c r="B986" s="1" t="s">
        <v>83</v>
      </c>
      <c r="C986" s="4">
        <v>28</v>
      </c>
      <c r="D986" s="8">
        <v>6.28</v>
      </c>
      <c r="E986" s="4">
        <v>10</v>
      </c>
      <c r="F986" s="8">
        <v>3.38</v>
      </c>
      <c r="G986" s="4">
        <v>18</v>
      </c>
      <c r="H986" s="8">
        <v>12.41</v>
      </c>
      <c r="I986" s="4">
        <v>0</v>
      </c>
    </row>
    <row r="987" spans="1:9" x14ac:dyDescent="0.2">
      <c r="A987" s="2">
        <v>7</v>
      </c>
      <c r="B987" s="1" t="s">
        <v>92</v>
      </c>
      <c r="C987" s="4">
        <v>27</v>
      </c>
      <c r="D987" s="8">
        <v>6.05</v>
      </c>
      <c r="E987" s="4">
        <v>21</v>
      </c>
      <c r="F987" s="8">
        <v>7.09</v>
      </c>
      <c r="G987" s="4">
        <v>6</v>
      </c>
      <c r="H987" s="8">
        <v>4.1399999999999997</v>
      </c>
      <c r="I987" s="4">
        <v>0</v>
      </c>
    </row>
    <row r="988" spans="1:9" x14ac:dyDescent="0.2">
      <c r="A988" s="2">
        <v>8</v>
      </c>
      <c r="B988" s="1" t="s">
        <v>85</v>
      </c>
      <c r="C988" s="4">
        <v>14</v>
      </c>
      <c r="D988" s="8">
        <v>3.14</v>
      </c>
      <c r="E988" s="4">
        <v>6</v>
      </c>
      <c r="F988" s="8">
        <v>2.0299999999999998</v>
      </c>
      <c r="G988" s="4">
        <v>8</v>
      </c>
      <c r="H988" s="8">
        <v>5.52</v>
      </c>
      <c r="I988" s="4">
        <v>0</v>
      </c>
    </row>
    <row r="989" spans="1:9" x14ac:dyDescent="0.2">
      <c r="A989" s="2">
        <v>9</v>
      </c>
      <c r="B989" s="1" t="s">
        <v>100</v>
      </c>
      <c r="C989" s="4">
        <v>13</v>
      </c>
      <c r="D989" s="8">
        <v>2.91</v>
      </c>
      <c r="E989" s="4">
        <v>11</v>
      </c>
      <c r="F989" s="8">
        <v>3.72</v>
      </c>
      <c r="G989" s="4">
        <v>2</v>
      </c>
      <c r="H989" s="8">
        <v>1.38</v>
      </c>
      <c r="I989" s="4">
        <v>0</v>
      </c>
    </row>
    <row r="990" spans="1:9" x14ac:dyDescent="0.2">
      <c r="A990" s="2">
        <v>10</v>
      </c>
      <c r="B990" s="1" t="s">
        <v>111</v>
      </c>
      <c r="C990" s="4">
        <v>12</v>
      </c>
      <c r="D990" s="8">
        <v>2.69</v>
      </c>
      <c r="E990" s="4">
        <v>8</v>
      </c>
      <c r="F990" s="8">
        <v>2.7</v>
      </c>
      <c r="G990" s="4">
        <v>4</v>
      </c>
      <c r="H990" s="8">
        <v>2.76</v>
      </c>
      <c r="I990" s="4">
        <v>0</v>
      </c>
    </row>
    <row r="991" spans="1:9" x14ac:dyDescent="0.2">
      <c r="A991" s="2">
        <v>10</v>
      </c>
      <c r="B991" s="1" t="s">
        <v>90</v>
      </c>
      <c r="C991" s="4">
        <v>12</v>
      </c>
      <c r="D991" s="8">
        <v>2.69</v>
      </c>
      <c r="E991" s="4">
        <v>8</v>
      </c>
      <c r="F991" s="8">
        <v>2.7</v>
      </c>
      <c r="G991" s="4">
        <v>4</v>
      </c>
      <c r="H991" s="8">
        <v>2.76</v>
      </c>
      <c r="I991" s="4">
        <v>0</v>
      </c>
    </row>
    <row r="992" spans="1:9" x14ac:dyDescent="0.2">
      <c r="A992" s="2">
        <v>12</v>
      </c>
      <c r="B992" s="1" t="s">
        <v>88</v>
      </c>
      <c r="C992" s="4">
        <v>11</v>
      </c>
      <c r="D992" s="8">
        <v>2.4700000000000002</v>
      </c>
      <c r="E992" s="4">
        <v>9</v>
      </c>
      <c r="F992" s="8">
        <v>3.04</v>
      </c>
      <c r="G992" s="4">
        <v>2</v>
      </c>
      <c r="H992" s="8">
        <v>1.38</v>
      </c>
      <c r="I992" s="4">
        <v>0</v>
      </c>
    </row>
    <row r="993" spans="1:9" x14ac:dyDescent="0.2">
      <c r="A993" s="2">
        <v>12</v>
      </c>
      <c r="B993" s="1" t="s">
        <v>99</v>
      </c>
      <c r="C993" s="4">
        <v>11</v>
      </c>
      <c r="D993" s="8">
        <v>2.4700000000000002</v>
      </c>
      <c r="E993" s="4">
        <v>7</v>
      </c>
      <c r="F993" s="8">
        <v>2.36</v>
      </c>
      <c r="G993" s="4">
        <v>4</v>
      </c>
      <c r="H993" s="8">
        <v>2.76</v>
      </c>
      <c r="I993" s="4">
        <v>0</v>
      </c>
    </row>
    <row r="994" spans="1:9" x14ac:dyDescent="0.2">
      <c r="A994" s="2">
        <v>14</v>
      </c>
      <c r="B994" s="1" t="s">
        <v>110</v>
      </c>
      <c r="C994" s="4">
        <v>9</v>
      </c>
      <c r="D994" s="8">
        <v>2.02</v>
      </c>
      <c r="E994" s="4">
        <v>4</v>
      </c>
      <c r="F994" s="8">
        <v>1.35</v>
      </c>
      <c r="G994" s="4">
        <v>5</v>
      </c>
      <c r="H994" s="8">
        <v>3.45</v>
      </c>
      <c r="I994" s="4">
        <v>0</v>
      </c>
    </row>
    <row r="995" spans="1:9" x14ac:dyDescent="0.2">
      <c r="A995" s="2">
        <v>14</v>
      </c>
      <c r="B995" s="1" t="s">
        <v>102</v>
      </c>
      <c r="C995" s="4">
        <v>9</v>
      </c>
      <c r="D995" s="8">
        <v>2.02</v>
      </c>
      <c r="E995" s="4">
        <v>8</v>
      </c>
      <c r="F995" s="8">
        <v>2.7</v>
      </c>
      <c r="G995" s="4">
        <v>1</v>
      </c>
      <c r="H995" s="8">
        <v>0.69</v>
      </c>
      <c r="I995" s="4">
        <v>0</v>
      </c>
    </row>
    <row r="996" spans="1:9" x14ac:dyDescent="0.2">
      <c r="A996" s="2">
        <v>16</v>
      </c>
      <c r="B996" s="1" t="s">
        <v>98</v>
      </c>
      <c r="C996" s="4">
        <v>6</v>
      </c>
      <c r="D996" s="8">
        <v>1.35</v>
      </c>
      <c r="E996" s="4">
        <v>3</v>
      </c>
      <c r="F996" s="8">
        <v>1.01</v>
      </c>
      <c r="G996" s="4">
        <v>2</v>
      </c>
      <c r="H996" s="8">
        <v>1.38</v>
      </c>
      <c r="I996" s="4">
        <v>0</v>
      </c>
    </row>
    <row r="997" spans="1:9" x14ac:dyDescent="0.2">
      <c r="A997" s="2">
        <v>17</v>
      </c>
      <c r="B997" s="1" t="s">
        <v>113</v>
      </c>
      <c r="C997" s="4">
        <v>5</v>
      </c>
      <c r="D997" s="8">
        <v>1.1200000000000001</v>
      </c>
      <c r="E997" s="4">
        <v>3</v>
      </c>
      <c r="F997" s="8">
        <v>1.01</v>
      </c>
      <c r="G997" s="4">
        <v>1</v>
      </c>
      <c r="H997" s="8">
        <v>0.69</v>
      </c>
      <c r="I997" s="4">
        <v>0</v>
      </c>
    </row>
    <row r="998" spans="1:9" x14ac:dyDescent="0.2">
      <c r="A998" s="2">
        <v>18</v>
      </c>
      <c r="B998" s="1" t="s">
        <v>112</v>
      </c>
      <c r="C998" s="4">
        <v>4</v>
      </c>
      <c r="D998" s="8">
        <v>0.9</v>
      </c>
      <c r="E998" s="4">
        <v>0</v>
      </c>
      <c r="F998" s="8">
        <v>0</v>
      </c>
      <c r="G998" s="4">
        <v>4</v>
      </c>
      <c r="H998" s="8">
        <v>2.76</v>
      </c>
      <c r="I998" s="4">
        <v>0</v>
      </c>
    </row>
    <row r="999" spans="1:9" x14ac:dyDescent="0.2">
      <c r="A999" s="2">
        <v>18</v>
      </c>
      <c r="B999" s="1" t="s">
        <v>86</v>
      </c>
      <c r="C999" s="4">
        <v>4</v>
      </c>
      <c r="D999" s="8">
        <v>0.9</v>
      </c>
      <c r="E999" s="4">
        <v>3</v>
      </c>
      <c r="F999" s="8">
        <v>1.01</v>
      </c>
      <c r="G999" s="4">
        <v>1</v>
      </c>
      <c r="H999" s="8">
        <v>0.69</v>
      </c>
      <c r="I999" s="4">
        <v>0</v>
      </c>
    </row>
    <row r="1000" spans="1:9" x14ac:dyDescent="0.2">
      <c r="A1000" s="2">
        <v>18</v>
      </c>
      <c r="B1000" s="1" t="s">
        <v>87</v>
      </c>
      <c r="C1000" s="4">
        <v>4</v>
      </c>
      <c r="D1000" s="8">
        <v>0.9</v>
      </c>
      <c r="E1000" s="4">
        <v>0</v>
      </c>
      <c r="F1000" s="8">
        <v>0</v>
      </c>
      <c r="G1000" s="4">
        <v>4</v>
      </c>
      <c r="H1000" s="8">
        <v>2.76</v>
      </c>
      <c r="I1000" s="4">
        <v>0</v>
      </c>
    </row>
    <row r="1001" spans="1:9" x14ac:dyDescent="0.2">
      <c r="A1001" s="2">
        <v>18</v>
      </c>
      <c r="B1001" s="1" t="s">
        <v>104</v>
      </c>
      <c r="C1001" s="4">
        <v>4</v>
      </c>
      <c r="D1001" s="8">
        <v>0.9</v>
      </c>
      <c r="E1001" s="4">
        <v>3</v>
      </c>
      <c r="F1001" s="8">
        <v>1.01</v>
      </c>
      <c r="G1001" s="4">
        <v>1</v>
      </c>
      <c r="H1001" s="8">
        <v>0.69</v>
      </c>
      <c r="I1001" s="4">
        <v>0</v>
      </c>
    </row>
    <row r="1002" spans="1:9" x14ac:dyDescent="0.2">
      <c r="A1002" s="2">
        <v>18</v>
      </c>
      <c r="B1002" s="1" t="s">
        <v>93</v>
      </c>
      <c r="C1002" s="4">
        <v>4</v>
      </c>
      <c r="D1002" s="8">
        <v>0.9</v>
      </c>
      <c r="E1002" s="4">
        <v>4</v>
      </c>
      <c r="F1002" s="8">
        <v>1.35</v>
      </c>
      <c r="G1002" s="4">
        <v>0</v>
      </c>
      <c r="H1002" s="8">
        <v>0</v>
      </c>
      <c r="I1002" s="4">
        <v>0</v>
      </c>
    </row>
    <row r="1003" spans="1:9" x14ac:dyDescent="0.2">
      <c r="A1003" s="2">
        <v>18</v>
      </c>
      <c r="B1003" s="1" t="s">
        <v>94</v>
      </c>
      <c r="C1003" s="4">
        <v>4</v>
      </c>
      <c r="D1003" s="8">
        <v>0.9</v>
      </c>
      <c r="E1003" s="4">
        <v>2</v>
      </c>
      <c r="F1003" s="8">
        <v>0.68</v>
      </c>
      <c r="G1003" s="4">
        <v>2</v>
      </c>
      <c r="H1003" s="8">
        <v>1.38</v>
      </c>
      <c r="I1003" s="4">
        <v>0</v>
      </c>
    </row>
    <row r="1004" spans="1:9" x14ac:dyDescent="0.2">
      <c r="A1004" s="2">
        <v>18</v>
      </c>
      <c r="B1004" s="1" t="s">
        <v>95</v>
      </c>
      <c r="C1004" s="4">
        <v>4</v>
      </c>
      <c r="D1004" s="8">
        <v>0.9</v>
      </c>
      <c r="E1004" s="4">
        <v>1</v>
      </c>
      <c r="F1004" s="8">
        <v>0.34</v>
      </c>
      <c r="G1004" s="4">
        <v>3</v>
      </c>
      <c r="H1004" s="8">
        <v>2.0699999999999998</v>
      </c>
      <c r="I1004" s="4">
        <v>0</v>
      </c>
    </row>
    <row r="1005" spans="1:9" x14ac:dyDescent="0.2">
      <c r="A1005" s="1"/>
      <c r="C1005" s="4"/>
      <c r="D1005" s="8"/>
      <c r="E1005" s="4"/>
      <c r="F1005" s="8"/>
      <c r="G1005" s="4"/>
      <c r="H1005" s="8"/>
      <c r="I1005" s="4"/>
    </row>
    <row r="1006" spans="1:9" x14ac:dyDescent="0.2">
      <c r="A1006" s="1" t="s">
        <v>40</v>
      </c>
      <c r="C1006" s="4"/>
      <c r="D1006" s="8"/>
      <c r="E1006" s="4"/>
      <c r="F1006" s="8"/>
      <c r="G1006" s="4"/>
      <c r="H1006" s="8"/>
      <c r="I1006" s="4"/>
    </row>
    <row r="1007" spans="1:9" x14ac:dyDescent="0.2">
      <c r="A1007" s="2">
        <v>1</v>
      </c>
      <c r="B1007" s="1" t="s">
        <v>83</v>
      </c>
      <c r="C1007" s="4">
        <v>30</v>
      </c>
      <c r="D1007" s="8">
        <v>15.23</v>
      </c>
      <c r="E1007" s="4">
        <v>26</v>
      </c>
      <c r="F1007" s="8">
        <v>17.93</v>
      </c>
      <c r="G1007" s="4">
        <v>4</v>
      </c>
      <c r="H1007" s="8">
        <v>8.6999999999999993</v>
      </c>
      <c r="I1007" s="4">
        <v>0</v>
      </c>
    </row>
    <row r="1008" spans="1:9" x14ac:dyDescent="0.2">
      <c r="A1008" s="2">
        <v>2</v>
      </c>
      <c r="B1008" s="1" t="s">
        <v>84</v>
      </c>
      <c r="C1008" s="4">
        <v>21</v>
      </c>
      <c r="D1008" s="8">
        <v>10.66</v>
      </c>
      <c r="E1008" s="4">
        <v>14</v>
      </c>
      <c r="F1008" s="8">
        <v>9.66</v>
      </c>
      <c r="G1008" s="4">
        <v>7</v>
      </c>
      <c r="H1008" s="8">
        <v>15.22</v>
      </c>
      <c r="I1008" s="4">
        <v>0</v>
      </c>
    </row>
    <row r="1009" spans="1:9" x14ac:dyDescent="0.2">
      <c r="A1009" s="2">
        <v>3</v>
      </c>
      <c r="B1009" s="1" t="s">
        <v>97</v>
      </c>
      <c r="C1009" s="4">
        <v>19</v>
      </c>
      <c r="D1009" s="8">
        <v>9.64</v>
      </c>
      <c r="E1009" s="4">
        <v>19</v>
      </c>
      <c r="F1009" s="8">
        <v>13.1</v>
      </c>
      <c r="G1009" s="4">
        <v>0</v>
      </c>
      <c r="H1009" s="8">
        <v>0</v>
      </c>
      <c r="I1009" s="4">
        <v>0</v>
      </c>
    </row>
    <row r="1010" spans="1:9" x14ac:dyDescent="0.2">
      <c r="A1010" s="2">
        <v>4</v>
      </c>
      <c r="B1010" s="1" t="s">
        <v>96</v>
      </c>
      <c r="C1010" s="4">
        <v>18</v>
      </c>
      <c r="D1010" s="8">
        <v>9.14</v>
      </c>
      <c r="E1010" s="4">
        <v>17</v>
      </c>
      <c r="F1010" s="8">
        <v>11.72</v>
      </c>
      <c r="G1010" s="4">
        <v>1</v>
      </c>
      <c r="H1010" s="8">
        <v>2.17</v>
      </c>
      <c r="I1010" s="4">
        <v>0</v>
      </c>
    </row>
    <row r="1011" spans="1:9" x14ac:dyDescent="0.2">
      <c r="A1011" s="2">
        <v>5</v>
      </c>
      <c r="B1011" s="1" t="s">
        <v>89</v>
      </c>
      <c r="C1011" s="4">
        <v>13</v>
      </c>
      <c r="D1011" s="8">
        <v>6.6</v>
      </c>
      <c r="E1011" s="4">
        <v>10</v>
      </c>
      <c r="F1011" s="8">
        <v>6.9</v>
      </c>
      <c r="G1011" s="4">
        <v>3</v>
      </c>
      <c r="H1011" s="8">
        <v>6.52</v>
      </c>
      <c r="I1011" s="4">
        <v>0</v>
      </c>
    </row>
    <row r="1012" spans="1:9" x14ac:dyDescent="0.2">
      <c r="A1012" s="2">
        <v>6</v>
      </c>
      <c r="B1012" s="1" t="s">
        <v>91</v>
      </c>
      <c r="C1012" s="4">
        <v>11</v>
      </c>
      <c r="D1012" s="8">
        <v>5.58</v>
      </c>
      <c r="E1012" s="4">
        <v>5</v>
      </c>
      <c r="F1012" s="8">
        <v>3.45</v>
      </c>
      <c r="G1012" s="4">
        <v>6</v>
      </c>
      <c r="H1012" s="8">
        <v>13.04</v>
      </c>
      <c r="I1012" s="4">
        <v>0</v>
      </c>
    </row>
    <row r="1013" spans="1:9" x14ac:dyDescent="0.2">
      <c r="A1013" s="2">
        <v>7</v>
      </c>
      <c r="B1013" s="1" t="s">
        <v>90</v>
      </c>
      <c r="C1013" s="4">
        <v>7</v>
      </c>
      <c r="D1013" s="8">
        <v>3.55</v>
      </c>
      <c r="E1013" s="4">
        <v>6</v>
      </c>
      <c r="F1013" s="8">
        <v>4.1399999999999997</v>
      </c>
      <c r="G1013" s="4">
        <v>1</v>
      </c>
      <c r="H1013" s="8">
        <v>2.17</v>
      </c>
      <c r="I1013" s="4">
        <v>0</v>
      </c>
    </row>
    <row r="1014" spans="1:9" x14ac:dyDescent="0.2">
      <c r="A1014" s="2">
        <v>8</v>
      </c>
      <c r="B1014" s="1" t="s">
        <v>85</v>
      </c>
      <c r="C1014" s="4">
        <v>6</v>
      </c>
      <c r="D1014" s="8">
        <v>3.05</v>
      </c>
      <c r="E1014" s="4">
        <v>4</v>
      </c>
      <c r="F1014" s="8">
        <v>2.76</v>
      </c>
      <c r="G1014" s="4">
        <v>2</v>
      </c>
      <c r="H1014" s="8">
        <v>4.3499999999999996</v>
      </c>
      <c r="I1014" s="4">
        <v>0</v>
      </c>
    </row>
    <row r="1015" spans="1:9" x14ac:dyDescent="0.2">
      <c r="A1015" s="2">
        <v>8</v>
      </c>
      <c r="B1015" s="1" t="s">
        <v>103</v>
      </c>
      <c r="C1015" s="4">
        <v>6</v>
      </c>
      <c r="D1015" s="8">
        <v>3.05</v>
      </c>
      <c r="E1015" s="4">
        <v>4</v>
      </c>
      <c r="F1015" s="8">
        <v>2.76</v>
      </c>
      <c r="G1015" s="4">
        <v>1</v>
      </c>
      <c r="H1015" s="8">
        <v>2.17</v>
      </c>
      <c r="I1015" s="4">
        <v>1</v>
      </c>
    </row>
    <row r="1016" spans="1:9" x14ac:dyDescent="0.2">
      <c r="A1016" s="2">
        <v>10</v>
      </c>
      <c r="B1016" s="1" t="s">
        <v>100</v>
      </c>
      <c r="C1016" s="4">
        <v>5</v>
      </c>
      <c r="D1016" s="8">
        <v>2.54</v>
      </c>
      <c r="E1016" s="4">
        <v>5</v>
      </c>
      <c r="F1016" s="8">
        <v>3.45</v>
      </c>
      <c r="G1016" s="4">
        <v>0</v>
      </c>
      <c r="H1016" s="8">
        <v>0</v>
      </c>
      <c r="I1016" s="4">
        <v>0</v>
      </c>
    </row>
    <row r="1017" spans="1:9" x14ac:dyDescent="0.2">
      <c r="A1017" s="2">
        <v>11</v>
      </c>
      <c r="B1017" s="1" t="s">
        <v>110</v>
      </c>
      <c r="C1017" s="4">
        <v>4</v>
      </c>
      <c r="D1017" s="8">
        <v>2.0299999999999998</v>
      </c>
      <c r="E1017" s="4">
        <v>1</v>
      </c>
      <c r="F1017" s="8">
        <v>0.69</v>
      </c>
      <c r="G1017" s="4">
        <v>3</v>
      </c>
      <c r="H1017" s="8">
        <v>6.52</v>
      </c>
      <c r="I1017" s="4">
        <v>0</v>
      </c>
    </row>
    <row r="1018" spans="1:9" x14ac:dyDescent="0.2">
      <c r="A1018" s="2">
        <v>11</v>
      </c>
      <c r="B1018" s="1" t="s">
        <v>124</v>
      </c>
      <c r="C1018" s="4">
        <v>4</v>
      </c>
      <c r="D1018" s="8">
        <v>2.0299999999999998</v>
      </c>
      <c r="E1018" s="4">
        <v>1</v>
      </c>
      <c r="F1018" s="8">
        <v>0.69</v>
      </c>
      <c r="G1018" s="4">
        <v>3</v>
      </c>
      <c r="H1018" s="8">
        <v>6.52</v>
      </c>
      <c r="I1018" s="4">
        <v>0</v>
      </c>
    </row>
    <row r="1019" spans="1:9" x14ac:dyDescent="0.2">
      <c r="A1019" s="2">
        <v>11</v>
      </c>
      <c r="B1019" s="1" t="s">
        <v>92</v>
      </c>
      <c r="C1019" s="4">
        <v>4</v>
      </c>
      <c r="D1019" s="8">
        <v>2.0299999999999998</v>
      </c>
      <c r="E1019" s="4">
        <v>4</v>
      </c>
      <c r="F1019" s="8">
        <v>2.76</v>
      </c>
      <c r="G1019" s="4">
        <v>0</v>
      </c>
      <c r="H1019" s="8">
        <v>0</v>
      </c>
      <c r="I1019" s="4">
        <v>0</v>
      </c>
    </row>
    <row r="1020" spans="1:9" x14ac:dyDescent="0.2">
      <c r="A1020" s="2">
        <v>11</v>
      </c>
      <c r="B1020" s="1" t="s">
        <v>101</v>
      </c>
      <c r="C1020" s="4">
        <v>4</v>
      </c>
      <c r="D1020" s="8">
        <v>2.0299999999999998</v>
      </c>
      <c r="E1020" s="4">
        <v>0</v>
      </c>
      <c r="F1020" s="8">
        <v>0</v>
      </c>
      <c r="G1020" s="4">
        <v>4</v>
      </c>
      <c r="H1020" s="8">
        <v>8.6999999999999993</v>
      </c>
      <c r="I1020" s="4">
        <v>0</v>
      </c>
    </row>
    <row r="1021" spans="1:9" x14ac:dyDescent="0.2">
      <c r="A1021" s="2">
        <v>15</v>
      </c>
      <c r="B1021" s="1" t="s">
        <v>112</v>
      </c>
      <c r="C1021" s="4">
        <v>3</v>
      </c>
      <c r="D1021" s="8">
        <v>1.52</v>
      </c>
      <c r="E1021" s="4">
        <v>1</v>
      </c>
      <c r="F1021" s="8">
        <v>0.69</v>
      </c>
      <c r="G1021" s="4">
        <v>2</v>
      </c>
      <c r="H1021" s="8">
        <v>4.3499999999999996</v>
      </c>
      <c r="I1021" s="4">
        <v>0</v>
      </c>
    </row>
    <row r="1022" spans="1:9" x14ac:dyDescent="0.2">
      <c r="A1022" s="2">
        <v>15</v>
      </c>
      <c r="B1022" s="1" t="s">
        <v>88</v>
      </c>
      <c r="C1022" s="4">
        <v>3</v>
      </c>
      <c r="D1022" s="8">
        <v>1.52</v>
      </c>
      <c r="E1022" s="4">
        <v>3</v>
      </c>
      <c r="F1022" s="8">
        <v>2.0699999999999998</v>
      </c>
      <c r="G1022" s="4">
        <v>0</v>
      </c>
      <c r="H1022" s="8">
        <v>0</v>
      </c>
      <c r="I1022" s="4">
        <v>0</v>
      </c>
    </row>
    <row r="1023" spans="1:9" x14ac:dyDescent="0.2">
      <c r="A1023" s="2">
        <v>15</v>
      </c>
      <c r="B1023" s="1" t="s">
        <v>98</v>
      </c>
      <c r="C1023" s="4">
        <v>3</v>
      </c>
      <c r="D1023" s="8">
        <v>1.52</v>
      </c>
      <c r="E1023" s="4">
        <v>2</v>
      </c>
      <c r="F1023" s="8">
        <v>1.38</v>
      </c>
      <c r="G1023" s="4">
        <v>0</v>
      </c>
      <c r="H1023" s="8">
        <v>0</v>
      </c>
      <c r="I1023" s="4">
        <v>0</v>
      </c>
    </row>
    <row r="1024" spans="1:9" x14ac:dyDescent="0.2">
      <c r="A1024" s="2">
        <v>15</v>
      </c>
      <c r="B1024" s="1" t="s">
        <v>99</v>
      </c>
      <c r="C1024" s="4">
        <v>3</v>
      </c>
      <c r="D1024" s="8">
        <v>1.52</v>
      </c>
      <c r="E1024" s="4">
        <v>2</v>
      </c>
      <c r="F1024" s="8">
        <v>1.38</v>
      </c>
      <c r="G1024" s="4">
        <v>0</v>
      </c>
      <c r="H1024" s="8">
        <v>0</v>
      </c>
      <c r="I1024" s="4">
        <v>0</v>
      </c>
    </row>
    <row r="1025" spans="1:9" x14ac:dyDescent="0.2">
      <c r="A1025" s="2">
        <v>15</v>
      </c>
      <c r="B1025" s="1" t="s">
        <v>102</v>
      </c>
      <c r="C1025" s="4">
        <v>3</v>
      </c>
      <c r="D1025" s="8">
        <v>1.52</v>
      </c>
      <c r="E1025" s="4">
        <v>2</v>
      </c>
      <c r="F1025" s="8">
        <v>1.38</v>
      </c>
      <c r="G1025" s="4">
        <v>1</v>
      </c>
      <c r="H1025" s="8">
        <v>2.17</v>
      </c>
      <c r="I1025" s="4">
        <v>0</v>
      </c>
    </row>
    <row r="1026" spans="1:9" x14ac:dyDescent="0.2">
      <c r="A1026" s="2">
        <v>20</v>
      </c>
      <c r="B1026" s="1" t="s">
        <v>132</v>
      </c>
      <c r="C1026" s="4">
        <v>2</v>
      </c>
      <c r="D1026" s="8">
        <v>1.02</v>
      </c>
      <c r="E1026" s="4">
        <v>0</v>
      </c>
      <c r="F1026" s="8">
        <v>0</v>
      </c>
      <c r="G1026" s="4">
        <v>2</v>
      </c>
      <c r="H1026" s="8">
        <v>4.3499999999999996</v>
      </c>
      <c r="I1026" s="4">
        <v>0</v>
      </c>
    </row>
    <row r="1027" spans="1:9" x14ac:dyDescent="0.2">
      <c r="A1027" s="2">
        <v>20</v>
      </c>
      <c r="B1027" s="1" t="s">
        <v>111</v>
      </c>
      <c r="C1027" s="4">
        <v>2</v>
      </c>
      <c r="D1027" s="8">
        <v>1.02</v>
      </c>
      <c r="E1027" s="4">
        <v>1</v>
      </c>
      <c r="F1027" s="8">
        <v>0.69</v>
      </c>
      <c r="G1027" s="4">
        <v>1</v>
      </c>
      <c r="H1027" s="8">
        <v>2.17</v>
      </c>
      <c r="I1027" s="4">
        <v>0</v>
      </c>
    </row>
    <row r="1028" spans="1:9" x14ac:dyDescent="0.2">
      <c r="A1028" s="2">
        <v>20</v>
      </c>
      <c r="B1028" s="1" t="s">
        <v>116</v>
      </c>
      <c r="C1028" s="4">
        <v>2</v>
      </c>
      <c r="D1028" s="8">
        <v>1.02</v>
      </c>
      <c r="E1028" s="4">
        <v>2</v>
      </c>
      <c r="F1028" s="8">
        <v>1.38</v>
      </c>
      <c r="G1028" s="4">
        <v>0</v>
      </c>
      <c r="H1028" s="8">
        <v>0</v>
      </c>
      <c r="I1028" s="4">
        <v>0</v>
      </c>
    </row>
    <row r="1029" spans="1:9" x14ac:dyDescent="0.2">
      <c r="A1029" s="2">
        <v>20</v>
      </c>
      <c r="B1029" s="1" t="s">
        <v>105</v>
      </c>
      <c r="C1029" s="4">
        <v>2</v>
      </c>
      <c r="D1029" s="8">
        <v>1.02</v>
      </c>
      <c r="E1029" s="4">
        <v>2</v>
      </c>
      <c r="F1029" s="8">
        <v>1.38</v>
      </c>
      <c r="G1029" s="4">
        <v>0</v>
      </c>
      <c r="H1029" s="8">
        <v>0</v>
      </c>
      <c r="I1029" s="4">
        <v>0</v>
      </c>
    </row>
    <row r="1030" spans="1:9" x14ac:dyDescent="0.2">
      <c r="A1030" s="2">
        <v>20</v>
      </c>
      <c r="B1030" s="1" t="s">
        <v>94</v>
      </c>
      <c r="C1030" s="4">
        <v>2</v>
      </c>
      <c r="D1030" s="8">
        <v>1.02</v>
      </c>
      <c r="E1030" s="4">
        <v>2</v>
      </c>
      <c r="F1030" s="8">
        <v>1.38</v>
      </c>
      <c r="G1030" s="4">
        <v>0</v>
      </c>
      <c r="H1030" s="8">
        <v>0</v>
      </c>
      <c r="I1030" s="4">
        <v>0</v>
      </c>
    </row>
    <row r="1031" spans="1:9" x14ac:dyDescent="0.2">
      <c r="A1031" s="2">
        <v>20</v>
      </c>
      <c r="B1031" s="1" t="s">
        <v>95</v>
      </c>
      <c r="C1031" s="4">
        <v>2</v>
      </c>
      <c r="D1031" s="8">
        <v>1.02</v>
      </c>
      <c r="E1031" s="4">
        <v>2</v>
      </c>
      <c r="F1031" s="8">
        <v>1.38</v>
      </c>
      <c r="G1031" s="4">
        <v>0</v>
      </c>
      <c r="H1031" s="8">
        <v>0</v>
      </c>
      <c r="I1031" s="4">
        <v>0</v>
      </c>
    </row>
    <row r="1032" spans="1:9" x14ac:dyDescent="0.2">
      <c r="A1032" s="2">
        <v>20</v>
      </c>
      <c r="B1032" s="1" t="s">
        <v>113</v>
      </c>
      <c r="C1032" s="4">
        <v>2</v>
      </c>
      <c r="D1032" s="8">
        <v>1.02</v>
      </c>
      <c r="E1032" s="4">
        <v>1</v>
      </c>
      <c r="F1032" s="8">
        <v>0.69</v>
      </c>
      <c r="G1032" s="4">
        <v>1</v>
      </c>
      <c r="H1032" s="8">
        <v>2.17</v>
      </c>
      <c r="I1032" s="4">
        <v>0</v>
      </c>
    </row>
    <row r="1033" spans="1:9" x14ac:dyDescent="0.2">
      <c r="A1033" s="1"/>
      <c r="C1033" s="4"/>
      <c r="D1033" s="8"/>
      <c r="E1033" s="4"/>
      <c r="F1033" s="8"/>
      <c r="G1033" s="4"/>
      <c r="H1033" s="8"/>
      <c r="I1033" s="4"/>
    </row>
    <row r="1034" spans="1:9" x14ac:dyDescent="0.2">
      <c r="A1034" s="1" t="s">
        <v>41</v>
      </c>
      <c r="C1034" s="4"/>
      <c r="D1034" s="8"/>
      <c r="E1034" s="4"/>
      <c r="F1034" s="8"/>
      <c r="G1034" s="4"/>
      <c r="H1034" s="8"/>
      <c r="I1034" s="4"/>
    </row>
    <row r="1035" spans="1:9" x14ac:dyDescent="0.2">
      <c r="A1035" s="2">
        <v>1</v>
      </c>
      <c r="B1035" s="1" t="s">
        <v>91</v>
      </c>
      <c r="C1035" s="4">
        <v>39</v>
      </c>
      <c r="D1035" s="8">
        <v>11.57</v>
      </c>
      <c r="E1035" s="4">
        <v>30</v>
      </c>
      <c r="F1035" s="8">
        <v>12.05</v>
      </c>
      <c r="G1035" s="4">
        <v>8</v>
      </c>
      <c r="H1035" s="8">
        <v>9.76</v>
      </c>
      <c r="I1035" s="4">
        <v>1</v>
      </c>
    </row>
    <row r="1036" spans="1:9" x14ac:dyDescent="0.2">
      <c r="A1036" s="2">
        <v>2</v>
      </c>
      <c r="B1036" s="1" t="s">
        <v>97</v>
      </c>
      <c r="C1036" s="4">
        <v>34</v>
      </c>
      <c r="D1036" s="8">
        <v>10.09</v>
      </c>
      <c r="E1036" s="4">
        <v>33</v>
      </c>
      <c r="F1036" s="8">
        <v>13.25</v>
      </c>
      <c r="G1036" s="4">
        <v>1</v>
      </c>
      <c r="H1036" s="8">
        <v>1.22</v>
      </c>
      <c r="I1036" s="4">
        <v>0</v>
      </c>
    </row>
    <row r="1037" spans="1:9" x14ac:dyDescent="0.2">
      <c r="A1037" s="2">
        <v>3</v>
      </c>
      <c r="B1037" s="1" t="s">
        <v>96</v>
      </c>
      <c r="C1037" s="4">
        <v>31</v>
      </c>
      <c r="D1037" s="8">
        <v>9.1999999999999993</v>
      </c>
      <c r="E1037" s="4">
        <v>30</v>
      </c>
      <c r="F1037" s="8">
        <v>12.05</v>
      </c>
      <c r="G1037" s="4">
        <v>1</v>
      </c>
      <c r="H1037" s="8">
        <v>1.22</v>
      </c>
      <c r="I1037" s="4">
        <v>0</v>
      </c>
    </row>
    <row r="1038" spans="1:9" x14ac:dyDescent="0.2">
      <c r="A1038" s="2">
        <v>4</v>
      </c>
      <c r="B1038" s="1" t="s">
        <v>92</v>
      </c>
      <c r="C1038" s="4">
        <v>27</v>
      </c>
      <c r="D1038" s="8">
        <v>8.01</v>
      </c>
      <c r="E1038" s="4">
        <v>25</v>
      </c>
      <c r="F1038" s="8">
        <v>10.039999999999999</v>
      </c>
      <c r="G1038" s="4">
        <v>2</v>
      </c>
      <c r="H1038" s="8">
        <v>2.44</v>
      </c>
      <c r="I1038" s="4">
        <v>0</v>
      </c>
    </row>
    <row r="1039" spans="1:9" x14ac:dyDescent="0.2">
      <c r="A1039" s="2">
        <v>5</v>
      </c>
      <c r="B1039" s="1" t="s">
        <v>83</v>
      </c>
      <c r="C1039" s="4">
        <v>26</v>
      </c>
      <c r="D1039" s="8">
        <v>7.72</v>
      </c>
      <c r="E1039" s="4">
        <v>19</v>
      </c>
      <c r="F1039" s="8">
        <v>7.63</v>
      </c>
      <c r="G1039" s="4">
        <v>7</v>
      </c>
      <c r="H1039" s="8">
        <v>8.5399999999999991</v>
      </c>
      <c r="I1039" s="4">
        <v>0</v>
      </c>
    </row>
    <row r="1040" spans="1:9" x14ac:dyDescent="0.2">
      <c r="A1040" s="2">
        <v>6</v>
      </c>
      <c r="B1040" s="1" t="s">
        <v>89</v>
      </c>
      <c r="C1040" s="4">
        <v>24</v>
      </c>
      <c r="D1040" s="8">
        <v>7.12</v>
      </c>
      <c r="E1040" s="4">
        <v>22</v>
      </c>
      <c r="F1040" s="8">
        <v>8.84</v>
      </c>
      <c r="G1040" s="4">
        <v>2</v>
      </c>
      <c r="H1040" s="8">
        <v>2.44</v>
      </c>
      <c r="I1040" s="4">
        <v>0</v>
      </c>
    </row>
    <row r="1041" spans="1:9" x14ac:dyDescent="0.2">
      <c r="A1041" s="2">
        <v>7</v>
      </c>
      <c r="B1041" s="1" t="s">
        <v>84</v>
      </c>
      <c r="C1041" s="4">
        <v>18</v>
      </c>
      <c r="D1041" s="8">
        <v>5.34</v>
      </c>
      <c r="E1041" s="4">
        <v>13</v>
      </c>
      <c r="F1041" s="8">
        <v>5.22</v>
      </c>
      <c r="G1041" s="4">
        <v>5</v>
      </c>
      <c r="H1041" s="8">
        <v>6.1</v>
      </c>
      <c r="I1041" s="4">
        <v>0</v>
      </c>
    </row>
    <row r="1042" spans="1:9" x14ac:dyDescent="0.2">
      <c r="A1042" s="2">
        <v>8</v>
      </c>
      <c r="B1042" s="1" t="s">
        <v>88</v>
      </c>
      <c r="C1042" s="4">
        <v>12</v>
      </c>
      <c r="D1042" s="8">
        <v>3.56</v>
      </c>
      <c r="E1042" s="4">
        <v>10</v>
      </c>
      <c r="F1042" s="8">
        <v>4.0199999999999996</v>
      </c>
      <c r="G1042" s="4">
        <v>2</v>
      </c>
      <c r="H1042" s="8">
        <v>2.44</v>
      </c>
      <c r="I1042" s="4">
        <v>0</v>
      </c>
    </row>
    <row r="1043" spans="1:9" x14ac:dyDescent="0.2">
      <c r="A1043" s="2">
        <v>8</v>
      </c>
      <c r="B1043" s="1" t="s">
        <v>99</v>
      </c>
      <c r="C1043" s="4">
        <v>12</v>
      </c>
      <c r="D1043" s="8">
        <v>3.56</v>
      </c>
      <c r="E1043" s="4">
        <v>9</v>
      </c>
      <c r="F1043" s="8">
        <v>3.61</v>
      </c>
      <c r="G1043" s="4">
        <v>1</v>
      </c>
      <c r="H1043" s="8">
        <v>1.22</v>
      </c>
      <c r="I1043" s="4">
        <v>0</v>
      </c>
    </row>
    <row r="1044" spans="1:9" x14ac:dyDescent="0.2">
      <c r="A1044" s="2">
        <v>10</v>
      </c>
      <c r="B1044" s="1" t="s">
        <v>85</v>
      </c>
      <c r="C1044" s="4">
        <v>9</v>
      </c>
      <c r="D1044" s="8">
        <v>2.67</v>
      </c>
      <c r="E1044" s="4">
        <v>5</v>
      </c>
      <c r="F1044" s="8">
        <v>2.0099999999999998</v>
      </c>
      <c r="G1044" s="4">
        <v>4</v>
      </c>
      <c r="H1044" s="8">
        <v>4.88</v>
      </c>
      <c r="I1044" s="4">
        <v>0</v>
      </c>
    </row>
    <row r="1045" spans="1:9" x14ac:dyDescent="0.2">
      <c r="A1045" s="2">
        <v>11</v>
      </c>
      <c r="B1045" s="1" t="s">
        <v>98</v>
      </c>
      <c r="C1045" s="4">
        <v>8</v>
      </c>
      <c r="D1045" s="8">
        <v>2.37</v>
      </c>
      <c r="E1045" s="4">
        <v>6</v>
      </c>
      <c r="F1045" s="8">
        <v>2.41</v>
      </c>
      <c r="G1045" s="4">
        <v>2</v>
      </c>
      <c r="H1045" s="8">
        <v>2.44</v>
      </c>
      <c r="I1045" s="4">
        <v>0</v>
      </c>
    </row>
    <row r="1046" spans="1:9" x14ac:dyDescent="0.2">
      <c r="A1046" s="2">
        <v>12</v>
      </c>
      <c r="B1046" s="1" t="s">
        <v>100</v>
      </c>
      <c r="C1046" s="4">
        <v>7</v>
      </c>
      <c r="D1046" s="8">
        <v>2.08</v>
      </c>
      <c r="E1046" s="4">
        <v>7</v>
      </c>
      <c r="F1046" s="8">
        <v>2.81</v>
      </c>
      <c r="G1046" s="4">
        <v>0</v>
      </c>
      <c r="H1046" s="8">
        <v>0</v>
      </c>
      <c r="I1046" s="4">
        <v>0</v>
      </c>
    </row>
    <row r="1047" spans="1:9" x14ac:dyDescent="0.2">
      <c r="A1047" s="2">
        <v>13</v>
      </c>
      <c r="B1047" s="1" t="s">
        <v>90</v>
      </c>
      <c r="C1047" s="4">
        <v>6</v>
      </c>
      <c r="D1047" s="8">
        <v>1.78</v>
      </c>
      <c r="E1047" s="4">
        <v>4</v>
      </c>
      <c r="F1047" s="8">
        <v>1.61</v>
      </c>
      <c r="G1047" s="4">
        <v>2</v>
      </c>
      <c r="H1047" s="8">
        <v>2.44</v>
      </c>
      <c r="I1047" s="4">
        <v>0</v>
      </c>
    </row>
    <row r="1048" spans="1:9" x14ac:dyDescent="0.2">
      <c r="A1048" s="2">
        <v>14</v>
      </c>
      <c r="B1048" s="1" t="s">
        <v>117</v>
      </c>
      <c r="C1048" s="4">
        <v>5</v>
      </c>
      <c r="D1048" s="8">
        <v>1.48</v>
      </c>
      <c r="E1048" s="4">
        <v>1</v>
      </c>
      <c r="F1048" s="8">
        <v>0.4</v>
      </c>
      <c r="G1048" s="4">
        <v>4</v>
      </c>
      <c r="H1048" s="8">
        <v>4.88</v>
      </c>
      <c r="I1048" s="4">
        <v>0</v>
      </c>
    </row>
    <row r="1049" spans="1:9" x14ac:dyDescent="0.2">
      <c r="A1049" s="2">
        <v>14</v>
      </c>
      <c r="B1049" s="1" t="s">
        <v>94</v>
      </c>
      <c r="C1049" s="4">
        <v>5</v>
      </c>
      <c r="D1049" s="8">
        <v>1.48</v>
      </c>
      <c r="E1049" s="4">
        <v>2</v>
      </c>
      <c r="F1049" s="8">
        <v>0.8</v>
      </c>
      <c r="G1049" s="4">
        <v>3</v>
      </c>
      <c r="H1049" s="8">
        <v>3.66</v>
      </c>
      <c r="I1049" s="4">
        <v>0</v>
      </c>
    </row>
    <row r="1050" spans="1:9" x14ac:dyDescent="0.2">
      <c r="A1050" s="2">
        <v>16</v>
      </c>
      <c r="B1050" s="1" t="s">
        <v>110</v>
      </c>
      <c r="C1050" s="4">
        <v>4</v>
      </c>
      <c r="D1050" s="8">
        <v>1.19</v>
      </c>
      <c r="E1050" s="4">
        <v>3</v>
      </c>
      <c r="F1050" s="8">
        <v>1.2</v>
      </c>
      <c r="G1050" s="4">
        <v>1</v>
      </c>
      <c r="H1050" s="8">
        <v>1.22</v>
      </c>
      <c r="I1050" s="4">
        <v>0</v>
      </c>
    </row>
    <row r="1051" spans="1:9" x14ac:dyDescent="0.2">
      <c r="A1051" s="2">
        <v>16</v>
      </c>
      <c r="B1051" s="1" t="s">
        <v>111</v>
      </c>
      <c r="C1051" s="4">
        <v>4</v>
      </c>
      <c r="D1051" s="8">
        <v>1.19</v>
      </c>
      <c r="E1051" s="4">
        <v>3</v>
      </c>
      <c r="F1051" s="8">
        <v>1.2</v>
      </c>
      <c r="G1051" s="4">
        <v>1</v>
      </c>
      <c r="H1051" s="8">
        <v>1.22</v>
      </c>
      <c r="I1051" s="4">
        <v>0</v>
      </c>
    </row>
    <row r="1052" spans="1:9" x14ac:dyDescent="0.2">
      <c r="A1052" s="2">
        <v>16</v>
      </c>
      <c r="B1052" s="1" t="s">
        <v>124</v>
      </c>
      <c r="C1052" s="4">
        <v>4</v>
      </c>
      <c r="D1052" s="8">
        <v>1.19</v>
      </c>
      <c r="E1052" s="4">
        <v>1</v>
      </c>
      <c r="F1052" s="8">
        <v>0.4</v>
      </c>
      <c r="G1052" s="4">
        <v>3</v>
      </c>
      <c r="H1052" s="8">
        <v>3.66</v>
      </c>
      <c r="I1052" s="4">
        <v>0</v>
      </c>
    </row>
    <row r="1053" spans="1:9" x14ac:dyDescent="0.2">
      <c r="A1053" s="2">
        <v>16</v>
      </c>
      <c r="B1053" s="1" t="s">
        <v>86</v>
      </c>
      <c r="C1053" s="4">
        <v>4</v>
      </c>
      <c r="D1053" s="8">
        <v>1.19</v>
      </c>
      <c r="E1053" s="4">
        <v>1</v>
      </c>
      <c r="F1053" s="8">
        <v>0.4</v>
      </c>
      <c r="G1053" s="4">
        <v>3</v>
      </c>
      <c r="H1053" s="8">
        <v>3.66</v>
      </c>
      <c r="I1053" s="4">
        <v>0</v>
      </c>
    </row>
    <row r="1054" spans="1:9" x14ac:dyDescent="0.2">
      <c r="A1054" s="2">
        <v>16</v>
      </c>
      <c r="B1054" s="1" t="s">
        <v>103</v>
      </c>
      <c r="C1054" s="4">
        <v>4</v>
      </c>
      <c r="D1054" s="8">
        <v>1.19</v>
      </c>
      <c r="E1054" s="4">
        <v>0</v>
      </c>
      <c r="F1054" s="8">
        <v>0</v>
      </c>
      <c r="G1054" s="4">
        <v>4</v>
      </c>
      <c r="H1054" s="8">
        <v>4.88</v>
      </c>
      <c r="I1054" s="4">
        <v>0</v>
      </c>
    </row>
    <row r="1055" spans="1:9" x14ac:dyDescent="0.2">
      <c r="A1055" s="2">
        <v>16</v>
      </c>
      <c r="B1055" s="1" t="s">
        <v>93</v>
      </c>
      <c r="C1055" s="4">
        <v>4</v>
      </c>
      <c r="D1055" s="8">
        <v>1.19</v>
      </c>
      <c r="E1055" s="4">
        <v>3</v>
      </c>
      <c r="F1055" s="8">
        <v>1.2</v>
      </c>
      <c r="G1055" s="4">
        <v>1</v>
      </c>
      <c r="H1055" s="8">
        <v>1.22</v>
      </c>
      <c r="I1055" s="4">
        <v>0</v>
      </c>
    </row>
    <row r="1056" spans="1:9" x14ac:dyDescent="0.2">
      <c r="A1056" s="2">
        <v>16</v>
      </c>
      <c r="B1056" s="1" t="s">
        <v>95</v>
      </c>
      <c r="C1056" s="4">
        <v>4</v>
      </c>
      <c r="D1056" s="8">
        <v>1.19</v>
      </c>
      <c r="E1056" s="4">
        <v>1</v>
      </c>
      <c r="F1056" s="8">
        <v>0.4</v>
      </c>
      <c r="G1056" s="4">
        <v>3</v>
      </c>
      <c r="H1056" s="8">
        <v>3.66</v>
      </c>
      <c r="I1056" s="4">
        <v>0</v>
      </c>
    </row>
    <row r="1057" spans="1:9" x14ac:dyDescent="0.2">
      <c r="A1057" s="2">
        <v>16</v>
      </c>
      <c r="B1057" s="1" t="s">
        <v>113</v>
      </c>
      <c r="C1057" s="4">
        <v>4</v>
      </c>
      <c r="D1057" s="8">
        <v>1.19</v>
      </c>
      <c r="E1057" s="4">
        <v>2</v>
      </c>
      <c r="F1057" s="8">
        <v>0.8</v>
      </c>
      <c r="G1057" s="4">
        <v>1</v>
      </c>
      <c r="H1057" s="8">
        <v>1.22</v>
      </c>
      <c r="I1057" s="4">
        <v>0</v>
      </c>
    </row>
    <row r="1058" spans="1:9" x14ac:dyDescent="0.2">
      <c r="A1058" s="2">
        <v>16</v>
      </c>
      <c r="B1058" s="1" t="s">
        <v>102</v>
      </c>
      <c r="C1058" s="4">
        <v>4</v>
      </c>
      <c r="D1058" s="8">
        <v>1.19</v>
      </c>
      <c r="E1058" s="4">
        <v>3</v>
      </c>
      <c r="F1058" s="8">
        <v>1.2</v>
      </c>
      <c r="G1058" s="4">
        <v>1</v>
      </c>
      <c r="H1058" s="8">
        <v>1.22</v>
      </c>
      <c r="I1058" s="4">
        <v>0</v>
      </c>
    </row>
    <row r="1059" spans="1:9" x14ac:dyDescent="0.2">
      <c r="A1059" s="1"/>
      <c r="C1059" s="4"/>
      <c r="D1059" s="8"/>
      <c r="E1059" s="4"/>
      <c r="F1059" s="8"/>
      <c r="G1059" s="4"/>
      <c r="H1059" s="8"/>
      <c r="I1059" s="4"/>
    </row>
    <row r="1060" spans="1:9" x14ac:dyDescent="0.2">
      <c r="A1060" s="1" t="s">
        <v>42</v>
      </c>
      <c r="C1060" s="4"/>
      <c r="D1060" s="8"/>
      <c r="E1060" s="4"/>
      <c r="F1060" s="8"/>
      <c r="G1060" s="4"/>
      <c r="H1060" s="8"/>
      <c r="I1060" s="4"/>
    </row>
    <row r="1061" spans="1:9" x14ac:dyDescent="0.2">
      <c r="A1061" s="2">
        <v>1</v>
      </c>
      <c r="B1061" s="1" t="s">
        <v>83</v>
      </c>
      <c r="C1061" s="4">
        <v>19</v>
      </c>
      <c r="D1061" s="8">
        <v>20.65</v>
      </c>
      <c r="E1061" s="4">
        <v>13</v>
      </c>
      <c r="F1061" s="8">
        <v>18.84</v>
      </c>
      <c r="G1061" s="4">
        <v>6</v>
      </c>
      <c r="H1061" s="8">
        <v>27.27</v>
      </c>
      <c r="I1061" s="4">
        <v>0</v>
      </c>
    </row>
    <row r="1062" spans="1:9" x14ac:dyDescent="0.2">
      <c r="A1062" s="2">
        <v>2</v>
      </c>
      <c r="B1062" s="1" t="s">
        <v>84</v>
      </c>
      <c r="C1062" s="4">
        <v>11</v>
      </c>
      <c r="D1062" s="8">
        <v>11.96</v>
      </c>
      <c r="E1062" s="4">
        <v>10</v>
      </c>
      <c r="F1062" s="8">
        <v>14.49</v>
      </c>
      <c r="G1062" s="4">
        <v>1</v>
      </c>
      <c r="H1062" s="8">
        <v>4.55</v>
      </c>
      <c r="I1062" s="4">
        <v>0</v>
      </c>
    </row>
    <row r="1063" spans="1:9" x14ac:dyDescent="0.2">
      <c r="A1063" s="2">
        <v>3</v>
      </c>
      <c r="B1063" s="1" t="s">
        <v>91</v>
      </c>
      <c r="C1063" s="4">
        <v>10</v>
      </c>
      <c r="D1063" s="8">
        <v>10.87</v>
      </c>
      <c r="E1063" s="4">
        <v>9</v>
      </c>
      <c r="F1063" s="8">
        <v>13.04</v>
      </c>
      <c r="G1063" s="4">
        <v>1</v>
      </c>
      <c r="H1063" s="8">
        <v>4.55</v>
      </c>
      <c r="I1063" s="4">
        <v>0</v>
      </c>
    </row>
    <row r="1064" spans="1:9" x14ac:dyDescent="0.2">
      <c r="A1064" s="2">
        <v>4</v>
      </c>
      <c r="B1064" s="1" t="s">
        <v>89</v>
      </c>
      <c r="C1064" s="4">
        <v>9</v>
      </c>
      <c r="D1064" s="8">
        <v>9.7799999999999994</v>
      </c>
      <c r="E1064" s="4">
        <v>8</v>
      </c>
      <c r="F1064" s="8">
        <v>11.59</v>
      </c>
      <c r="G1064" s="4">
        <v>1</v>
      </c>
      <c r="H1064" s="8">
        <v>4.55</v>
      </c>
      <c r="I1064" s="4">
        <v>0</v>
      </c>
    </row>
    <row r="1065" spans="1:9" x14ac:dyDescent="0.2">
      <c r="A1065" s="2">
        <v>5</v>
      </c>
      <c r="B1065" s="1" t="s">
        <v>97</v>
      </c>
      <c r="C1065" s="4">
        <v>7</v>
      </c>
      <c r="D1065" s="8">
        <v>7.61</v>
      </c>
      <c r="E1065" s="4">
        <v>7</v>
      </c>
      <c r="F1065" s="8">
        <v>10.14</v>
      </c>
      <c r="G1065" s="4">
        <v>0</v>
      </c>
      <c r="H1065" s="8">
        <v>0</v>
      </c>
      <c r="I1065" s="4">
        <v>0</v>
      </c>
    </row>
    <row r="1066" spans="1:9" x14ac:dyDescent="0.2">
      <c r="A1066" s="2">
        <v>6</v>
      </c>
      <c r="B1066" s="1" t="s">
        <v>96</v>
      </c>
      <c r="C1066" s="4">
        <v>5</v>
      </c>
      <c r="D1066" s="8">
        <v>5.43</v>
      </c>
      <c r="E1066" s="4">
        <v>5</v>
      </c>
      <c r="F1066" s="8">
        <v>7.25</v>
      </c>
      <c r="G1066" s="4">
        <v>0</v>
      </c>
      <c r="H1066" s="8">
        <v>0</v>
      </c>
      <c r="I1066" s="4">
        <v>0</v>
      </c>
    </row>
    <row r="1067" spans="1:9" x14ac:dyDescent="0.2">
      <c r="A1067" s="2">
        <v>7</v>
      </c>
      <c r="B1067" s="1" t="s">
        <v>85</v>
      </c>
      <c r="C1067" s="4">
        <v>3</v>
      </c>
      <c r="D1067" s="8">
        <v>3.26</v>
      </c>
      <c r="E1067" s="4">
        <v>3</v>
      </c>
      <c r="F1067" s="8">
        <v>4.3499999999999996</v>
      </c>
      <c r="G1067" s="4">
        <v>0</v>
      </c>
      <c r="H1067" s="8">
        <v>0</v>
      </c>
      <c r="I1067" s="4">
        <v>0</v>
      </c>
    </row>
    <row r="1068" spans="1:9" x14ac:dyDescent="0.2">
      <c r="A1068" s="2">
        <v>7</v>
      </c>
      <c r="B1068" s="1" t="s">
        <v>111</v>
      </c>
      <c r="C1068" s="4">
        <v>3</v>
      </c>
      <c r="D1068" s="8">
        <v>3.26</v>
      </c>
      <c r="E1068" s="4">
        <v>2</v>
      </c>
      <c r="F1068" s="8">
        <v>2.9</v>
      </c>
      <c r="G1068" s="4">
        <v>1</v>
      </c>
      <c r="H1068" s="8">
        <v>4.55</v>
      </c>
      <c r="I1068" s="4">
        <v>0</v>
      </c>
    </row>
    <row r="1069" spans="1:9" x14ac:dyDescent="0.2">
      <c r="A1069" s="2">
        <v>7</v>
      </c>
      <c r="B1069" s="1" t="s">
        <v>88</v>
      </c>
      <c r="C1069" s="4">
        <v>3</v>
      </c>
      <c r="D1069" s="8">
        <v>3.26</v>
      </c>
      <c r="E1069" s="4">
        <v>3</v>
      </c>
      <c r="F1069" s="8">
        <v>4.3499999999999996</v>
      </c>
      <c r="G1069" s="4">
        <v>0</v>
      </c>
      <c r="H1069" s="8">
        <v>0</v>
      </c>
      <c r="I1069" s="4">
        <v>0</v>
      </c>
    </row>
    <row r="1070" spans="1:9" x14ac:dyDescent="0.2">
      <c r="A1070" s="2">
        <v>7</v>
      </c>
      <c r="B1070" s="1" t="s">
        <v>94</v>
      </c>
      <c r="C1070" s="4">
        <v>3</v>
      </c>
      <c r="D1070" s="8">
        <v>3.26</v>
      </c>
      <c r="E1070" s="4">
        <v>1</v>
      </c>
      <c r="F1070" s="8">
        <v>1.45</v>
      </c>
      <c r="G1070" s="4">
        <v>2</v>
      </c>
      <c r="H1070" s="8">
        <v>9.09</v>
      </c>
      <c r="I1070" s="4">
        <v>0</v>
      </c>
    </row>
    <row r="1071" spans="1:9" x14ac:dyDescent="0.2">
      <c r="A1071" s="2">
        <v>7</v>
      </c>
      <c r="B1071" s="1" t="s">
        <v>99</v>
      </c>
      <c r="C1071" s="4">
        <v>3</v>
      </c>
      <c r="D1071" s="8">
        <v>3.26</v>
      </c>
      <c r="E1071" s="4">
        <v>2</v>
      </c>
      <c r="F1071" s="8">
        <v>2.9</v>
      </c>
      <c r="G1071" s="4">
        <v>0</v>
      </c>
      <c r="H1071" s="8">
        <v>0</v>
      </c>
      <c r="I1071" s="4">
        <v>0</v>
      </c>
    </row>
    <row r="1072" spans="1:9" x14ac:dyDescent="0.2">
      <c r="A1072" s="2">
        <v>12</v>
      </c>
      <c r="B1072" s="1" t="s">
        <v>92</v>
      </c>
      <c r="C1072" s="4">
        <v>2</v>
      </c>
      <c r="D1072" s="8">
        <v>2.17</v>
      </c>
      <c r="E1072" s="4">
        <v>0</v>
      </c>
      <c r="F1072" s="8">
        <v>0</v>
      </c>
      <c r="G1072" s="4">
        <v>2</v>
      </c>
      <c r="H1072" s="8">
        <v>9.09</v>
      </c>
      <c r="I1072" s="4">
        <v>0</v>
      </c>
    </row>
    <row r="1073" spans="1:9" x14ac:dyDescent="0.2">
      <c r="A1073" s="2">
        <v>12</v>
      </c>
      <c r="B1073" s="1" t="s">
        <v>113</v>
      </c>
      <c r="C1073" s="4">
        <v>2</v>
      </c>
      <c r="D1073" s="8">
        <v>2.17</v>
      </c>
      <c r="E1073" s="4">
        <v>0</v>
      </c>
      <c r="F1073" s="8">
        <v>0</v>
      </c>
      <c r="G1073" s="4">
        <v>2</v>
      </c>
      <c r="H1073" s="8">
        <v>9.09</v>
      </c>
      <c r="I1073" s="4">
        <v>0</v>
      </c>
    </row>
    <row r="1074" spans="1:9" x14ac:dyDescent="0.2">
      <c r="A1074" s="2">
        <v>14</v>
      </c>
      <c r="B1074" s="1" t="s">
        <v>110</v>
      </c>
      <c r="C1074" s="4">
        <v>1</v>
      </c>
      <c r="D1074" s="8">
        <v>1.0900000000000001</v>
      </c>
      <c r="E1074" s="4">
        <v>0</v>
      </c>
      <c r="F1074" s="8">
        <v>0</v>
      </c>
      <c r="G1074" s="4">
        <v>1</v>
      </c>
      <c r="H1074" s="8">
        <v>4.55</v>
      </c>
      <c r="I1074" s="4">
        <v>0</v>
      </c>
    </row>
    <row r="1075" spans="1:9" x14ac:dyDescent="0.2">
      <c r="A1075" s="2">
        <v>14</v>
      </c>
      <c r="B1075" s="1" t="s">
        <v>124</v>
      </c>
      <c r="C1075" s="4">
        <v>1</v>
      </c>
      <c r="D1075" s="8">
        <v>1.0900000000000001</v>
      </c>
      <c r="E1075" s="4">
        <v>0</v>
      </c>
      <c r="F1075" s="8">
        <v>0</v>
      </c>
      <c r="G1075" s="4">
        <v>1</v>
      </c>
      <c r="H1075" s="8">
        <v>4.55</v>
      </c>
      <c r="I1075" s="4">
        <v>0</v>
      </c>
    </row>
    <row r="1076" spans="1:9" x14ac:dyDescent="0.2">
      <c r="A1076" s="2">
        <v>14</v>
      </c>
      <c r="B1076" s="1" t="s">
        <v>115</v>
      </c>
      <c r="C1076" s="4">
        <v>1</v>
      </c>
      <c r="D1076" s="8">
        <v>1.0900000000000001</v>
      </c>
      <c r="E1076" s="4">
        <v>0</v>
      </c>
      <c r="F1076" s="8">
        <v>0</v>
      </c>
      <c r="G1076" s="4">
        <v>1</v>
      </c>
      <c r="H1076" s="8">
        <v>4.55</v>
      </c>
      <c r="I1076" s="4">
        <v>0</v>
      </c>
    </row>
    <row r="1077" spans="1:9" x14ac:dyDescent="0.2">
      <c r="A1077" s="2">
        <v>14</v>
      </c>
      <c r="B1077" s="1" t="s">
        <v>122</v>
      </c>
      <c r="C1077" s="4">
        <v>1</v>
      </c>
      <c r="D1077" s="8">
        <v>1.0900000000000001</v>
      </c>
      <c r="E1077" s="4">
        <v>1</v>
      </c>
      <c r="F1077" s="8">
        <v>1.45</v>
      </c>
      <c r="G1077" s="4">
        <v>0</v>
      </c>
      <c r="H1077" s="8">
        <v>0</v>
      </c>
      <c r="I1077" s="4">
        <v>0</v>
      </c>
    </row>
    <row r="1078" spans="1:9" x14ac:dyDescent="0.2">
      <c r="A1078" s="2">
        <v>14</v>
      </c>
      <c r="B1078" s="1" t="s">
        <v>86</v>
      </c>
      <c r="C1078" s="4">
        <v>1</v>
      </c>
      <c r="D1078" s="8">
        <v>1.0900000000000001</v>
      </c>
      <c r="E1078" s="4">
        <v>0</v>
      </c>
      <c r="F1078" s="8">
        <v>0</v>
      </c>
      <c r="G1078" s="4">
        <v>1</v>
      </c>
      <c r="H1078" s="8">
        <v>4.55</v>
      </c>
      <c r="I1078" s="4">
        <v>0</v>
      </c>
    </row>
    <row r="1079" spans="1:9" x14ac:dyDescent="0.2">
      <c r="A1079" s="2">
        <v>14</v>
      </c>
      <c r="B1079" s="1" t="s">
        <v>103</v>
      </c>
      <c r="C1079" s="4">
        <v>1</v>
      </c>
      <c r="D1079" s="8">
        <v>1.0900000000000001</v>
      </c>
      <c r="E1079" s="4">
        <v>1</v>
      </c>
      <c r="F1079" s="8">
        <v>1.45</v>
      </c>
      <c r="G1079" s="4">
        <v>0</v>
      </c>
      <c r="H1079" s="8">
        <v>0</v>
      </c>
      <c r="I1079" s="4">
        <v>0</v>
      </c>
    </row>
    <row r="1080" spans="1:9" x14ac:dyDescent="0.2">
      <c r="A1080" s="2">
        <v>14</v>
      </c>
      <c r="B1080" s="1" t="s">
        <v>109</v>
      </c>
      <c r="C1080" s="4">
        <v>1</v>
      </c>
      <c r="D1080" s="8">
        <v>1.0900000000000001</v>
      </c>
      <c r="E1080" s="4">
        <v>0</v>
      </c>
      <c r="F1080" s="8">
        <v>0</v>
      </c>
      <c r="G1080" s="4">
        <v>1</v>
      </c>
      <c r="H1080" s="8">
        <v>4.55</v>
      </c>
      <c r="I1080" s="4">
        <v>0</v>
      </c>
    </row>
    <row r="1081" spans="1:9" x14ac:dyDescent="0.2">
      <c r="A1081" s="2">
        <v>14</v>
      </c>
      <c r="B1081" s="1" t="s">
        <v>93</v>
      </c>
      <c r="C1081" s="4">
        <v>1</v>
      </c>
      <c r="D1081" s="8">
        <v>1.0900000000000001</v>
      </c>
      <c r="E1081" s="4">
        <v>1</v>
      </c>
      <c r="F1081" s="8">
        <v>1.45</v>
      </c>
      <c r="G1081" s="4">
        <v>0</v>
      </c>
      <c r="H1081" s="8">
        <v>0</v>
      </c>
      <c r="I1081" s="4">
        <v>0</v>
      </c>
    </row>
    <row r="1082" spans="1:9" x14ac:dyDescent="0.2">
      <c r="A1082" s="2">
        <v>14</v>
      </c>
      <c r="B1082" s="1" t="s">
        <v>98</v>
      </c>
      <c r="C1082" s="4">
        <v>1</v>
      </c>
      <c r="D1082" s="8">
        <v>1.0900000000000001</v>
      </c>
      <c r="E1082" s="4">
        <v>1</v>
      </c>
      <c r="F1082" s="8">
        <v>1.45</v>
      </c>
      <c r="G1082" s="4">
        <v>0</v>
      </c>
      <c r="H1082" s="8">
        <v>0</v>
      </c>
      <c r="I1082" s="4">
        <v>0</v>
      </c>
    </row>
    <row r="1083" spans="1:9" x14ac:dyDescent="0.2">
      <c r="A1083" s="2">
        <v>14</v>
      </c>
      <c r="B1083" s="1" t="s">
        <v>129</v>
      </c>
      <c r="C1083" s="4">
        <v>1</v>
      </c>
      <c r="D1083" s="8">
        <v>1.0900000000000001</v>
      </c>
      <c r="E1083" s="4">
        <v>0</v>
      </c>
      <c r="F1083" s="8">
        <v>0</v>
      </c>
      <c r="G1083" s="4">
        <v>1</v>
      </c>
      <c r="H1083" s="8">
        <v>4.55</v>
      </c>
      <c r="I1083" s="4">
        <v>0</v>
      </c>
    </row>
    <row r="1084" spans="1:9" x14ac:dyDescent="0.2">
      <c r="A1084" s="2">
        <v>14</v>
      </c>
      <c r="B1084" s="1" t="s">
        <v>100</v>
      </c>
      <c r="C1084" s="4">
        <v>1</v>
      </c>
      <c r="D1084" s="8">
        <v>1.0900000000000001</v>
      </c>
      <c r="E1084" s="4">
        <v>1</v>
      </c>
      <c r="F1084" s="8">
        <v>1.45</v>
      </c>
      <c r="G1084" s="4">
        <v>0</v>
      </c>
      <c r="H1084" s="8">
        <v>0</v>
      </c>
      <c r="I1084" s="4">
        <v>0</v>
      </c>
    </row>
    <row r="1085" spans="1:9" x14ac:dyDescent="0.2">
      <c r="A1085" s="2">
        <v>14</v>
      </c>
      <c r="B1085" s="1" t="s">
        <v>102</v>
      </c>
      <c r="C1085" s="4">
        <v>1</v>
      </c>
      <c r="D1085" s="8">
        <v>1.0900000000000001</v>
      </c>
      <c r="E1085" s="4">
        <v>1</v>
      </c>
      <c r="F1085" s="8">
        <v>1.45</v>
      </c>
      <c r="G1085" s="4">
        <v>0</v>
      </c>
      <c r="H1085" s="8">
        <v>0</v>
      </c>
      <c r="I1085" s="4">
        <v>0</v>
      </c>
    </row>
    <row r="1086" spans="1:9" x14ac:dyDescent="0.2">
      <c r="A1086" s="1"/>
      <c r="C1086" s="4"/>
      <c r="D1086" s="8"/>
      <c r="E1086" s="4"/>
      <c r="F1086" s="8"/>
      <c r="G1086" s="4"/>
      <c r="H1086" s="8"/>
      <c r="I1086" s="4"/>
    </row>
    <row r="1087" spans="1:9" x14ac:dyDescent="0.2">
      <c r="A1087" s="1" t="s">
        <v>43</v>
      </c>
      <c r="C1087" s="4"/>
      <c r="D1087" s="8"/>
      <c r="E1087" s="4"/>
      <c r="F1087" s="8"/>
      <c r="G1087" s="4"/>
      <c r="H1087" s="8"/>
      <c r="I1087" s="4"/>
    </row>
    <row r="1088" spans="1:9" x14ac:dyDescent="0.2">
      <c r="A1088" s="2">
        <v>1</v>
      </c>
      <c r="B1088" s="1" t="s">
        <v>97</v>
      </c>
      <c r="C1088" s="4">
        <v>62</v>
      </c>
      <c r="D1088" s="8">
        <v>12.28</v>
      </c>
      <c r="E1088" s="4">
        <v>58</v>
      </c>
      <c r="F1088" s="8">
        <v>19.02</v>
      </c>
      <c r="G1088" s="4">
        <v>4</v>
      </c>
      <c r="H1088" s="8">
        <v>2.12</v>
      </c>
      <c r="I1088" s="4">
        <v>0</v>
      </c>
    </row>
    <row r="1089" spans="1:9" x14ac:dyDescent="0.2">
      <c r="A1089" s="2">
        <v>2</v>
      </c>
      <c r="B1089" s="1" t="s">
        <v>91</v>
      </c>
      <c r="C1089" s="4">
        <v>50</v>
      </c>
      <c r="D1089" s="8">
        <v>9.9</v>
      </c>
      <c r="E1089" s="4">
        <v>25</v>
      </c>
      <c r="F1089" s="8">
        <v>8.1999999999999993</v>
      </c>
      <c r="G1089" s="4">
        <v>25</v>
      </c>
      <c r="H1089" s="8">
        <v>13.23</v>
      </c>
      <c r="I1089" s="4">
        <v>0</v>
      </c>
    </row>
    <row r="1090" spans="1:9" x14ac:dyDescent="0.2">
      <c r="A1090" s="2">
        <v>3</v>
      </c>
      <c r="B1090" s="1" t="s">
        <v>83</v>
      </c>
      <c r="C1090" s="4">
        <v>40</v>
      </c>
      <c r="D1090" s="8">
        <v>7.92</v>
      </c>
      <c r="E1090" s="4">
        <v>16</v>
      </c>
      <c r="F1090" s="8">
        <v>5.25</v>
      </c>
      <c r="G1090" s="4">
        <v>24</v>
      </c>
      <c r="H1090" s="8">
        <v>12.7</v>
      </c>
      <c r="I1090" s="4">
        <v>0</v>
      </c>
    </row>
    <row r="1091" spans="1:9" x14ac:dyDescent="0.2">
      <c r="A1091" s="2">
        <v>3</v>
      </c>
      <c r="B1091" s="1" t="s">
        <v>96</v>
      </c>
      <c r="C1091" s="4">
        <v>40</v>
      </c>
      <c r="D1091" s="8">
        <v>7.92</v>
      </c>
      <c r="E1091" s="4">
        <v>32</v>
      </c>
      <c r="F1091" s="8">
        <v>10.49</v>
      </c>
      <c r="G1091" s="4">
        <v>8</v>
      </c>
      <c r="H1091" s="8">
        <v>4.2300000000000004</v>
      </c>
      <c r="I1091" s="4">
        <v>0</v>
      </c>
    </row>
    <row r="1092" spans="1:9" x14ac:dyDescent="0.2">
      <c r="A1092" s="2">
        <v>5</v>
      </c>
      <c r="B1092" s="1" t="s">
        <v>89</v>
      </c>
      <c r="C1092" s="4">
        <v>35</v>
      </c>
      <c r="D1092" s="8">
        <v>6.93</v>
      </c>
      <c r="E1092" s="4">
        <v>31</v>
      </c>
      <c r="F1092" s="8">
        <v>10.16</v>
      </c>
      <c r="G1092" s="4">
        <v>4</v>
      </c>
      <c r="H1092" s="8">
        <v>2.12</v>
      </c>
      <c r="I1092" s="4">
        <v>0</v>
      </c>
    </row>
    <row r="1093" spans="1:9" x14ac:dyDescent="0.2">
      <c r="A1093" s="2">
        <v>6</v>
      </c>
      <c r="B1093" s="1" t="s">
        <v>84</v>
      </c>
      <c r="C1093" s="4">
        <v>34</v>
      </c>
      <c r="D1093" s="8">
        <v>6.73</v>
      </c>
      <c r="E1093" s="4">
        <v>23</v>
      </c>
      <c r="F1093" s="8">
        <v>7.54</v>
      </c>
      <c r="G1093" s="4">
        <v>11</v>
      </c>
      <c r="H1093" s="8">
        <v>5.82</v>
      </c>
      <c r="I1093" s="4">
        <v>0</v>
      </c>
    </row>
    <row r="1094" spans="1:9" x14ac:dyDescent="0.2">
      <c r="A1094" s="2">
        <v>7</v>
      </c>
      <c r="B1094" s="1" t="s">
        <v>92</v>
      </c>
      <c r="C1094" s="4">
        <v>23</v>
      </c>
      <c r="D1094" s="8">
        <v>4.55</v>
      </c>
      <c r="E1094" s="4">
        <v>16</v>
      </c>
      <c r="F1094" s="8">
        <v>5.25</v>
      </c>
      <c r="G1094" s="4">
        <v>6</v>
      </c>
      <c r="H1094" s="8">
        <v>3.17</v>
      </c>
      <c r="I1094" s="4">
        <v>0</v>
      </c>
    </row>
    <row r="1095" spans="1:9" x14ac:dyDescent="0.2">
      <c r="A1095" s="2">
        <v>8</v>
      </c>
      <c r="B1095" s="1" t="s">
        <v>90</v>
      </c>
      <c r="C1095" s="4">
        <v>20</v>
      </c>
      <c r="D1095" s="8">
        <v>3.96</v>
      </c>
      <c r="E1095" s="4">
        <v>9</v>
      </c>
      <c r="F1095" s="8">
        <v>2.95</v>
      </c>
      <c r="G1095" s="4">
        <v>11</v>
      </c>
      <c r="H1095" s="8">
        <v>5.82</v>
      </c>
      <c r="I1095" s="4">
        <v>0</v>
      </c>
    </row>
    <row r="1096" spans="1:9" x14ac:dyDescent="0.2">
      <c r="A1096" s="2">
        <v>9</v>
      </c>
      <c r="B1096" s="1" t="s">
        <v>100</v>
      </c>
      <c r="C1096" s="4">
        <v>18</v>
      </c>
      <c r="D1096" s="8">
        <v>3.56</v>
      </c>
      <c r="E1096" s="4">
        <v>15</v>
      </c>
      <c r="F1096" s="8">
        <v>4.92</v>
      </c>
      <c r="G1096" s="4">
        <v>3</v>
      </c>
      <c r="H1096" s="8">
        <v>1.59</v>
      </c>
      <c r="I1096" s="4">
        <v>0</v>
      </c>
    </row>
    <row r="1097" spans="1:9" x14ac:dyDescent="0.2">
      <c r="A1097" s="2">
        <v>10</v>
      </c>
      <c r="B1097" s="1" t="s">
        <v>111</v>
      </c>
      <c r="C1097" s="4">
        <v>15</v>
      </c>
      <c r="D1097" s="8">
        <v>2.97</v>
      </c>
      <c r="E1097" s="4">
        <v>10</v>
      </c>
      <c r="F1097" s="8">
        <v>3.28</v>
      </c>
      <c r="G1097" s="4">
        <v>5</v>
      </c>
      <c r="H1097" s="8">
        <v>2.65</v>
      </c>
      <c r="I1097" s="4">
        <v>0</v>
      </c>
    </row>
    <row r="1098" spans="1:9" x14ac:dyDescent="0.2">
      <c r="A1098" s="2">
        <v>11</v>
      </c>
      <c r="B1098" s="1" t="s">
        <v>85</v>
      </c>
      <c r="C1098" s="4">
        <v>14</v>
      </c>
      <c r="D1098" s="8">
        <v>2.77</v>
      </c>
      <c r="E1098" s="4">
        <v>7</v>
      </c>
      <c r="F1098" s="8">
        <v>2.2999999999999998</v>
      </c>
      <c r="G1098" s="4">
        <v>7</v>
      </c>
      <c r="H1098" s="8">
        <v>3.7</v>
      </c>
      <c r="I1098" s="4">
        <v>0</v>
      </c>
    </row>
    <row r="1099" spans="1:9" x14ac:dyDescent="0.2">
      <c r="A1099" s="2">
        <v>12</v>
      </c>
      <c r="B1099" s="1" t="s">
        <v>94</v>
      </c>
      <c r="C1099" s="4">
        <v>13</v>
      </c>
      <c r="D1099" s="8">
        <v>2.57</v>
      </c>
      <c r="E1099" s="4">
        <v>6</v>
      </c>
      <c r="F1099" s="8">
        <v>1.97</v>
      </c>
      <c r="G1099" s="4">
        <v>7</v>
      </c>
      <c r="H1099" s="8">
        <v>3.7</v>
      </c>
      <c r="I1099" s="4">
        <v>0</v>
      </c>
    </row>
    <row r="1100" spans="1:9" x14ac:dyDescent="0.2">
      <c r="A1100" s="2">
        <v>13</v>
      </c>
      <c r="B1100" s="1" t="s">
        <v>99</v>
      </c>
      <c r="C1100" s="4">
        <v>12</v>
      </c>
      <c r="D1100" s="8">
        <v>2.38</v>
      </c>
      <c r="E1100" s="4">
        <v>3</v>
      </c>
      <c r="F1100" s="8">
        <v>0.98</v>
      </c>
      <c r="G1100" s="4">
        <v>2</v>
      </c>
      <c r="H1100" s="8">
        <v>1.06</v>
      </c>
      <c r="I1100" s="4">
        <v>0</v>
      </c>
    </row>
    <row r="1101" spans="1:9" x14ac:dyDescent="0.2">
      <c r="A1101" s="2">
        <v>14</v>
      </c>
      <c r="B1101" s="1" t="s">
        <v>102</v>
      </c>
      <c r="C1101" s="4">
        <v>11</v>
      </c>
      <c r="D1101" s="8">
        <v>2.1800000000000002</v>
      </c>
      <c r="E1101" s="4">
        <v>7</v>
      </c>
      <c r="F1101" s="8">
        <v>2.2999999999999998</v>
      </c>
      <c r="G1101" s="4">
        <v>4</v>
      </c>
      <c r="H1101" s="8">
        <v>2.12</v>
      </c>
      <c r="I1101" s="4">
        <v>0</v>
      </c>
    </row>
    <row r="1102" spans="1:9" x14ac:dyDescent="0.2">
      <c r="A1102" s="2">
        <v>15</v>
      </c>
      <c r="B1102" s="1" t="s">
        <v>95</v>
      </c>
      <c r="C1102" s="4">
        <v>9</v>
      </c>
      <c r="D1102" s="8">
        <v>1.78</v>
      </c>
      <c r="E1102" s="4">
        <v>5</v>
      </c>
      <c r="F1102" s="8">
        <v>1.64</v>
      </c>
      <c r="G1102" s="4">
        <v>4</v>
      </c>
      <c r="H1102" s="8">
        <v>2.12</v>
      </c>
      <c r="I1102" s="4">
        <v>0</v>
      </c>
    </row>
    <row r="1103" spans="1:9" x14ac:dyDescent="0.2">
      <c r="A1103" s="2">
        <v>16</v>
      </c>
      <c r="B1103" s="1" t="s">
        <v>86</v>
      </c>
      <c r="C1103" s="4">
        <v>8</v>
      </c>
      <c r="D1103" s="8">
        <v>1.58</v>
      </c>
      <c r="E1103" s="4">
        <v>2</v>
      </c>
      <c r="F1103" s="8">
        <v>0.66</v>
      </c>
      <c r="G1103" s="4">
        <v>6</v>
      </c>
      <c r="H1103" s="8">
        <v>3.17</v>
      </c>
      <c r="I1103" s="4">
        <v>0</v>
      </c>
    </row>
    <row r="1104" spans="1:9" x14ac:dyDescent="0.2">
      <c r="A1104" s="2">
        <v>17</v>
      </c>
      <c r="B1104" s="1" t="s">
        <v>133</v>
      </c>
      <c r="C1104" s="4">
        <v>7</v>
      </c>
      <c r="D1104" s="8">
        <v>1.39</v>
      </c>
      <c r="E1104" s="4">
        <v>7</v>
      </c>
      <c r="F1104" s="8">
        <v>2.2999999999999998</v>
      </c>
      <c r="G1104" s="4">
        <v>0</v>
      </c>
      <c r="H1104" s="8">
        <v>0</v>
      </c>
      <c r="I1104" s="4">
        <v>0</v>
      </c>
    </row>
    <row r="1105" spans="1:9" x14ac:dyDescent="0.2">
      <c r="A1105" s="2">
        <v>17</v>
      </c>
      <c r="B1105" s="1" t="s">
        <v>113</v>
      </c>
      <c r="C1105" s="4">
        <v>7</v>
      </c>
      <c r="D1105" s="8">
        <v>1.39</v>
      </c>
      <c r="E1105" s="4">
        <v>0</v>
      </c>
      <c r="F1105" s="8">
        <v>0</v>
      </c>
      <c r="G1105" s="4">
        <v>7</v>
      </c>
      <c r="H1105" s="8">
        <v>3.7</v>
      </c>
      <c r="I1105" s="4">
        <v>0</v>
      </c>
    </row>
    <row r="1106" spans="1:9" x14ac:dyDescent="0.2">
      <c r="A1106" s="2">
        <v>17</v>
      </c>
      <c r="B1106" s="1" t="s">
        <v>98</v>
      </c>
      <c r="C1106" s="4">
        <v>7</v>
      </c>
      <c r="D1106" s="8">
        <v>1.39</v>
      </c>
      <c r="E1106" s="4">
        <v>2</v>
      </c>
      <c r="F1106" s="8">
        <v>0.66</v>
      </c>
      <c r="G1106" s="4">
        <v>5</v>
      </c>
      <c r="H1106" s="8">
        <v>2.65</v>
      </c>
      <c r="I1106" s="4">
        <v>0</v>
      </c>
    </row>
    <row r="1107" spans="1:9" x14ac:dyDescent="0.2">
      <c r="A1107" s="2">
        <v>20</v>
      </c>
      <c r="B1107" s="1" t="s">
        <v>105</v>
      </c>
      <c r="C1107" s="4">
        <v>6</v>
      </c>
      <c r="D1107" s="8">
        <v>1.19</v>
      </c>
      <c r="E1107" s="4">
        <v>3</v>
      </c>
      <c r="F1107" s="8">
        <v>0.98</v>
      </c>
      <c r="G1107" s="4">
        <v>3</v>
      </c>
      <c r="H1107" s="8">
        <v>1.59</v>
      </c>
      <c r="I1107" s="4">
        <v>0</v>
      </c>
    </row>
    <row r="1108" spans="1:9" x14ac:dyDescent="0.2">
      <c r="A1108" s="2">
        <v>20</v>
      </c>
      <c r="B1108" s="1" t="s">
        <v>88</v>
      </c>
      <c r="C1108" s="4">
        <v>6</v>
      </c>
      <c r="D1108" s="8">
        <v>1.19</v>
      </c>
      <c r="E1108" s="4">
        <v>3</v>
      </c>
      <c r="F1108" s="8">
        <v>0.98</v>
      </c>
      <c r="G1108" s="4">
        <v>3</v>
      </c>
      <c r="H1108" s="8">
        <v>1.59</v>
      </c>
      <c r="I1108" s="4">
        <v>0</v>
      </c>
    </row>
    <row r="1109" spans="1:9" x14ac:dyDescent="0.2">
      <c r="A1109" s="1"/>
      <c r="C1109" s="4"/>
      <c r="D1109" s="8"/>
      <c r="E1109" s="4"/>
      <c r="F1109" s="8"/>
      <c r="G1109" s="4"/>
      <c r="H1109" s="8"/>
      <c r="I1109" s="4"/>
    </row>
    <row r="1110" spans="1:9" x14ac:dyDescent="0.2">
      <c r="A1110" s="1" t="s">
        <v>44</v>
      </c>
      <c r="C1110" s="4"/>
      <c r="D1110" s="8"/>
      <c r="E1110" s="4"/>
      <c r="F1110" s="8"/>
      <c r="G1110" s="4"/>
      <c r="H1110" s="8"/>
      <c r="I1110" s="4"/>
    </row>
    <row r="1111" spans="1:9" x14ac:dyDescent="0.2">
      <c r="A1111" s="2">
        <v>1</v>
      </c>
      <c r="B1111" s="1" t="s">
        <v>83</v>
      </c>
      <c r="C1111" s="4">
        <v>25</v>
      </c>
      <c r="D1111" s="8">
        <v>12.69</v>
      </c>
      <c r="E1111" s="4">
        <v>16</v>
      </c>
      <c r="F1111" s="8">
        <v>12.9</v>
      </c>
      <c r="G1111" s="4">
        <v>9</v>
      </c>
      <c r="H1111" s="8">
        <v>14.29</v>
      </c>
      <c r="I1111" s="4">
        <v>0</v>
      </c>
    </row>
    <row r="1112" spans="1:9" x14ac:dyDescent="0.2">
      <c r="A1112" s="2">
        <v>2</v>
      </c>
      <c r="B1112" s="1" t="s">
        <v>84</v>
      </c>
      <c r="C1112" s="4">
        <v>22</v>
      </c>
      <c r="D1112" s="8">
        <v>11.17</v>
      </c>
      <c r="E1112" s="4">
        <v>15</v>
      </c>
      <c r="F1112" s="8">
        <v>12.1</v>
      </c>
      <c r="G1112" s="4">
        <v>7</v>
      </c>
      <c r="H1112" s="8">
        <v>11.11</v>
      </c>
      <c r="I1112" s="4">
        <v>0</v>
      </c>
    </row>
    <row r="1113" spans="1:9" x14ac:dyDescent="0.2">
      <c r="A1113" s="2">
        <v>3</v>
      </c>
      <c r="B1113" s="1" t="s">
        <v>97</v>
      </c>
      <c r="C1113" s="4">
        <v>16</v>
      </c>
      <c r="D1113" s="8">
        <v>8.1199999999999992</v>
      </c>
      <c r="E1113" s="4">
        <v>15</v>
      </c>
      <c r="F1113" s="8">
        <v>12.1</v>
      </c>
      <c r="G1113" s="4">
        <v>1</v>
      </c>
      <c r="H1113" s="8">
        <v>1.59</v>
      </c>
      <c r="I1113" s="4">
        <v>0</v>
      </c>
    </row>
    <row r="1114" spans="1:9" x14ac:dyDescent="0.2">
      <c r="A1114" s="2">
        <v>4</v>
      </c>
      <c r="B1114" s="1" t="s">
        <v>89</v>
      </c>
      <c r="C1114" s="4">
        <v>13</v>
      </c>
      <c r="D1114" s="8">
        <v>6.6</v>
      </c>
      <c r="E1114" s="4">
        <v>11</v>
      </c>
      <c r="F1114" s="8">
        <v>8.8699999999999992</v>
      </c>
      <c r="G1114" s="4">
        <v>2</v>
      </c>
      <c r="H1114" s="8">
        <v>3.17</v>
      </c>
      <c r="I1114" s="4">
        <v>0</v>
      </c>
    </row>
    <row r="1115" spans="1:9" x14ac:dyDescent="0.2">
      <c r="A1115" s="2">
        <v>5</v>
      </c>
      <c r="B1115" s="1" t="s">
        <v>96</v>
      </c>
      <c r="C1115" s="4">
        <v>11</v>
      </c>
      <c r="D1115" s="8">
        <v>5.58</v>
      </c>
      <c r="E1115" s="4">
        <v>8</v>
      </c>
      <c r="F1115" s="8">
        <v>6.45</v>
      </c>
      <c r="G1115" s="4">
        <v>3</v>
      </c>
      <c r="H1115" s="8">
        <v>4.76</v>
      </c>
      <c r="I1115" s="4">
        <v>0</v>
      </c>
    </row>
    <row r="1116" spans="1:9" x14ac:dyDescent="0.2">
      <c r="A1116" s="2">
        <v>6</v>
      </c>
      <c r="B1116" s="1" t="s">
        <v>85</v>
      </c>
      <c r="C1116" s="4">
        <v>10</v>
      </c>
      <c r="D1116" s="8">
        <v>5.08</v>
      </c>
      <c r="E1116" s="4">
        <v>4</v>
      </c>
      <c r="F1116" s="8">
        <v>3.23</v>
      </c>
      <c r="G1116" s="4">
        <v>6</v>
      </c>
      <c r="H1116" s="8">
        <v>9.52</v>
      </c>
      <c r="I1116" s="4">
        <v>0</v>
      </c>
    </row>
    <row r="1117" spans="1:9" x14ac:dyDescent="0.2">
      <c r="A1117" s="2">
        <v>7</v>
      </c>
      <c r="B1117" s="1" t="s">
        <v>99</v>
      </c>
      <c r="C1117" s="4">
        <v>9</v>
      </c>
      <c r="D1117" s="8">
        <v>4.57</v>
      </c>
      <c r="E1117" s="4">
        <v>7</v>
      </c>
      <c r="F1117" s="8">
        <v>5.65</v>
      </c>
      <c r="G1117" s="4">
        <v>1</v>
      </c>
      <c r="H1117" s="8">
        <v>1.59</v>
      </c>
      <c r="I1117" s="4">
        <v>0</v>
      </c>
    </row>
    <row r="1118" spans="1:9" x14ac:dyDescent="0.2">
      <c r="A1118" s="2">
        <v>8</v>
      </c>
      <c r="B1118" s="1" t="s">
        <v>94</v>
      </c>
      <c r="C1118" s="4">
        <v>6</v>
      </c>
      <c r="D1118" s="8">
        <v>3.05</v>
      </c>
      <c r="E1118" s="4">
        <v>3</v>
      </c>
      <c r="F1118" s="8">
        <v>2.42</v>
      </c>
      <c r="G1118" s="4">
        <v>2</v>
      </c>
      <c r="H1118" s="8">
        <v>3.17</v>
      </c>
      <c r="I1118" s="4">
        <v>1</v>
      </c>
    </row>
    <row r="1119" spans="1:9" x14ac:dyDescent="0.2">
      <c r="A1119" s="2">
        <v>8</v>
      </c>
      <c r="B1119" s="1" t="s">
        <v>100</v>
      </c>
      <c r="C1119" s="4">
        <v>6</v>
      </c>
      <c r="D1119" s="8">
        <v>3.05</v>
      </c>
      <c r="E1119" s="4">
        <v>6</v>
      </c>
      <c r="F1119" s="8">
        <v>4.84</v>
      </c>
      <c r="G1119" s="4">
        <v>0</v>
      </c>
      <c r="H1119" s="8">
        <v>0</v>
      </c>
      <c r="I1119" s="4">
        <v>0</v>
      </c>
    </row>
    <row r="1120" spans="1:9" x14ac:dyDescent="0.2">
      <c r="A1120" s="2">
        <v>10</v>
      </c>
      <c r="B1120" s="1" t="s">
        <v>90</v>
      </c>
      <c r="C1120" s="4">
        <v>5</v>
      </c>
      <c r="D1120" s="8">
        <v>2.54</v>
      </c>
      <c r="E1120" s="4">
        <v>4</v>
      </c>
      <c r="F1120" s="8">
        <v>3.23</v>
      </c>
      <c r="G1120" s="4">
        <v>1</v>
      </c>
      <c r="H1120" s="8">
        <v>1.59</v>
      </c>
      <c r="I1120" s="4">
        <v>0</v>
      </c>
    </row>
    <row r="1121" spans="1:9" x14ac:dyDescent="0.2">
      <c r="A1121" s="2">
        <v>10</v>
      </c>
      <c r="B1121" s="1" t="s">
        <v>91</v>
      </c>
      <c r="C1121" s="4">
        <v>5</v>
      </c>
      <c r="D1121" s="8">
        <v>2.54</v>
      </c>
      <c r="E1121" s="4">
        <v>3</v>
      </c>
      <c r="F1121" s="8">
        <v>2.42</v>
      </c>
      <c r="G1121" s="4">
        <v>2</v>
      </c>
      <c r="H1121" s="8">
        <v>3.17</v>
      </c>
      <c r="I1121" s="4">
        <v>0</v>
      </c>
    </row>
    <row r="1122" spans="1:9" x14ac:dyDescent="0.2">
      <c r="A1122" s="2">
        <v>10</v>
      </c>
      <c r="B1122" s="1" t="s">
        <v>98</v>
      </c>
      <c r="C1122" s="4">
        <v>5</v>
      </c>
      <c r="D1122" s="8">
        <v>2.54</v>
      </c>
      <c r="E1122" s="4">
        <v>3</v>
      </c>
      <c r="F1122" s="8">
        <v>2.42</v>
      </c>
      <c r="G1122" s="4">
        <v>2</v>
      </c>
      <c r="H1122" s="8">
        <v>3.17</v>
      </c>
      <c r="I1122" s="4">
        <v>0</v>
      </c>
    </row>
    <row r="1123" spans="1:9" x14ac:dyDescent="0.2">
      <c r="A1123" s="2">
        <v>10</v>
      </c>
      <c r="B1123" s="1" t="s">
        <v>102</v>
      </c>
      <c r="C1123" s="4">
        <v>5</v>
      </c>
      <c r="D1123" s="8">
        <v>2.54</v>
      </c>
      <c r="E1123" s="4">
        <v>5</v>
      </c>
      <c r="F1123" s="8">
        <v>4.03</v>
      </c>
      <c r="G1123" s="4">
        <v>0</v>
      </c>
      <c r="H1123" s="8">
        <v>0</v>
      </c>
      <c r="I1123" s="4">
        <v>0</v>
      </c>
    </row>
    <row r="1124" spans="1:9" x14ac:dyDescent="0.2">
      <c r="A1124" s="2">
        <v>14</v>
      </c>
      <c r="B1124" s="1" t="s">
        <v>121</v>
      </c>
      <c r="C1124" s="4">
        <v>4</v>
      </c>
      <c r="D1124" s="8">
        <v>2.0299999999999998</v>
      </c>
      <c r="E1124" s="4">
        <v>0</v>
      </c>
      <c r="F1124" s="8">
        <v>0</v>
      </c>
      <c r="G1124" s="4">
        <v>4</v>
      </c>
      <c r="H1124" s="8">
        <v>6.35</v>
      </c>
      <c r="I1124" s="4">
        <v>0</v>
      </c>
    </row>
    <row r="1125" spans="1:9" x14ac:dyDescent="0.2">
      <c r="A1125" s="2">
        <v>14</v>
      </c>
      <c r="B1125" s="1" t="s">
        <v>139</v>
      </c>
      <c r="C1125" s="4">
        <v>4</v>
      </c>
      <c r="D1125" s="8">
        <v>2.0299999999999998</v>
      </c>
      <c r="E1125" s="4">
        <v>1</v>
      </c>
      <c r="F1125" s="8">
        <v>0.81</v>
      </c>
      <c r="G1125" s="4">
        <v>3</v>
      </c>
      <c r="H1125" s="8">
        <v>4.76</v>
      </c>
      <c r="I1125" s="4">
        <v>0</v>
      </c>
    </row>
    <row r="1126" spans="1:9" x14ac:dyDescent="0.2">
      <c r="A1126" s="2">
        <v>16</v>
      </c>
      <c r="B1126" s="1" t="s">
        <v>112</v>
      </c>
      <c r="C1126" s="4">
        <v>3</v>
      </c>
      <c r="D1126" s="8">
        <v>1.52</v>
      </c>
      <c r="E1126" s="4">
        <v>1</v>
      </c>
      <c r="F1126" s="8">
        <v>0.81</v>
      </c>
      <c r="G1126" s="4">
        <v>2</v>
      </c>
      <c r="H1126" s="8">
        <v>3.17</v>
      </c>
      <c r="I1126" s="4">
        <v>0</v>
      </c>
    </row>
    <row r="1127" spans="1:9" x14ac:dyDescent="0.2">
      <c r="A1127" s="2">
        <v>16</v>
      </c>
      <c r="B1127" s="1" t="s">
        <v>108</v>
      </c>
      <c r="C1127" s="4">
        <v>3</v>
      </c>
      <c r="D1127" s="8">
        <v>1.52</v>
      </c>
      <c r="E1127" s="4">
        <v>1</v>
      </c>
      <c r="F1127" s="8">
        <v>0.81</v>
      </c>
      <c r="G1127" s="4">
        <v>1</v>
      </c>
      <c r="H1127" s="8">
        <v>1.59</v>
      </c>
      <c r="I1127" s="4">
        <v>0</v>
      </c>
    </row>
    <row r="1128" spans="1:9" x14ac:dyDescent="0.2">
      <c r="A1128" s="2">
        <v>18</v>
      </c>
      <c r="B1128" s="1" t="s">
        <v>111</v>
      </c>
      <c r="C1128" s="4">
        <v>2</v>
      </c>
      <c r="D1128" s="8">
        <v>1.02</v>
      </c>
      <c r="E1128" s="4">
        <v>2</v>
      </c>
      <c r="F1128" s="8">
        <v>1.61</v>
      </c>
      <c r="G1128" s="4">
        <v>0</v>
      </c>
      <c r="H1128" s="8">
        <v>0</v>
      </c>
      <c r="I1128" s="4">
        <v>0</v>
      </c>
    </row>
    <row r="1129" spans="1:9" x14ac:dyDescent="0.2">
      <c r="A1129" s="2">
        <v>18</v>
      </c>
      <c r="B1129" s="1" t="s">
        <v>124</v>
      </c>
      <c r="C1129" s="4">
        <v>2</v>
      </c>
      <c r="D1129" s="8">
        <v>1.02</v>
      </c>
      <c r="E1129" s="4">
        <v>1</v>
      </c>
      <c r="F1129" s="8">
        <v>0.81</v>
      </c>
      <c r="G1129" s="4">
        <v>1</v>
      </c>
      <c r="H1129" s="8">
        <v>1.59</v>
      </c>
      <c r="I1129" s="4">
        <v>0</v>
      </c>
    </row>
    <row r="1130" spans="1:9" x14ac:dyDescent="0.2">
      <c r="A1130" s="2">
        <v>18</v>
      </c>
      <c r="B1130" s="1" t="s">
        <v>115</v>
      </c>
      <c r="C1130" s="4">
        <v>2</v>
      </c>
      <c r="D1130" s="8">
        <v>1.02</v>
      </c>
      <c r="E1130" s="4">
        <v>0</v>
      </c>
      <c r="F1130" s="8">
        <v>0</v>
      </c>
      <c r="G1130" s="4">
        <v>2</v>
      </c>
      <c r="H1130" s="8">
        <v>3.17</v>
      </c>
      <c r="I1130" s="4">
        <v>0</v>
      </c>
    </row>
    <row r="1131" spans="1:9" x14ac:dyDescent="0.2">
      <c r="A1131" s="2">
        <v>18</v>
      </c>
      <c r="B1131" s="1" t="s">
        <v>114</v>
      </c>
      <c r="C1131" s="4">
        <v>2</v>
      </c>
      <c r="D1131" s="8">
        <v>1.02</v>
      </c>
      <c r="E1131" s="4">
        <v>1</v>
      </c>
      <c r="F1131" s="8">
        <v>0.81</v>
      </c>
      <c r="G1131" s="4">
        <v>1</v>
      </c>
      <c r="H1131" s="8">
        <v>1.59</v>
      </c>
      <c r="I1131" s="4">
        <v>0</v>
      </c>
    </row>
    <row r="1132" spans="1:9" x14ac:dyDescent="0.2">
      <c r="A1132" s="2">
        <v>18</v>
      </c>
      <c r="B1132" s="1" t="s">
        <v>126</v>
      </c>
      <c r="C1132" s="4">
        <v>2</v>
      </c>
      <c r="D1132" s="8">
        <v>1.02</v>
      </c>
      <c r="E1132" s="4">
        <v>1</v>
      </c>
      <c r="F1132" s="8">
        <v>0.81</v>
      </c>
      <c r="G1132" s="4">
        <v>1</v>
      </c>
      <c r="H1132" s="8">
        <v>1.59</v>
      </c>
      <c r="I1132" s="4">
        <v>0</v>
      </c>
    </row>
    <row r="1133" spans="1:9" x14ac:dyDescent="0.2">
      <c r="A1133" s="2">
        <v>18</v>
      </c>
      <c r="B1133" s="1" t="s">
        <v>127</v>
      </c>
      <c r="C1133" s="4">
        <v>2</v>
      </c>
      <c r="D1133" s="8">
        <v>1.02</v>
      </c>
      <c r="E1133" s="4">
        <v>0</v>
      </c>
      <c r="F1133" s="8">
        <v>0</v>
      </c>
      <c r="G1133" s="4">
        <v>0</v>
      </c>
      <c r="H1133" s="8">
        <v>0</v>
      </c>
      <c r="I1133" s="4">
        <v>0</v>
      </c>
    </row>
    <row r="1134" spans="1:9" x14ac:dyDescent="0.2">
      <c r="A1134" s="2">
        <v>18</v>
      </c>
      <c r="B1134" s="1" t="s">
        <v>152</v>
      </c>
      <c r="C1134" s="4">
        <v>2</v>
      </c>
      <c r="D1134" s="8">
        <v>1.02</v>
      </c>
      <c r="E1134" s="4">
        <v>0</v>
      </c>
      <c r="F1134" s="8">
        <v>0</v>
      </c>
      <c r="G1134" s="4">
        <v>2</v>
      </c>
      <c r="H1134" s="8">
        <v>3.17</v>
      </c>
      <c r="I1134" s="4">
        <v>0</v>
      </c>
    </row>
    <row r="1135" spans="1:9" x14ac:dyDescent="0.2">
      <c r="A1135" s="2">
        <v>18</v>
      </c>
      <c r="B1135" s="1" t="s">
        <v>86</v>
      </c>
      <c r="C1135" s="4">
        <v>2</v>
      </c>
      <c r="D1135" s="8">
        <v>1.02</v>
      </c>
      <c r="E1135" s="4">
        <v>1</v>
      </c>
      <c r="F1135" s="8">
        <v>0.81</v>
      </c>
      <c r="G1135" s="4">
        <v>1</v>
      </c>
      <c r="H1135" s="8">
        <v>1.59</v>
      </c>
      <c r="I1135" s="4">
        <v>0</v>
      </c>
    </row>
    <row r="1136" spans="1:9" x14ac:dyDescent="0.2">
      <c r="A1136" s="2">
        <v>18</v>
      </c>
      <c r="B1136" s="1" t="s">
        <v>87</v>
      </c>
      <c r="C1136" s="4">
        <v>2</v>
      </c>
      <c r="D1136" s="8">
        <v>1.02</v>
      </c>
      <c r="E1136" s="4">
        <v>0</v>
      </c>
      <c r="F1136" s="8">
        <v>0</v>
      </c>
      <c r="G1136" s="4">
        <v>2</v>
      </c>
      <c r="H1136" s="8">
        <v>3.17</v>
      </c>
      <c r="I1136" s="4">
        <v>0</v>
      </c>
    </row>
    <row r="1137" spans="1:9" x14ac:dyDescent="0.2">
      <c r="A1137" s="2">
        <v>18</v>
      </c>
      <c r="B1137" s="1" t="s">
        <v>107</v>
      </c>
      <c r="C1137" s="4">
        <v>2</v>
      </c>
      <c r="D1137" s="8">
        <v>1.02</v>
      </c>
      <c r="E1137" s="4">
        <v>1</v>
      </c>
      <c r="F1137" s="8">
        <v>0.81</v>
      </c>
      <c r="G1137" s="4">
        <v>1</v>
      </c>
      <c r="H1137" s="8">
        <v>1.59</v>
      </c>
      <c r="I1137" s="4">
        <v>0</v>
      </c>
    </row>
    <row r="1138" spans="1:9" x14ac:dyDescent="0.2">
      <c r="A1138" s="2">
        <v>18</v>
      </c>
      <c r="B1138" s="1" t="s">
        <v>88</v>
      </c>
      <c r="C1138" s="4">
        <v>2</v>
      </c>
      <c r="D1138" s="8">
        <v>1.02</v>
      </c>
      <c r="E1138" s="4">
        <v>2</v>
      </c>
      <c r="F1138" s="8">
        <v>1.61</v>
      </c>
      <c r="G1138" s="4">
        <v>0</v>
      </c>
      <c r="H1138" s="8">
        <v>0</v>
      </c>
      <c r="I1138" s="4">
        <v>0</v>
      </c>
    </row>
    <row r="1139" spans="1:9" x14ac:dyDescent="0.2">
      <c r="A1139" s="2">
        <v>18</v>
      </c>
      <c r="B1139" s="1" t="s">
        <v>103</v>
      </c>
      <c r="C1139" s="4">
        <v>2</v>
      </c>
      <c r="D1139" s="8">
        <v>1.02</v>
      </c>
      <c r="E1139" s="4">
        <v>2</v>
      </c>
      <c r="F1139" s="8">
        <v>1.61</v>
      </c>
      <c r="G1139" s="4">
        <v>0</v>
      </c>
      <c r="H1139" s="8">
        <v>0</v>
      </c>
      <c r="I1139" s="4">
        <v>0</v>
      </c>
    </row>
    <row r="1140" spans="1:9" x14ac:dyDescent="0.2">
      <c r="A1140" s="2">
        <v>18</v>
      </c>
      <c r="B1140" s="1" t="s">
        <v>95</v>
      </c>
      <c r="C1140" s="4">
        <v>2</v>
      </c>
      <c r="D1140" s="8">
        <v>1.02</v>
      </c>
      <c r="E1140" s="4">
        <v>2</v>
      </c>
      <c r="F1140" s="8">
        <v>1.61</v>
      </c>
      <c r="G1140" s="4">
        <v>0</v>
      </c>
      <c r="H1140" s="8">
        <v>0</v>
      </c>
      <c r="I1140" s="4">
        <v>0</v>
      </c>
    </row>
    <row r="1141" spans="1:9" x14ac:dyDescent="0.2">
      <c r="A1141" s="2">
        <v>18</v>
      </c>
      <c r="B1141" s="1" t="s">
        <v>101</v>
      </c>
      <c r="C1141" s="4">
        <v>2</v>
      </c>
      <c r="D1141" s="8">
        <v>1.02</v>
      </c>
      <c r="E1141" s="4">
        <v>0</v>
      </c>
      <c r="F1141" s="8">
        <v>0</v>
      </c>
      <c r="G1141" s="4">
        <v>0</v>
      </c>
      <c r="H1141" s="8">
        <v>0</v>
      </c>
      <c r="I1141" s="4">
        <v>0</v>
      </c>
    </row>
    <row r="1142" spans="1:9" x14ac:dyDescent="0.2">
      <c r="A1142" s="1"/>
      <c r="C1142" s="4"/>
      <c r="D1142" s="8"/>
      <c r="E1142" s="4"/>
      <c r="F1142" s="8"/>
      <c r="G1142" s="4"/>
      <c r="H1142" s="8"/>
      <c r="I1142" s="4"/>
    </row>
    <row r="1143" spans="1:9" x14ac:dyDescent="0.2">
      <c r="A1143" s="1" t="s">
        <v>45</v>
      </c>
      <c r="C1143" s="4"/>
      <c r="D1143" s="8"/>
      <c r="E1143" s="4"/>
      <c r="F1143" s="8"/>
      <c r="G1143" s="4"/>
      <c r="H1143" s="8"/>
      <c r="I1143" s="4"/>
    </row>
    <row r="1144" spans="1:9" x14ac:dyDescent="0.2">
      <c r="A1144" s="2">
        <v>1</v>
      </c>
      <c r="B1144" s="1" t="s">
        <v>89</v>
      </c>
      <c r="C1144" s="4">
        <v>20</v>
      </c>
      <c r="D1144" s="8">
        <v>12.05</v>
      </c>
      <c r="E1144" s="4">
        <v>20</v>
      </c>
      <c r="F1144" s="8">
        <v>20.83</v>
      </c>
      <c r="G1144" s="4">
        <v>0</v>
      </c>
      <c r="H1144" s="8">
        <v>0</v>
      </c>
      <c r="I1144" s="4">
        <v>0</v>
      </c>
    </row>
    <row r="1145" spans="1:9" x14ac:dyDescent="0.2">
      <c r="A1145" s="2">
        <v>2</v>
      </c>
      <c r="B1145" s="1" t="s">
        <v>97</v>
      </c>
      <c r="C1145" s="4">
        <v>19</v>
      </c>
      <c r="D1145" s="8">
        <v>11.45</v>
      </c>
      <c r="E1145" s="4">
        <v>19</v>
      </c>
      <c r="F1145" s="8">
        <v>19.79</v>
      </c>
      <c r="G1145" s="4">
        <v>0</v>
      </c>
      <c r="H1145" s="8">
        <v>0</v>
      </c>
      <c r="I1145" s="4">
        <v>0</v>
      </c>
    </row>
    <row r="1146" spans="1:9" x14ac:dyDescent="0.2">
      <c r="A1146" s="2">
        <v>3</v>
      </c>
      <c r="B1146" s="1" t="s">
        <v>83</v>
      </c>
      <c r="C1146" s="4">
        <v>18</v>
      </c>
      <c r="D1146" s="8">
        <v>10.84</v>
      </c>
      <c r="E1146" s="4">
        <v>5</v>
      </c>
      <c r="F1146" s="8">
        <v>5.21</v>
      </c>
      <c r="G1146" s="4">
        <v>13</v>
      </c>
      <c r="H1146" s="8">
        <v>20</v>
      </c>
      <c r="I1146" s="4">
        <v>0</v>
      </c>
    </row>
    <row r="1147" spans="1:9" x14ac:dyDescent="0.2">
      <c r="A1147" s="2">
        <v>4</v>
      </c>
      <c r="B1147" s="1" t="s">
        <v>84</v>
      </c>
      <c r="C1147" s="4">
        <v>16</v>
      </c>
      <c r="D1147" s="8">
        <v>9.64</v>
      </c>
      <c r="E1147" s="4">
        <v>8</v>
      </c>
      <c r="F1147" s="8">
        <v>8.33</v>
      </c>
      <c r="G1147" s="4">
        <v>8</v>
      </c>
      <c r="H1147" s="8">
        <v>12.31</v>
      </c>
      <c r="I1147" s="4">
        <v>0</v>
      </c>
    </row>
    <row r="1148" spans="1:9" x14ac:dyDescent="0.2">
      <c r="A1148" s="2">
        <v>5</v>
      </c>
      <c r="B1148" s="1" t="s">
        <v>96</v>
      </c>
      <c r="C1148" s="4">
        <v>12</v>
      </c>
      <c r="D1148" s="8">
        <v>7.23</v>
      </c>
      <c r="E1148" s="4">
        <v>11</v>
      </c>
      <c r="F1148" s="8">
        <v>11.46</v>
      </c>
      <c r="G1148" s="4">
        <v>1</v>
      </c>
      <c r="H1148" s="8">
        <v>1.54</v>
      </c>
      <c r="I1148" s="4">
        <v>0</v>
      </c>
    </row>
    <row r="1149" spans="1:9" x14ac:dyDescent="0.2">
      <c r="A1149" s="2">
        <v>6</v>
      </c>
      <c r="B1149" s="1" t="s">
        <v>111</v>
      </c>
      <c r="C1149" s="4">
        <v>10</v>
      </c>
      <c r="D1149" s="8">
        <v>6.02</v>
      </c>
      <c r="E1149" s="4">
        <v>6</v>
      </c>
      <c r="F1149" s="8">
        <v>6.25</v>
      </c>
      <c r="G1149" s="4">
        <v>4</v>
      </c>
      <c r="H1149" s="8">
        <v>6.15</v>
      </c>
      <c r="I1149" s="4">
        <v>0</v>
      </c>
    </row>
    <row r="1150" spans="1:9" x14ac:dyDescent="0.2">
      <c r="A1150" s="2">
        <v>6</v>
      </c>
      <c r="B1150" s="1" t="s">
        <v>91</v>
      </c>
      <c r="C1150" s="4">
        <v>10</v>
      </c>
      <c r="D1150" s="8">
        <v>6.02</v>
      </c>
      <c r="E1150" s="4">
        <v>6</v>
      </c>
      <c r="F1150" s="8">
        <v>6.25</v>
      </c>
      <c r="G1150" s="4">
        <v>4</v>
      </c>
      <c r="H1150" s="8">
        <v>6.15</v>
      </c>
      <c r="I1150" s="4">
        <v>0</v>
      </c>
    </row>
    <row r="1151" spans="1:9" x14ac:dyDescent="0.2">
      <c r="A1151" s="2">
        <v>8</v>
      </c>
      <c r="B1151" s="1" t="s">
        <v>85</v>
      </c>
      <c r="C1151" s="4">
        <v>7</v>
      </c>
      <c r="D1151" s="8">
        <v>4.22</v>
      </c>
      <c r="E1151" s="4">
        <v>3</v>
      </c>
      <c r="F1151" s="8">
        <v>3.13</v>
      </c>
      <c r="G1151" s="4">
        <v>4</v>
      </c>
      <c r="H1151" s="8">
        <v>6.15</v>
      </c>
      <c r="I1151" s="4">
        <v>0</v>
      </c>
    </row>
    <row r="1152" spans="1:9" x14ac:dyDescent="0.2">
      <c r="A1152" s="2">
        <v>8</v>
      </c>
      <c r="B1152" s="1" t="s">
        <v>102</v>
      </c>
      <c r="C1152" s="4">
        <v>7</v>
      </c>
      <c r="D1152" s="8">
        <v>4.22</v>
      </c>
      <c r="E1152" s="4">
        <v>3</v>
      </c>
      <c r="F1152" s="8">
        <v>3.13</v>
      </c>
      <c r="G1152" s="4">
        <v>4</v>
      </c>
      <c r="H1152" s="8">
        <v>6.15</v>
      </c>
      <c r="I1152" s="4">
        <v>0</v>
      </c>
    </row>
    <row r="1153" spans="1:9" x14ac:dyDescent="0.2">
      <c r="A1153" s="2">
        <v>10</v>
      </c>
      <c r="B1153" s="1" t="s">
        <v>113</v>
      </c>
      <c r="C1153" s="4">
        <v>5</v>
      </c>
      <c r="D1153" s="8">
        <v>3.01</v>
      </c>
      <c r="E1153" s="4">
        <v>2</v>
      </c>
      <c r="F1153" s="8">
        <v>2.08</v>
      </c>
      <c r="G1153" s="4">
        <v>2</v>
      </c>
      <c r="H1153" s="8">
        <v>3.08</v>
      </c>
      <c r="I1153" s="4">
        <v>0</v>
      </c>
    </row>
    <row r="1154" spans="1:9" x14ac:dyDescent="0.2">
      <c r="A1154" s="2">
        <v>11</v>
      </c>
      <c r="B1154" s="1" t="s">
        <v>124</v>
      </c>
      <c r="C1154" s="4">
        <v>3</v>
      </c>
      <c r="D1154" s="8">
        <v>1.81</v>
      </c>
      <c r="E1154" s="4">
        <v>1</v>
      </c>
      <c r="F1154" s="8">
        <v>1.04</v>
      </c>
      <c r="G1154" s="4">
        <v>2</v>
      </c>
      <c r="H1154" s="8">
        <v>3.08</v>
      </c>
      <c r="I1154" s="4">
        <v>0</v>
      </c>
    </row>
    <row r="1155" spans="1:9" x14ac:dyDescent="0.2">
      <c r="A1155" s="2">
        <v>11</v>
      </c>
      <c r="B1155" s="1" t="s">
        <v>127</v>
      </c>
      <c r="C1155" s="4">
        <v>3</v>
      </c>
      <c r="D1155" s="8">
        <v>1.81</v>
      </c>
      <c r="E1155" s="4">
        <v>0</v>
      </c>
      <c r="F1155" s="8">
        <v>0</v>
      </c>
      <c r="G1155" s="4">
        <v>0</v>
      </c>
      <c r="H1155" s="8">
        <v>0</v>
      </c>
      <c r="I1155" s="4">
        <v>0</v>
      </c>
    </row>
    <row r="1156" spans="1:9" x14ac:dyDescent="0.2">
      <c r="A1156" s="2">
        <v>13</v>
      </c>
      <c r="B1156" s="1" t="s">
        <v>122</v>
      </c>
      <c r="C1156" s="4">
        <v>2</v>
      </c>
      <c r="D1156" s="8">
        <v>1.2</v>
      </c>
      <c r="E1156" s="4">
        <v>0</v>
      </c>
      <c r="F1156" s="8">
        <v>0</v>
      </c>
      <c r="G1156" s="4">
        <v>2</v>
      </c>
      <c r="H1156" s="8">
        <v>3.08</v>
      </c>
      <c r="I1156" s="4">
        <v>0</v>
      </c>
    </row>
    <row r="1157" spans="1:9" x14ac:dyDescent="0.2">
      <c r="A1157" s="2">
        <v>13</v>
      </c>
      <c r="B1157" s="1" t="s">
        <v>90</v>
      </c>
      <c r="C1157" s="4">
        <v>2</v>
      </c>
      <c r="D1157" s="8">
        <v>1.2</v>
      </c>
      <c r="E1157" s="4">
        <v>2</v>
      </c>
      <c r="F1157" s="8">
        <v>2.08</v>
      </c>
      <c r="G1157" s="4">
        <v>0</v>
      </c>
      <c r="H1157" s="8">
        <v>0</v>
      </c>
      <c r="I1157" s="4">
        <v>0</v>
      </c>
    </row>
    <row r="1158" spans="1:9" x14ac:dyDescent="0.2">
      <c r="A1158" s="2">
        <v>13</v>
      </c>
      <c r="B1158" s="1" t="s">
        <v>93</v>
      </c>
      <c r="C1158" s="4">
        <v>2</v>
      </c>
      <c r="D1158" s="8">
        <v>1.2</v>
      </c>
      <c r="E1158" s="4">
        <v>2</v>
      </c>
      <c r="F1158" s="8">
        <v>2.08</v>
      </c>
      <c r="G1158" s="4">
        <v>0</v>
      </c>
      <c r="H1158" s="8">
        <v>0</v>
      </c>
      <c r="I1158" s="4">
        <v>0</v>
      </c>
    </row>
    <row r="1159" spans="1:9" x14ac:dyDescent="0.2">
      <c r="A1159" s="2">
        <v>13</v>
      </c>
      <c r="B1159" s="1" t="s">
        <v>94</v>
      </c>
      <c r="C1159" s="4">
        <v>2</v>
      </c>
      <c r="D1159" s="8">
        <v>1.2</v>
      </c>
      <c r="E1159" s="4">
        <v>1</v>
      </c>
      <c r="F1159" s="8">
        <v>1.04</v>
      </c>
      <c r="G1159" s="4">
        <v>0</v>
      </c>
      <c r="H1159" s="8">
        <v>0</v>
      </c>
      <c r="I1159" s="4">
        <v>0</v>
      </c>
    </row>
    <row r="1160" spans="1:9" x14ac:dyDescent="0.2">
      <c r="A1160" s="2">
        <v>13</v>
      </c>
      <c r="B1160" s="1" t="s">
        <v>100</v>
      </c>
      <c r="C1160" s="4">
        <v>2</v>
      </c>
      <c r="D1160" s="8">
        <v>1.2</v>
      </c>
      <c r="E1160" s="4">
        <v>2</v>
      </c>
      <c r="F1160" s="8">
        <v>2.08</v>
      </c>
      <c r="G1160" s="4">
        <v>0</v>
      </c>
      <c r="H1160" s="8">
        <v>0</v>
      </c>
      <c r="I1160" s="4">
        <v>0</v>
      </c>
    </row>
    <row r="1161" spans="1:9" x14ac:dyDescent="0.2">
      <c r="A1161" s="2">
        <v>18</v>
      </c>
      <c r="B1161" s="1" t="s">
        <v>110</v>
      </c>
      <c r="C1161" s="4">
        <v>1</v>
      </c>
      <c r="D1161" s="8">
        <v>0.6</v>
      </c>
      <c r="E1161" s="4">
        <v>0</v>
      </c>
      <c r="F1161" s="8">
        <v>0</v>
      </c>
      <c r="G1161" s="4">
        <v>1</v>
      </c>
      <c r="H1161" s="8">
        <v>1.54</v>
      </c>
      <c r="I1161" s="4">
        <v>0</v>
      </c>
    </row>
    <row r="1162" spans="1:9" x14ac:dyDescent="0.2">
      <c r="A1162" s="2">
        <v>18</v>
      </c>
      <c r="B1162" s="1" t="s">
        <v>132</v>
      </c>
      <c r="C1162" s="4">
        <v>1</v>
      </c>
      <c r="D1162" s="8">
        <v>0.6</v>
      </c>
      <c r="E1162" s="4">
        <v>0</v>
      </c>
      <c r="F1162" s="8">
        <v>0</v>
      </c>
      <c r="G1162" s="4">
        <v>1</v>
      </c>
      <c r="H1162" s="8">
        <v>1.54</v>
      </c>
      <c r="I1162" s="4">
        <v>0</v>
      </c>
    </row>
    <row r="1163" spans="1:9" x14ac:dyDescent="0.2">
      <c r="A1163" s="2">
        <v>18</v>
      </c>
      <c r="B1163" s="1" t="s">
        <v>116</v>
      </c>
      <c r="C1163" s="4">
        <v>1</v>
      </c>
      <c r="D1163" s="8">
        <v>0.6</v>
      </c>
      <c r="E1163" s="4">
        <v>1</v>
      </c>
      <c r="F1163" s="8">
        <v>1.04</v>
      </c>
      <c r="G1163" s="4">
        <v>0</v>
      </c>
      <c r="H1163" s="8">
        <v>0</v>
      </c>
      <c r="I1163" s="4">
        <v>0</v>
      </c>
    </row>
    <row r="1164" spans="1:9" x14ac:dyDescent="0.2">
      <c r="A1164" s="2">
        <v>18</v>
      </c>
      <c r="B1164" s="1" t="s">
        <v>144</v>
      </c>
      <c r="C1164" s="4">
        <v>1</v>
      </c>
      <c r="D1164" s="8">
        <v>0.6</v>
      </c>
      <c r="E1164" s="4">
        <v>0</v>
      </c>
      <c r="F1164" s="8">
        <v>0</v>
      </c>
      <c r="G1164" s="4">
        <v>1</v>
      </c>
      <c r="H1164" s="8">
        <v>1.54</v>
      </c>
      <c r="I1164" s="4">
        <v>0</v>
      </c>
    </row>
    <row r="1165" spans="1:9" x14ac:dyDescent="0.2">
      <c r="A1165" s="2">
        <v>18</v>
      </c>
      <c r="B1165" s="1" t="s">
        <v>121</v>
      </c>
      <c r="C1165" s="4">
        <v>1</v>
      </c>
      <c r="D1165" s="8">
        <v>0.6</v>
      </c>
      <c r="E1165" s="4">
        <v>0</v>
      </c>
      <c r="F1165" s="8">
        <v>0</v>
      </c>
      <c r="G1165" s="4">
        <v>1</v>
      </c>
      <c r="H1165" s="8">
        <v>1.54</v>
      </c>
      <c r="I1165" s="4">
        <v>0</v>
      </c>
    </row>
    <row r="1166" spans="1:9" x14ac:dyDescent="0.2">
      <c r="A1166" s="2">
        <v>18</v>
      </c>
      <c r="B1166" s="1" t="s">
        <v>112</v>
      </c>
      <c r="C1166" s="4">
        <v>1</v>
      </c>
      <c r="D1166" s="8">
        <v>0.6</v>
      </c>
      <c r="E1166" s="4">
        <v>0</v>
      </c>
      <c r="F1166" s="8">
        <v>0</v>
      </c>
      <c r="G1166" s="4">
        <v>1</v>
      </c>
      <c r="H1166" s="8">
        <v>1.54</v>
      </c>
      <c r="I1166" s="4">
        <v>0</v>
      </c>
    </row>
    <row r="1167" spans="1:9" x14ac:dyDescent="0.2">
      <c r="A1167" s="2">
        <v>18</v>
      </c>
      <c r="B1167" s="1" t="s">
        <v>114</v>
      </c>
      <c r="C1167" s="4">
        <v>1</v>
      </c>
      <c r="D1167" s="8">
        <v>0.6</v>
      </c>
      <c r="E1167" s="4">
        <v>0</v>
      </c>
      <c r="F1167" s="8">
        <v>0</v>
      </c>
      <c r="G1167" s="4">
        <v>1</v>
      </c>
      <c r="H1167" s="8">
        <v>1.54</v>
      </c>
      <c r="I1167" s="4">
        <v>0</v>
      </c>
    </row>
    <row r="1168" spans="1:9" x14ac:dyDescent="0.2">
      <c r="A1168" s="2">
        <v>18</v>
      </c>
      <c r="B1168" s="1" t="s">
        <v>134</v>
      </c>
      <c r="C1168" s="4">
        <v>1</v>
      </c>
      <c r="D1168" s="8">
        <v>0.6</v>
      </c>
      <c r="E1168" s="4">
        <v>0</v>
      </c>
      <c r="F1168" s="8">
        <v>0</v>
      </c>
      <c r="G1168" s="4">
        <v>1</v>
      </c>
      <c r="H1168" s="8">
        <v>1.54</v>
      </c>
      <c r="I1168" s="4">
        <v>0</v>
      </c>
    </row>
    <row r="1169" spans="1:9" x14ac:dyDescent="0.2">
      <c r="A1169" s="2">
        <v>18</v>
      </c>
      <c r="B1169" s="1" t="s">
        <v>136</v>
      </c>
      <c r="C1169" s="4">
        <v>1</v>
      </c>
      <c r="D1169" s="8">
        <v>0.6</v>
      </c>
      <c r="E1169" s="4">
        <v>0</v>
      </c>
      <c r="F1169" s="8">
        <v>0</v>
      </c>
      <c r="G1169" s="4">
        <v>1</v>
      </c>
      <c r="H1169" s="8">
        <v>1.54</v>
      </c>
      <c r="I1169" s="4">
        <v>0</v>
      </c>
    </row>
    <row r="1170" spans="1:9" x14ac:dyDescent="0.2">
      <c r="A1170" s="2">
        <v>18</v>
      </c>
      <c r="B1170" s="1" t="s">
        <v>106</v>
      </c>
      <c r="C1170" s="4">
        <v>1</v>
      </c>
      <c r="D1170" s="8">
        <v>0.6</v>
      </c>
      <c r="E1170" s="4">
        <v>1</v>
      </c>
      <c r="F1170" s="8">
        <v>1.04</v>
      </c>
      <c r="G1170" s="4">
        <v>0</v>
      </c>
      <c r="H1170" s="8">
        <v>0</v>
      </c>
      <c r="I1170" s="4">
        <v>0</v>
      </c>
    </row>
    <row r="1171" spans="1:9" x14ac:dyDescent="0.2">
      <c r="A1171" s="2">
        <v>18</v>
      </c>
      <c r="B1171" s="1" t="s">
        <v>86</v>
      </c>
      <c r="C1171" s="4">
        <v>1</v>
      </c>
      <c r="D1171" s="8">
        <v>0.6</v>
      </c>
      <c r="E1171" s="4">
        <v>0</v>
      </c>
      <c r="F1171" s="8">
        <v>0</v>
      </c>
      <c r="G1171" s="4">
        <v>1</v>
      </c>
      <c r="H1171" s="8">
        <v>1.54</v>
      </c>
      <c r="I1171" s="4">
        <v>0</v>
      </c>
    </row>
    <row r="1172" spans="1:9" x14ac:dyDescent="0.2">
      <c r="A1172" s="2">
        <v>18</v>
      </c>
      <c r="B1172" s="1" t="s">
        <v>87</v>
      </c>
      <c r="C1172" s="4">
        <v>1</v>
      </c>
      <c r="D1172" s="8">
        <v>0.6</v>
      </c>
      <c r="E1172" s="4">
        <v>0</v>
      </c>
      <c r="F1172" s="8">
        <v>0</v>
      </c>
      <c r="G1172" s="4">
        <v>1</v>
      </c>
      <c r="H1172" s="8">
        <v>1.54</v>
      </c>
      <c r="I1172" s="4">
        <v>0</v>
      </c>
    </row>
    <row r="1173" spans="1:9" x14ac:dyDescent="0.2">
      <c r="A1173" s="2">
        <v>18</v>
      </c>
      <c r="B1173" s="1" t="s">
        <v>148</v>
      </c>
      <c r="C1173" s="4">
        <v>1</v>
      </c>
      <c r="D1173" s="8">
        <v>0.6</v>
      </c>
      <c r="E1173" s="4">
        <v>0</v>
      </c>
      <c r="F1173" s="8">
        <v>0</v>
      </c>
      <c r="G1173" s="4">
        <v>1</v>
      </c>
      <c r="H1173" s="8">
        <v>1.54</v>
      </c>
      <c r="I1173" s="4">
        <v>0</v>
      </c>
    </row>
    <row r="1174" spans="1:9" x14ac:dyDescent="0.2">
      <c r="A1174" s="2">
        <v>18</v>
      </c>
      <c r="B1174" s="1" t="s">
        <v>88</v>
      </c>
      <c r="C1174" s="4">
        <v>1</v>
      </c>
      <c r="D1174" s="8">
        <v>0.6</v>
      </c>
      <c r="E1174" s="4">
        <v>1</v>
      </c>
      <c r="F1174" s="8">
        <v>1.04</v>
      </c>
      <c r="G1174" s="4">
        <v>0</v>
      </c>
      <c r="H1174" s="8">
        <v>0</v>
      </c>
      <c r="I1174" s="4">
        <v>0</v>
      </c>
    </row>
    <row r="1175" spans="1:9" x14ac:dyDescent="0.2">
      <c r="A1175" s="2">
        <v>18</v>
      </c>
      <c r="B1175" s="1" t="s">
        <v>109</v>
      </c>
      <c r="C1175" s="4">
        <v>1</v>
      </c>
      <c r="D1175" s="8">
        <v>0.6</v>
      </c>
      <c r="E1175" s="4">
        <v>0</v>
      </c>
      <c r="F1175" s="8">
        <v>0</v>
      </c>
      <c r="G1175" s="4">
        <v>1</v>
      </c>
      <c r="H1175" s="8">
        <v>1.54</v>
      </c>
      <c r="I1175" s="4">
        <v>0</v>
      </c>
    </row>
    <row r="1176" spans="1:9" x14ac:dyDescent="0.2">
      <c r="A1176" s="2">
        <v>18</v>
      </c>
      <c r="B1176" s="1" t="s">
        <v>92</v>
      </c>
      <c r="C1176" s="4">
        <v>1</v>
      </c>
      <c r="D1176" s="8">
        <v>0.6</v>
      </c>
      <c r="E1176" s="4">
        <v>1</v>
      </c>
      <c r="F1176" s="8">
        <v>1.04</v>
      </c>
      <c r="G1176" s="4">
        <v>0</v>
      </c>
      <c r="H1176" s="8">
        <v>0</v>
      </c>
      <c r="I1176" s="4">
        <v>0</v>
      </c>
    </row>
    <row r="1177" spans="1:9" x14ac:dyDescent="0.2">
      <c r="A1177" s="2">
        <v>18</v>
      </c>
      <c r="B1177" s="1" t="s">
        <v>139</v>
      </c>
      <c r="C1177" s="4">
        <v>1</v>
      </c>
      <c r="D1177" s="8">
        <v>0.6</v>
      </c>
      <c r="E1177" s="4">
        <v>0</v>
      </c>
      <c r="F1177" s="8">
        <v>0</v>
      </c>
      <c r="G1177" s="4">
        <v>1</v>
      </c>
      <c r="H1177" s="8">
        <v>1.54</v>
      </c>
      <c r="I1177" s="4">
        <v>0</v>
      </c>
    </row>
    <row r="1178" spans="1:9" x14ac:dyDescent="0.2">
      <c r="A1178" s="2">
        <v>18</v>
      </c>
      <c r="B1178" s="1" t="s">
        <v>153</v>
      </c>
      <c r="C1178" s="4">
        <v>1</v>
      </c>
      <c r="D1178" s="8">
        <v>0.6</v>
      </c>
      <c r="E1178" s="4">
        <v>0</v>
      </c>
      <c r="F1178" s="8">
        <v>0</v>
      </c>
      <c r="G1178" s="4">
        <v>1</v>
      </c>
      <c r="H1178" s="8">
        <v>1.54</v>
      </c>
      <c r="I1178" s="4">
        <v>0</v>
      </c>
    </row>
    <row r="1179" spans="1:9" x14ac:dyDescent="0.2">
      <c r="A1179" s="2">
        <v>18</v>
      </c>
      <c r="B1179" s="1" t="s">
        <v>95</v>
      </c>
      <c r="C1179" s="4">
        <v>1</v>
      </c>
      <c r="D1179" s="8">
        <v>0.6</v>
      </c>
      <c r="E1179" s="4">
        <v>0</v>
      </c>
      <c r="F1179" s="8">
        <v>0</v>
      </c>
      <c r="G1179" s="4">
        <v>1</v>
      </c>
      <c r="H1179" s="8">
        <v>1.54</v>
      </c>
      <c r="I1179" s="4">
        <v>0</v>
      </c>
    </row>
    <row r="1180" spans="1:9" x14ac:dyDescent="0.2">
      <c r="A1180" s="2">
        <v>18</v>
      </c>
      <c r="B1180" s="1" t="s">
        <v>98</v>
      </c>
      <c r="C1180" s="4">
        <v>1</v>
      </c>
      <c r="D1180" s="8">
        <v>0.6</v>
      </c>
      <c r="E1180" s="4">
        <v>0</v>
      </c>
      <c r="F1180" s="8">
        <v>0</v>
      </c>
      <c r="G1180" s="4">
        <v>1</v>
      </c>
      <c r="H1180" s="8">
        <v>1.54</v>
      </c>
      <c r="I1180" s="4">
        <v>0</v>
      </c>
    </row>
    <row r="1181" spans="1:9" x14ac:dyDescent="0.2">
      <c r="A1181" s="2">
        <v>18</v>
      </c>
      <c r="B1181" s="1" t="s">
        <v>129</v>
      </c>
      <c r="C1181" s="4">
        <v>1</v>
      </c>
      <c r="D1181" s="8">
        <v>0.6</v>
      </c>
      <c r="E1181" s="4">
        <v>0</v>
      </c>
      <c r="F1181" s="8">
        <v>0</v>
      </c>
      <c r="G1181" s="4">
        <v>1</v>
      </c>
      <c r="H1181" s="8">
        <v>1.54</v>
      </c>
      <c r="I1181" s="4">
        <v>0</v>
      </c>
    </row>
    <row r="1182" spans="1:9" x14ac:dyDescent="0.2">
      <c r="A1182" s="2">
        <v>18</v>
      </c>
      <c r="B1182" s="1" t="s">
        <v>99</v>
      </c>
      <c r="C1182" s="4">
        <v>1</v>
      </c>
      <c r="D1182" s="8">
        <v>0.6</v>
      </c>
      <c r="E1182" s="4">
        <v>1</v>
      </c>
      <c r="F1182" s="8">
        <v>1.04</v>
      </c>
      <c r="G1182" s="4">
        <v>0</v>
      </c>
      <c r="H1182" s="8">
        <v>0</v>
      </c>
      <c r="I1182" s="4">
        <v>0</v>
      </c>
    </row>
    <row r="1183" spans="1:9" x14ac:dyDescent="0.2">
      <c r="A1183" s="2">
        <v>18</v>
      </c>
      <c r="B1183" s="1" t="s">
        <v>101</v>
      </c>
      <c r="C1183" s="4">
        <v>1</v>
      </c>
      <c r="D1183" s="8">
        <v>0.6</v>
      </c>
      <c r="E1183" s="4">
        <v>0</v>
      </c>
      <c r="F1183" s="8">
        <v>0</v>
      </c>
      <c r="G1183" s="4">
        <v>1</v>
      </c>
      <c r="H1183" s="8">
        <v>1.54</v>
      </c>
      <c r="I1183" s="4">
        <v>0</v>
      </c>
    </row>
    <row r="1184" spans="1:9" x14ac:dyDescent="0.2">
      <c r="A1184" s="2">
        <v>18</v>
      </c>
      <c r="B1184" s="1" t="s">
        <v>120</v>
      </c>
      <c r="C1184" s="4">
        <v>1</v>
      </c>
      <c r="D1184" s="8">
        <v>0.6</v>
      </c>
      <c r="E1184" s="4">
        <v>0</v>
      </c>
      <c r="F1184" s="8">
        <v>0</v>
      </c>
      <c r="G1184" s="4">
        <v>1</v>
      </c>
      <c r="H1184" s="8">
        <v>1.54</v>
      </c>
      <c r="I1184" s="4">
        <v>0</v>
      </c>
    </row>
    <row r="1185" spans="1:9" x14ac:dyDescent="0.2">
      <c r="A1185" s="2">
        <v>18</v>
      </c>
      <c r="B1185" s="1" t="s">
        <v>108</v>
      </c>
      <c r="C1185" s="4">
        <v>1</v>
      </c>
      <c r="D1185" s="8">
        <v>0.6</v>
      </c>
      <c r="E1185" s="4">
        <v>0</v>
      </c>
      <c r="F1185" s="8">
        <v>0</v>
      </c>
      <c r="G1185" s="4">
        <v>1</v>
      </c>
      <c r="H1185" s="8">
        <v>1.54</v>
      </c>
      <c r="I1185" s="4">
        <v>0</v>
      </c>
    </row>
    <row r="1186" spans="1:9" x14ac:dyDescent="0.2">
      <c r="A1186" s="2">
        <v>18</v>
      </c>
      <c r="B1186" s="1" t="s">
        <v>140</v>
      </c>
      <c r="C1186" s="4">
        <v>1</v>
      </c>
      <c r="D1186" s="8">
        <v>0.6</v>
      </c>
      <c r="E1186" s="4">
        <v>0</v>
      </c>
      <c r="F1186" s="8">
        <v>0</v>
      </c>
      <c r="G1186" s="4">
        <v>1</v>
      </c>
      <c r="H1186" s="8">
        <v>1.54</v>
      </c>
      <c r="I1186" s="4">
        <v>0</v>
      </c>
    </row>
    <row r="1187" spans="1:9" x14ac:dyDescent="0.2">
      <c r="A1187" s="1"/>
      <c r="C1187" s="4"/>
      <c r="D1187" s="8"/>
      <c r="E1187" s="4"/>
      <c r="F1187" s="8"/>
      <c r="G1187" s="4"/>
      <c r="H1187" s="8"/>
      <c r="I1187" s="4"/>
    </row>
    <row r="1188" spans="1:9" x14ac:dyDescent="0.2">
      <c r="A1188" s="1" t="s">
        <v>46</v>
      </c>
      <c r="C1188" s="4"/>
      <c r="D1188" s="8"/>
      <c r="E1188" s="4"/>
      <c r="F1188" s="8"/>
      <c r="G1188" s="4"/>
      <c r="H1188" s="8"/>
      <c r="I1188" s="4"/>
    </row>
    <row r="1189" spans="1:9" x14ac:dyDescent="0.2">
      <c r="A1189" s="2">
        <v>1</v>
      </c>
      <c r="B1189" s="1" t="s">
        <v>97</v>
      </c>
      <c r="C1189" s="4">
        <v>25</v>
      </c>
      <c r="D1189" s="8">
        <v>13.02</v>
      </c>
      <c r="E1189" s="4">
        <v>24</v>
      </c>
      <c r="F1189" s="8">
        <v>17.14</v>
      </c>
      <c r="G1189" s="4">
        <v>1</v>
      </c>
      <c r="H1189" s="8">
        <v>2.04</v>
      </c>
      <c r="I1189" s="4">
        <v>0</v>
      </c>
    </row>
    <row r="1190" spans="1:9" x14ac:dyDescent="0.2">
      <c r="A1190" s="2">
        <v>2</v>
      </c>
      <c r="B1190" s="1" t="s">
        <v>83</v>
      </c>
      <c r="C1190" s="4">
        <v>18</v>
      </c>
      <c r="D1190" s="8">
        <v>9.3800000000000008</v>
      </c>
      <c r="E1190" s="4">
        <v>12</v>
      </c>
      <c r="F1190" s="8">
        <v>8.57</v>
      </c>
      <c r="G1190" s="4">
        <v>6</v>
      </c>
      <c r="H1190" s="8">
        <v>12.24</v>
      </c>
      <c r="I1190" s="4">
        <v>0</v>
      </c>
    </row>
    <row r="1191" spans="1:9" x14ac:dyDescent="0.2">
      <c r="A1191" s="2">
        <v>3</v>
      </c>
      <c r="B1191" s="1" t="s">
        <v>84</v>
      </c>
      <c r="C1191" s="4">
        <v>17</v>
      </c>
      <c r="D1191" s="8">
        <v>8.85</v>
      </c>
      <c r="E1191" s="4">
        <v>13</v>
      </c>
      <c r="F1191" s="8">
        <v>9.2899999999999991</v>
      </c>
      <c r="G1191" s="4">
        <v>4</v>
      </c>
      <c r="H1191" s="8">
        <v>8.16</v>
      </c>
      <c r="I1191" s="4">
        <v>0</v>
      </c>
    </row>
    <row r="1192" spans="1:9" x14ac:dyDescent="0.2">
      <c r="A1192" s="2">
        <v>4</v>
      </c>
      <c r="B1192" s="1" t="s">
        <v>96</v>
      </c>
      <c r="C1192" s="4">
        <v>16</v>
      </c>
      <c r="D1192" s="8">
        <v>8.33</v>
      </c>
      <c r="E1192" s="4">
        <v>14</v>
      </c>
      <c r="F1192" s="8">
        <v>10</v>
      </c>
      <c r="G1192" s="4">
        <v>2</v>
      </c>
      <c r="H1192" s="8">
        <v>4.08</v>
      </c>
      <c r="I1192" s="4">
        <v>0</v>
      </c>
    </row>
    <row r="1193" spans="1:9" x14ac:dyDescent="0.2">
      <c r="A1193" s="2">
        <v>5</v>
      </c>
      <c r="B1193" s="1" t="s">
        <v>89</v>
      </c>
      <c r="C1193" s="4">
        <v>14</v>
      </c>
      <c r="D1193" s="8">
        <v>7.29</v>
      </c>
      <c r="E1193" s="4">
        <v>11</v>
      </c>
      <c r="F1193" s="8">
        <v>7.86</v>
      </c>
      <c r="G1193" s="4">
        <v>3</v>
      </c>
      <c r="H1193" s="8">
        <v>6.12</v>
      </c>
      <c r="I1193" s="4">
        <v>0</v>
      </c>
    </row>
    <row r="1194" spans="1:9" x14ac:dyDescent="0.2">
      <c r="A1194" s="2">
        <v>6</v>
      </c>
      <c r="B1194" s="1" t="s">
        <v>91</v>
      </c>
      <c r="C1194" s="4">
        <v>11</v>
      </c>
      <c r="D1194" s="8">
        <v>5.73</v>
      </c>
      <c r="E1194" s="4">
        <v>9</v>
      </c>
      <c r="F1194" s="8">
        <v>6.43</v>
      </c>
      <c r="G1194" s="4">
        <v>2</v>
      </c>
      <c r="H1194" s="8">
        <v>4.08</v>
      </c>
      <c r="I1194" s="4">
        <v>0</v>
      </c>
    </row>
    <row r="1195" spans="1:9" x14ac:dyDescent="0.2">
      <c r="A1195" s="2">
        <v>7</v>
      </c>
      <c r="B1195" s="1" t="s">
        <v>111</v>
      </c>
      <c r="C1195" s="4">
        <v>9</v>
      </c>
      <c r="D1195" s="8">
        <v>4.6900000000000004</v>
      </c>
      <c r="E1195" s="4">
        <v>6</v>
      </c>
      <c r="F1195" s="8">
        <v>4.29</v>
      </c>
      <c r="G1195" s="4">
        <v>3</v>
      </c>
      <c r="H1195" s="8">
        <v>6.12</v>
      </c>
      <c r="I1195" s="4">
        <v>0</v>
      </c>
    </row>
    <row r="1196" spans="1:9" x14ac:dyDescent="0.2">
      <c r="A1196" s="2">
        <v>8</v>
      </c>
      <c r="B1196" s="1" t="s">
        <v>90</v>
      </c>
      <c r="C1196" s="4">
        <v>6</v>
      </c>
      <c r="D1196" s="8">
        <v>3.13</v>
      </c>
      <c r="E1196" s="4">
        <v>5</v>
      </c>
      <c r="F1196" s="8">
        <v>3.57</v>
      </c>
      <c r="G1196" s="4">
        <v>1</v>
      </c>
      <c r="H1196" s="8">
        <v>2.04</v>
      </c>
      <c r="I1196" s="4">
        <v>0</v>
      </c>
    </row>
    <row r="1197" spans="1:9" x14ac:dyDescent="0.2">
      <c r="A1197" s="2">
        <v>8</v>
      </c>
      <c r="B1197" s="1" t="s">
        <v>92</v>
      </c>
      <c r="C1197" s="4">
        <v>6</v>
      </c>
      <c r="D1197" s="8">
        <v>3.13</v>
      </c>
      <c r="E1197" s="4">
        <v>5</v>
      </c>
      <c r="F1197" s="8">
        <v>3.57</v>
      </c>
      <c r="G1197" s="4">
        <v>1</v>
      </c>
      <c r="H1197" s="8">
        <v>2.04</v>
      </c>
      <c r="I1197" s="4">
        <v>0</v>
      </c>
    </row>
    <row r="1198" spans="1:9" x14ac:dyDescent="0.2">
      <c r="A1198" s="2">
        <v>10</v>
      </c>
      <c r="B1198" s="1" t="s">
        <v>85</v>
      </c>
      <c r="C1198" s="4">
        <v>5</v>
      </c>
      <c r="D1198" s="8">
        <v>2.6</v>
      </c>
      <c r="E1198" s="4">
        <v>2</v>
      </c>
      <c r="F1198" s="8">
        <v>1.43</v>
      </c>
      <c r="G1198" s="4">
        <v>3</v>
      </c>
      <c r="H1198" s="8">
        <v>6.12</v>
      </c>
      <c r="I1198" s="4">
        <v>0</v>
      </c>
    </row>
    <row r="1199" spans="1:9" x14ac:dyDescent="0.2">
      <c r="A1199" s="2">
        <v>10</v>
      </c>
      <c r="B1199" s="1" t="s">
        <v>115</v>
      </c>
      <c r="C1199" s="4">
        <v>5</v>
      </c>
      <c r="D1199" s="8">
        <v>2.6</v>
      </c>
      <c r="E1199" s="4">
        <v>3</v>
      </c>
      <c r="F1199" s="8">
        <v>2.14</v>
      </c>
      <c r="G1199" s="4">
        <v>2</v>
      </c>
      <c r="H1199" s="8">
        <v>4.08</v>
      </c>
      <c r="I1199" s="4">
        <v>0</v>
      </c>
    </row>
    <row r="1200" spans="1:9" x14ac:dyDescent="0.2">
      <c r="A1200" s="2">
        <v>10</v>
      </c>
      <c r="B1200" s="1" t="s">
        <v>99</v>
      </c>
      <c r="C1200" s="4">
        <v>5</v>
      </c>
      <c r="D1200" s="8">
        <v>2.6</v>
      </c>
      <c r="E1200" s="4">
        <v>4</v>
      </c>
      <c r="F1200" s="8">
        <v>2.86</v>
      </c>
      <c r="G1200" s="4">
        <v>0</v>
      </c>
      <c r="H1200" s="8">
        <v>0</v>
      </c>
      <c r="I1200" s="4">
        <v>0</v>
      </c>
    </row>
    <row r="1201" spans="1:9" x14ac:dyDescent="0.2">
      <c r="A1201" s="2">
        <v>10</v>
      </c>
      <c r="B1201" s="1" t="s">
        <v>100</v>
      </c>
      <c r="C1201" s="4">
        <v>5</v>
      </c>
      <c r="D1201" s="8">
        <v>2.6</v>
      </c>
      <c r="E1201" s="4">
        <v>5</v>
      </c>
      <c r="F1201" s="8">
        <v>3.57</v>
      </c>
      <c r="G1201" s="4">
        <v>0</v>
      </c>
      <c r="H1201" s="8">
        <v>0</v>
      </c>
      <c r="I1201" s="4">
        <v>0</v>
      </c>
    </row>
    <row r="1202" spans="1:9" x14ac:dyDescent="0.2">
      <c r="A1202" s="2">
        <v>14</v>
      </c>
      <c r="B1202" s="1" t="s">
        <v>133</v>
      </c>
      <c r="C1202" s="4">
        <v>4</v>
      </c>
      <c r="D1202" s="8">
        <v>2.08</v>
      </c>
      <c r="E1202" s="4">
        <v>4</v>
      </c>
      <c r="F1202" s="8">
        <v>2.86</v>
      </c>
      <c r="G1202" s="4">
        <v>0</v>
      </c>
      <c r="H1202" s="8">
        <v>0</v>
      </c>
      <c r="I1202" s="4">
        <v>0</v>
      </c>
    </row>
    <row r="1203" spans="1:9" x14ac:dyDescent="0.2">
      <c r="A1203" s="2">
        <v>14</v>
      </c>
      <c r="B1203" s="1" t="s">
        <v>88</v>
      </c>
      <c r="C1203" s="4">
        <v>4</v>
      </c>
      <c r="D1203" s="8">
        <v>2.08</v>
      </c>
      <c r="E1203" s="4">
        <v>3</v>
      </c>
      <c r="F1203" s="8">
        <v>2.14</v>
      </c>
      <c r="G1203" s="4">
        <v>1</v>
      </c>
      <c r="H1203" s="8">
        <v>2.04</v>
      </c>
      <c r="I1203" s="4">
        <v>0</v>
      </c>
    </row>
    <row r="1204" spans="1:9" x14ac:dyDescent="0.2">
      <c r="A1204" s="2">
        <v>14</v>
      </c>
      <c r="B1204" s="1" t="s">
        <v>94</v>
      </c>
      <c r="C1204" s="4">
        <v>4</v>
      </c>
      <c r="D1204" s="8">
        <v>2.08</v>
      </c>
      <c r="E1204" s="4">
        <v>3</v>
      </c>
      <c r="F1204" s="8">
        <v>2.14</v>
      </c>
      <c r="G1204" s="4">
        <v>1</v>
      </c>
      <c r="H1204" s="8">
        <v>2.04</v>
      </c>
      <c r="I1204" s="4">
        <v>0</v>
      </c>
    </row>
    <row r="1205" spans="1:9" x14ac:dyDescent="0.2">
      <c r="A1205" s="2">
        <v>17</v>
      </c>
      <c r="B1205" s="1" t="s">
        <v>110</v>
      </c>
      <c r="C1205" s="4">
        <v>3</v>
      </c>
      <c r="D1205" s="8">
        <v>1.56</v>
      </c>
      <c r="E1205" s="4">
        <v>1</v>
      </c>
      <c r="F1205" s="8">
        <v>0.71</v>
      </c>
      <c r="G1205" s="4">
        <v>2</v>
      </c>
      <c r="H1205" s="8">
        <v>4.08</v>
      </c>
      <c r="I1205" s="4">
        <v>0</v>
      </c>
    </row>
    <row r="1206" spans="1:9" x14ac:dyDescent="0.2">
      <c r="A1206" s="2">
        <v>17</v>
      </c>
      <c r="B1206" s="1" t="s">
        <v>142</v>
      </c>
      <c r="C1206" s="4">
        <v>3</v>
      </c>
      <c r="D1206" s="8">
        <v>1.56</v>
      </c>
      <c r="E1206" s="4">
        <v>1</v>
      </c>
      <c r="F1206" s="8">
        <v>0.71</v>
      </c>
      <c r="G1206" s="4">
        <v>2</v>
      </c>
      <c r="H1206" s="8">
        <v>4.08</v>
      </c>
      <c r="I1206" s="4">
        <v>0</v>
      </c>
    </row>
    <row r="1207" spans="1:9" x14ac:dyDescent="0.2">
      <c r="A1207" s="2">
        <v>17</v>
      </c>
      <c r="B1207" s="1" t="s">
        <v>117</v>
      </c>
      <c r="C1207" s="4">
        <v>3</v>
      </c>
      <c r="D1207" s="8">
        <v>1.56</v>
      </c>
      <c r="E1207" s="4">
        <v>0</v>
      </c>
      <c r="F1207" s="8">
        <v>0</v>
      </c>
      <c r="G1207" s="4">
        <v>3</v>
      </c>
      <c r="H1207" s="8">
        <v>6.12</v>
      </c>
      <c r="I1207" s="4">
        <v>0</v>
      </c>
    </row>
    <row r="1208" spans="1:9" x14ac:dyDescent="0.2">
      <c r="A1208" s="2">
        <v>17</v>
      </c>
      <c r="B1208" s="1" t="s">
        <v>101</v>
      </c>
      <c r="C1208" s="4">
        <v>3</v>
      </c>
      <c r="D1208" s="8">
        <v>1.56</v>
      </c>
      <c r="E1208" s="4">
        <v>0</v>
      </c>
      <c r="F1208" s="8">
        <v>0</v>
      </c>
      <c r="G1208" s="4">
        <v>2</v>
      </c>
      <c r="H1208" s="8">
        <v>4.08</v>
      </c>
      <c r="I1208" s="4">
        <v>0</v>
      </c>
    </row>
    <row r="1209" spans="1:9" x14ac:dyDescent="0.2">
      <c r="A1209" s="2">
        <v>17</v>
      </c>
      <c r="B1209" s="1" t="s">
        <v>102</v>
      </c>
      <c r="C1209" s="4">
        <v>3</v>
      </c>
      <c r="D1209" s="8">
        <v>1.56</v>
      </c>
      <c r="E1209" s="4">
        <v>3</v>
      </c>
      <c r="F1209" s="8">
        <v>2.14</v>
      </c>
      <c r="G1209" s="4">
        <v>0</v>
      </c>
      <c r="H1209" s="8">
        <v>0</v>
      </c>
      <c r="I1209" s="4">
        <v>0</v>
      </c>
    </row>
    <row r="1210" spans="1:9" x14ac:dyDescent="0.2">
      <c r="A1210" s="1"/>
      <c r="C1210" s="4"/>
      <c r="D1210" s="8"/>
      <c r="E1210" s="4"/>
      <c r="F1210" s="8"/>
      <c r="G1210" s="4"/>
      <c r="H1210" s="8"/>
      <c r="I1210" s="4"/>
    </row>
    <row r="1211" spans="1:9" x14ac:dyDescent="0.2">
      <c r="A1211" s="1" t="s">
        <v>47</v>
      </c>
      <c r="C1211" s="4"/>
      <c r="D1211" s="8"/>
      <c r="E1211" s="4"/>
      <c r="F1211" s="8"/>
      <c r="G1211" s="4"/>
      <c r="H1211" s="8"/>
      <c r="I1211" s="4"/>
    </row>
    <row r="1212" spans="1:9" x14ac:dyDescent="0.2">
      <c r="A1212" s="2">
        <v>1</v>
      </c>
      <c r="B1212" s="1" t="s">
        <v>83</v>
      </c>
      <c r="C1212" s="4">
        <v>27</v>
      </c>
      <c r="D1212" s="8">
        <v>15.25</v>
      </c>
      <c r="E1212" s="4">
        <v>14</v>
      </c>
      <c r="F1212" s="8">
        <v>10.53</v>
      </c>
      <c r="G1212" s="4">
        <v>13</v>
      </c>
      <c r="H1212" s="8">
        <v>29.55</v>
      </c>
      <c r="I1212" s="4">
        <v>0</v>
      </c>
    </row>
    <row r="1213" spans="1:9" x14ac:dyDescent="0.2">
      <c r="A1213" s="2">
        <v>2</v>
      </c>
      <c r="B1213" s="1" t="s">
        <v>97</v>
      </c>
      <c r="C1213" s="4">
        <v>21</v>
      </c>
      <c r="D1213" s="8">
        <v>11.86</v>
      </c>
      <c r="E1213" s="4">
        <v>21</v>
      </c>
      <c r="F1213" s="8">
        <v>15.79</v>
      </c>
      <c r="G1213" s="4">
        <v>0</v>
      </c>
      <c r="H1213" s="8">
        <v>0</v>
      </c>
      <c r="I1213" s="4">
        <v>0</v>
      </c>
    </row>
    <row r="1214" spans="1:9" x14ac:dyDescent="0.2">
      <c r="A1214" s="2">
        <v>3</v>
      </c>
      <c r="B1214" s="1" t="s">
        <v>84</v>
      </c>
      <c r="C1214" s="4">
        <v>18</v>
      </c>
      <c r="D1214" s="8">
        <v>10.17</v>
      </c>
      <c r="E1214" s="4">
        <v>15</v>
      </c>
      <c r="F1214" s="8">
        <v>11.28</v>
      </c>
      <c r="G1214" s="4">
        <v>3</v>
      </c>
      <c r="H1214" s="8">
        <v>6.82</v>
      </c>
      <c r="I1214" s="4">
        <v>0</v>
      </c>
    </row>
    <row r="1215" spans="1:9" x14ac:dyDescent="0.2">
      <c r="A1215" s="2">
        <v>3</v>
      </c>
      <c r="B1215" s="1" t="s">
        <v>89</v>
      </c>
      <c r="C1215" s="4">
        <v>18</v>
      </c>
      <c r="D1215" s="8">
        <v>10.17</v>
      </c>
      <c r="E1215" s="4">
        <v>17</v>
      </c>
      <c r="F1215" s="8">
        <v>12.78</v>
      </c>
      <c r="G1215" s="4">
        <v>1</v>
      </c>
      <c r="H1215" s="8">
        <v>2.27</v>
      </c>
      <c r="I1215" s="4">
        <v>0</v>
      </c>
    </row>
    <row r="1216" spans="1:9" x14ac:dyDescent="0.2">
      <c r="A1216" s="2">
        <v>5</v>
      </c>
      <c r="B1216" s="1" t="s">
        <v>91</v>
      </c>
      <c r="C1216" s="4">
        <v>13</v>
      </c>
      <c r="D1216" s="8">
        <v>7.34</v>
      </c>
      <c r="E1216" s="4">
        <v>10</v>
      </c>
      <c r="F1216" s="8">
        <v>7.52</v>
      </c>
      <c r="G1216" s="4">
        <v>3</v>
      </c>
      <c r="H1216" s="8">
        <v>6.82</v>
      </c>
      <c r="I1216" s="4">
        <v>0</v>
      </c>
    </row>
    <row r="1217" spans="1:9" x14ac:dyDescent="0.2">
      <c r="A1217" s="2">
        <v>6</v>
      </c>
      <c r="B1217" s="1" t="s">
        <v>96</v>
      </c>
      <c r="C1217" s="4">
        <v>10</v>
      </c>
      <c r="D1217" s="8">
        <v>5.65</v>
      </c>
      <c r="E1217" s="4">
        <v>9</v>
      </c>
      <c r="F1217" s="8">
        <v>6.77</v>
      </c>
      <c r="G1217" s="4">
        <v>1</v>
      </c>
      <c r="H1217" s="8">
        <v>2.27</v>
      </c>
      <c r="I1217" s="4">
        <v>0</v>
      </c>
    </row>
    <row r="1218" spans="1:9" x14ac:dyDescent="0.2">
      <c r="A1218" s="2">
        <v>7</v>
      </c>
      <c r="B1218" s="1" t="s">
        <v>85</v>
      </c>
      <c r="C1218" s="4">
        <v>6</v>
      </c>
      <c r="D1218" s="8">
        <v>3.39</v>
      </c>
      <c r="E1218" s="4">
        <v>5</v>
      </c>
      <c r="F1218" s="8">
        <v>3.76</v>
      </c>
      <c r="G1218" s="4">
        <v>1</v>
      </c>
      <c r="H1218" s="8">
        <v>2.27</v>
      </c>
      <c r="I1218" s="4">
        <v>0</v>
      </c>
    </row>
    <row r="1219" spans="1:9" x14ac:dyDescent="0.2">
      <c r="A1219" s="2">
        <v>7</v>
      </c>
      <c r="B1219" s="1" t="s">
        <v>102</v>
      </c>
      <c r="C1219" s="4">
        <v>6</v>
      </c>
      <c r="D1219" s="8">
        <v>3.39</v>
      </c>
      <c r="E1219" s="4">
        <v>6</v>
      </c>
      <c r="F1219" s="8">
        <v>4.51</v>
      </c>
      <c r="G1219" s="4">
        <v>0</v>
      </c>
      <c r="H1219" s="8">
        <v>0</v>
      </c>
      <c r="I1219" s="4">
        <v>0</v>
      </c>
    </row>
    <row r="1220" spans="1:9" x14ac:dyDescent="0.2">
      <c r="A1220" s="2">
        <v>9</v>
      </c>
      <c r="B1220" s="1" t="s">
        <v>111</v>
      </c>
      <c r="C1220" s="4">
        <v>5</v>
      </c>
      <c r="D1220" s="8">
        <v>2.82</v>
      </c>
      <c r="E1220" s="4">
        <v>4</v>
      </c>
      <c r="F1220" s="8">
        <v>3.01</v>
      </c>
      <c r="G1220" s="4">
        <v>1</v>
      </c>
      <c r="H1220" s="8">
        <v>2.27</v>
      </c>
      <c r="I1220" s="4">
        <v>0</v>
      </c>
    </row>
    <row r="1221" spans="1:9" x14ac:dyDescent="0.2">
      <c r="A1221" s="2">
        <v>9</v>
      </c>
      <c r="B1221" s="1" t="s">
        <v>116</v>
      </c>
      <c r="C1221" s="4">
        <v>5</v>
      </c>
      <c r="D1221" s="8">
        <v>2.82</v>
      </c>
      <c r="E1221" s="4">
        <v>4</v>
      </c>
      <c r="F1221" s="8">
        <v>3.01</v>
      </c>
      <c r="G1221" s="4">
        <v>1</v>
      </c>
      <c r="H1221" s="8">
        <v>2.27</v>
      </c>
      <c r="I1221" s="4">
        <v>0</v>
      </c>
    </row>
    <row r="1222" spans="1:9" x14ac:dyDescent="0.2">
      <c r="A1222" s="2">
        <v>11</v>
      </c>
      <c r="B1222" s="1" t="s">
        <v>124</v>
      </c>
      <c r="C1222" s="4">
        <v>4</v>
      </c>
      <c r="D1222" s="8">
        <v>2.2599999999999998</v>
      </c>
      <c r="E1222" s="4">
        <v>1</v>
      </c>
      <c r="F1222" s="8">
        <v>0.75</v>
      </c>
      <c r="G1222" s="4">
        <v>3</v>
      </c>
      <c r="H1222" s="8">
        <v>6.82</v>
      </c>
      <c r="I1222" s="4">
        <v>0</v>
      </c>
    </row>
    <row r="1223" spans="1:9" x14ac:dyDescent="0.2">
      <c r="A1223" s="2">
        <v>11</v>
      </c>
      <c r="B1223" s="1" t="s">
        <v>90</v>
      </c>
      <c r="C1223" s="4">
        <v>4</v>
      </c>
      <c r="D1223" s="8">
        <v>2.2599999999999998</v>
      </c>
      <c r="E1223" s="4">
        <v>4</v>
      </c>
      <c r="F1223" s="8">
        <v>3.01</v>
      </c>
      <c r="G1223" s="4">
        <v>0</v>
      </c>
      <c r="H1223" s="8">
        <v>0</v>
      </c>
      <c r="I1223" s="4">
        <v>0</v>
      </c>
    </row>
    <row r="1224" spans="1:9" x14ac:dyDescent="0.2">
      <c r="A1224" s="2">
        <v>13</v>
      </c>
      <c r="B1224" s="1" t="s">
        <v>133</v>
      </c>
      <c r="C1224" s="4">
        <v>3</v>
      </c>
      <c r="D1224" s="8">
        <v>1.69</v>
      </c>
      <c r="E1224" s="4">
        <v>3</v>
      </c>
      <c r="F1224" s="8">
        <v>2.2599999999999998</v>
      </c>
      <c r="G1224" s="4">
        <v>0</v>
      </c>
      <c r="H1224" s="8">
        <v>0</v>
      </c>
      <c r="I1224" s="4">
        <v>0</v>
      </c>
    </row>
    <row r="1225" spans="1:9" x14ac:dyDescent="0.2">
      <c r="A1225" s="2">
        <v>13</v>
      </c>
      <c r="B1225" s="1" t="s">
        <v>88</v>
      </c>
      <c r="C1225" s="4">
        <v>3</v>
      </c>
      <c r="D1225" s="8">
        <v>1.69</v>
      </c>
      <c r="E1225" s="4">
        <v>2</v>
      </c>
      <c r="F1225" s="8">
        <v>1.5</v>
      </c>
      <c r="G1225" s="4">
        <v>1</v>
      </c>
      <c r="H1225" s="8">
        <v>2.27</v>
      </c>
      <c r="I1225" s="4">
        <v>0</v>
      </c>
    </row>
    <row r="1226" spans="1:9" x14ac:dyDescent="0.2">
      <c r="A1226" s="2">
        <v>13</v>
      </c>
      <c r="B1226" s="1" t="s">
        <v>100</v>
      </c>
      <c r="C1226" s="4">
        <v>3</v>
      </c>
      <c r="D1226" s="8">
        <v>1.69</v>
      </c>
      <c r="E1226" s="4">
        <v>3</v>
      </c>
      <c r="F1226" s="8">
        <v>2.2599999999999998</v>
      </c>
      <c r="G1226" s="4">
        <v>0</v>
      </c>
      <c r="H1226" s="8">
        <v>0</v>
      </c>
      <c r="I1226" s="4">
        <v>0</v>
      </c>
    </row>
    <row r="1227" spans="1:9" x14ac:dyDescent="0.2">
      <c r="A1227" s="2">
        <v>16</v>
      </c>
      <c r="B1227" s="1" t="s">
        <v>112</v>
      </c>
      <c r="C1227" s="4">
        <v>2</v>
      </c>
      <c r="D1227" s="8">
        <v>1.1299999999999999</v>
      </c>
      <c r="E1227" s="4">
        <v>1</v>
      </c>
      <c r="F1227" s="8">
        <v>0.75</v>
      </c>
      <c r="G1227" s="4">
        <v>1</v>
      </c>
      <c r="H1227" s="8">
        <v>2.27</v>
      </c>
      <c r="I1227" s="4">
        <v>0</v>
      </c>
    </row>
    <row r="1228" spans="1:9" x14ac:dyDescent="0.2">
      <c r="A1228" s="2">
        <v>16</v>
      </c>
      <c r="B1228" s="1" t="s">
        <v>115</v>
      </c>
      <c r="C1228" s="4">
        <v>2</v>
      </c>
      <c r="D1228" s="8">
        <v>1.1299999999999999</v>
      </c>
      <c r="E1228" s="4">
        <v>2</v>
      </c>
      <c r="F1228" s="8">
        <v>1.5</v>
      </c>
      <c r="G1228" s="4">
        <v>0</v>
      </c>
      <c r="H1228" s="8">
        <v>0</v>
      </c>
      <c r="I1228" s="4">
        <v>0</v>
      </c>
    </row>
    <row r="1229" spans="1:9" x14ac:dyDescent="0.2">
      <c r="A1229" s="2">
        <v>16</v>
      </c>
      <c r="B1229" s="1" t="s">
        <v>117</v>
      </c>
      <c r="C1229" s="4">
        <v>2</v>
      </c>
      <c r="D1229" s="8">
        <v>1.1299999999999999</v>
      </c>
      <c r="E1229" s="4">
        <v>0</v>
      </c>
      <c r="F1229" s="8">
        <v>0</v>
      </c>
      <c r="G1229" s="4">
        <v>2</v>
      </c>
      <c r="H1229" s="8">
        <v>4.55</v>
      </c>
      <c r="I1229" s="4">
        <v>0</v>
      </c>
    </row>
    <row r="1230" spans="1:9" x14ac:dyDescent="0.2">
      <c r="A1230" s="2">
        <v>16</v>
      </c>
      <c r="B1230" s="1" t="s">
        <v>106</v>
      </c>
      <c r="C1230" s="4">
        <v>2</v>
      </c>
      <c r="D1230" s="8">
        <v>1.1299999999999999</v>
      </c>
      <c r="E1230" s="4">
        <v>0</v>
      </c>
      <c r="F1230" s="8">
        <v>0</v>
      </c>
      <c r="G1230" s="4">
        <v>2</v>
      </c>
      <c r="H1230" s="8">
        <v>4.55</v>
      </c>
      <c r="I1230" s="4">
        <v>0</v>
      </c>
    </row>
    <row r="1231" spans="1:9" x14ac:dyDescent="0.2">
      <c r="A1231" s="2">
        <v>16</v>
      </c>
      <c r="B1231" s="1" t="s">
        <v>139</v>
      </c>
      <c r="C1231" s="4">
        <v>2</v>
      </c>
      <c r="D1231" s="8">
        <v>1.1299999999999999</v>
      </c>
      <c r="E1231" s="4">
        <v>0</v>
      </c>
      <c r="F1231" s="8">
        <v>0</v>
      </c>
      <c r="G1231" s="4">
        <v>2</v>
      </c>
      <c r="H1231" s="8">
        <v>4.55</v>
      </c>
      <c r="I1231" s="4">
        <v>0</v>
      </c>
    </row>
    <row r="1232" spans="1:9" x14ac:dyDescent="0.2">
      <c r="A1232" s="2">
        <v>16</v>
      </c>
      <c r="B1232" s="1" t="s">
        <v>94</v>
      </c>
      <c r="C1232" s="4">
        <v>2</v>
      </c>
      <c r="D1232" s="8">
        <v>1.1299999999999999</v>
      </c>
      <c r="E1232" s="4">
        <v>2</v>
      </c>
      <c r="F1232" s="8">
        <v>1.5</v>
      </c>
      <c r="G1232" s="4">
        <v>0</v>
      </c>
      <c r="H1232" s="8">
        <v>0</v>
      </c>
      <c r="I1232" s="4">
        <v>0</v>
      </c>
    </row>
    <row r="1233" spans="1:9" x14ac:dyDescent="0.2">
      <c r="A1233" s="2">
        <v>16</v>
      </c>
      <c r="B1233" s="1" t="s">
        <v>95</v>
      </c>
      <c r="C1233" s="4">
        <v>2</v>
      </c>
      <c r="D1233" s="8">
        <v>1.1299999999999999</v>
      </c>
      <c r="E1233" s="4">
        <v>2</v>
      </c>
      <c r="F1233" s="8">
        <v>1.5</v>
      </c>
      <c r="G1233" s="4">
        <v>0</v>
      </c>
      <c r="H1233" s="8">
        <v>0</v>
      </c>
      <c r="I1233" s="4">
        <v>0</v>
      </c>
    </row>
    <row r="1234" spans="1:9" x14ac:dyDescent="0.2">
      <c r="A1234" s="2">
        <v>16</v>
      </c>
      <c r="B1234" s="1" t="s">
        <v>113</v>
      </c>
      <c r="C1234" s="4">
        <v>2</v>
      </c>
      <c r="D1234" s="8">
        <v>1.1299999999999999</v>
      </c>
      <c r="E1234" s="4">
        <v>2</v>
      </c>
      <c r="F1234" s="8">
        <v>1.5</v>
      </c>
      <c r="G1234" s="4">
        <v>0</v>
      </c>
      <c r="H1234" s="8">
        <v>0</v>
      </c>
      <c r="I1234" s="4">
        <v>0</v>
      </c>
    </row>
    <row r="1235" spans="1:9" x14ac:dyDescent="0.2">
      <c r="A1235" s="2">
        <v>16</v>
      </c>
      <c r="B1235" s="1" t="s">
        <v>120</v>
      </c>
      <c r="C1235" s="4">
        <v>2</v>
      </c>
      <c r="D1235" s="8">
        <v>1.1299999999999999</v>
      </c>
      <c r="E1235" s="4">
        <v>0</v>
      </c>
      <c r="F1235" s="8">
        <v>0</v>
      </c>
      <c r="G1235" s="4">
        <v>2</v>
      </c>
      <c r="H1235" s="8">
        <v>4.55</v>
      </c>
      <c r="I1235" s="4">
        <v>0</v>
      </c>
    </row>
    <row r="1236" spans="1:9" x14ac:dyDescent="0.2">
      <c r="A1236" s="1"/>
      <c r="C1236" s="4"/>
      <c r="D1236" s="8"/>
      <c r="E1236" s="4"/>
      <c r="F1236" s="8"/>
      <c r="G1236" s="4"/>
      <c r="H1236" s="8"/>
      <c r="I1236" s="4"/>
    </row>
    <row r="1237" spans="1:9" x14ac:dyDescent="0.2">
      <c r="A1237" s="1" t="s">
        <v>48</v>
      </c>
      <c r="C1237" s="4"/>
      <c r="D1237" s="8"/>
      <c r="E1237" s="4"/>
      <c r="F1237" s="8"/>
      <c r="G1237" s="4"/>
      <c r="H1237" s="8"/>
      <c r="I1237" s="4"/>
    </row>
    <row r="1238" spans="1:9" x14ac:dyDescent="0.2">
      <c r="A1238" s="2">
        <v>1</v>
      </c>
      <c r="B1238" s="1" t="s">
        <v>97</v>
      </c>
      <c r="C1238" s="4">
        <v>40</v>
      </c>
      <c r="D1238" s="8">
        <v>10.36</v>
      </c>
      <c r="E1238" s="4">
        <v>38</v>
      </c>
      <c r="F1238" s="8">
        <v>18.63</v>
      </c>
      <c r="G1238" s="4">
        <v>2</v>
      </c>
      <c r="H1238" s="8">
        <v>1.1499999999999999</v>
      </c>
      <c r="I1238" s="4">
        <v>0</v>
      </c>
    </row>
    <row r="1239" spans="1:9" x14ac:dyDescent="0.2">
      <c r="A1239" s="2">
        <v>2</v>
      </c>
      <c r="B1239" s="1" t="s">
        <v>83</v>
      </c>
      <c r="C1239" s="4">
        <v>37</v>
      </c>
      <c r="D1239" s="8">
        <v>9.59</v>
      </c>
      <c r="E1239" s="4">
        <v>8</v>
      </c>
      <c r="F1239" s="8">
        <v>3.92</v>
      </c>
      <c r="G1239" s="4">
        <v>29</v>
      </c>
      <c r="H1239" s="8">
        <v>16.670000000000002</v>
      </c>
      <c r="I1239" s="4">
        <v>0</v>
      </c>
    </row>
    <row r="1240" spans="1:9" x14ac:dyDescent="0.2">
      <c r="A1240" s="2">
        <v>2</v>
      </c>
      <c r="B1240" s="1" t="s">
        <v>96</v>
      </c>
      <c r="C1240" s="4">
        <v>37</v>
      </c>
      <c r="D1240" s="8">
        <v>9.59</v>
      </c>
      <c r="E1240" s="4">
        <v>30</v>
      </c>
      <c r="F1240" s="8">
        <v>14.71</v>
      </c>
      <c r="G1240" s="4">
        <v>7</v>
      </c>
      <c r="H1240" s="8">
        <v>4.0199999999999996</v>
      </c>
      <c r="I1240" s="4">
        <v>0</v>
      </c>
    </row>
    <row r="1241" spans="1:9" x14ac:dyDescent="0.2">
      <c r="A1241" s="2">
        <v>4</v>
      </c>
      <c r="B1241" s="1" t="s">
        <v>91</v>
      </c>
      <c r="C1241" s="4">
        <v>33</v>
      </c>
      <c r="D1241" s="8">
        <v>8.5500000000000007</v>
      </c>
      <c r="E1241" s="4">
        <v>15</v>
      </c>
      <c r="F1241" s="8">
        <v>7.35</v>
      </c>
      <c r="G1241" s="4">
        <v>17</v>
      </c>
      <c r="H1241" s="8">
        <v>9.77</v>
      </c>
      <c r="I1241" s="4">
        <v>1</v>
      </c>
    </row>
    <row r="1242" spans="1:9" x14ac:dyDescent="0.2">
      <c r="A1242" s="2">
        <v>5</v>
      </c>
      <c r="B1242" s="1" t="s">
        <v>84</v>
      </c>
      <c r="C1242" s="4">
        <v>31</v>
      </c>
      <c r="D1242" s="8">
        <v>8.0299999999999994</v>
      </c>
      <c r="E1242" s="4">
        <v>12</v>
      </c>
      <c r="F1242" s="8">
        <v>5.88</v>
      </c>
      <c r="G1242" s="4">
        <v>19</v>
      </c>
      <c r="H1242" s="8">
        <v>10.92</v>
      </c>
      <c r="I1242" s="4">
        <v>0</v>
      </c>
    </row>
    <row r="1243" spans="1:9" x14ac:dyDescent="0.2">
      <c r="A1243" s="2">
        <v>6</v>
      </c>
      <c r="B1243" s="1" t="s">
        <v>89</v>
      </c>
      <c r="C1243" s="4">
        <v>25</v>
      </c>
      <c r="D1243" s="8">
        <v>6.48</v>
      </c>
      <c r="E1243" s="4">
        <v>18</v>
      </c>
      <c r="F1243" s="8">
        <v>8.82</v>
      </c>
      <c r="G1243" s="4">
        <v>7</v>
      </c>
      <c r="H1243" s="8">
        <v>4.0199999999999996</v>
      </c>
      <c r="I1243" s="4">
        <v>0</v>
      </c>
    </row>
    <row r="1244" spans="1:9" x14ac:dyDescent="0.2">
      <c r="A1244" s="2">
        <v>7</v>
      </c>
      <c r="B1244" s="1" t="s">
        <v>92</v>
      </c>
      <c r="C1244" s="4">
        <v>17</v>
      </c>
      <c r="D1244" s="8">
        <v>4.4000000000000004</v>
      </c>
      <c r="E1244" s="4">
        <v>11</v>
      </c>
      <c r="F1244" s="8">
        <v>5.39</v>
      </c>
      <c r="G1244" s="4">
        <v>6</v>
      </c>
      <c r="H1244" s="8">
        <v>3.45</v>
      </c>
      <c r="I1244" s="4">
        <v>0</v>
      </c>
    </row>
    <row r="1245" spans="1:9" x14ac:dyDescent="0.2">
      <c r="A1245" s="2">
        <v>7</v>
      </c>
      <c r="B1245" s="1" t="s">
        <v>100</v>
      </c>
      <c r="C1245" s="4">
        <v>17</v>
      </c>
      <c r="D1245" s="8">
        <v>4.4000000000000004</v>
      </c>
      <c r="E1245" s="4">
        <v>16</v>
      </c>
      <c r="F1245" s="8">
        <v>7.84</v>
      </c>
      <c r="G1245" s="4">
        <v>1</v>
      </c>
      <c r="H1245" s="8">
        <v>0.56999999999999995</v>
      </c>
      <c r="I1245" s="4">
        <v>0</v>
      </c>
    </row>
    <row r="1246" spans="1:9" x14ac:dyDescent="0.2">
      <c r="A1246" s="2">
        <v>9</v>
      </c>
      <c r="B1246" s="1" t="s">
        <v>85</v>
      </c>
      <c r="C1246" s="4">
        <v>14</v>
      </c>
      <c r="D1246" s="8">
        <v>3.63</v>
      </c>
      <c r="E1246" s="4">
        <v>4</v>
      </c>
      <c r="F1246" s="8">
        <v>1.96</v>
      </c>
      <c r="G1246" s="4">
        <v>10</v>
      </c>
      <c r="H1246" s="8">
        <v>5.75</v>
      </c>
      <c r="I1246" s="4">
        <v>0</v>
      </c>
    </row>
    <row r="1247" spans="1:9" x14ac:dyDescent="0.2">
      <c r="A1247" s="2">
        <v>10</v>
      </c>
      <c r="B1247" s="1" t="s">
        <v>90</v>
      </c>
      <c r="C1247" s="4">
        <v>13</v>
      </c>
      <c r="D1247" s="8">
        <v>3.37</v>
      </c>
      <c r="E1247" s="4">
        <v>7</v>
      </c>
      <c r="F1247" s="8">
        <v>3.43</v>
      </c>
      <c r="G1247" s="4">
        <v>6</v>
      </c>
      <c r="H1247" s="8">
        <v>3.45</v>
      </c>
      <c r="I1247" s="4">
        <v>0</v>
      </c>
    </row>
    <row r="1248" spans="1:9" x14ac:dyDescent="0.2">
      <c r="A1248" s="2">
        <v>10</v>
      </c>
      <c r="B1248" s="1" t="s">
        <v>94</v>
      </c>
      <c r="C1248" s="4">
        <v>13</v>
      </c>
      <c r="D1248" s="8">
        <v>3.37</v>
      </c>
      <c r="E1248" s="4">
        <v>5</v>
      </c>
      <c r="F1248" s="8">
        <v>2.4500000000000002</v>
      </c>
      <c r="G1248" s="4">
        <v>8</v>
      </c>
      <c r="H1248" s="8">
        <v>4.5999999999999996</v>
      </c>
      <c r="I1248" s="4">
        <v>0</v>
      </c>
    </row>
    <row r="1249" spans="1:9" x14ac:dyDescent="0.2">
      <c r="A1249" s="2">
        <v>12</v>
      </c>
      <c r="B1249" s="1" t="s">
        <v>88</v>
      </c>
      <c r="C1249" s="4">
        <v>8</v>
      </c>
      <c r="D1249" s="8">
        <v>2.0699999999999998</v>
      </c>
      <c r="E1249" s="4">
        <v>6</v>
      </c>
      <c r="F1249" s="8">
        <v>2.94</v>
      </c>
      <c r="G1249" s="4">
        <v>2</v>
      </c>
      <c r="H1249" s="8">
        <v>1.1499999999999999</v>
      </c>
      <c r="I1249" s="4">
        <v>0</v>
      </c>
    </row>
    <row r="1250" spans="1:9" x14ac:dyDescent="0.2">
      <c r="A1250" s="2">
        <v>13</v>
      </c>
      <c r="B1250" s="1" t="s">
        <v>101</v>
      </c>
      <c r="C1250" s="4">
        <v>7</v>
      </c>
      <c r="D1250" s="8">
        <v>1.81</v>
      </c>
      <c r="E1250" s="4">
        <v>0</v>
      </c>
      <c r="F1250" s="8">
        <v>0</v>
      </c>
      <c r="G1250" s="4">
        <v>2</v>
      </c>
      <c r="H1250" s="8">
        <v>1.1499999999999999</v>
      </c>
      <c r="I1250" s="4">
        <v>0</v>
      </c>
    </row>
    <row r="1251" spans="1:9" x14ac:dyDescent="0.2">
      <c r="A1251" s="2">
        <v>13</v>
      </c>
      <c r="B1251" s="1" t="s">
        <v>102</v>
      </c>
      <c r="C1251" s="4">
        <v>7</v>
      </c>
      <c r="D1251" s="8">
        <v>1.81</v>
      </c>
      <c r="E1251" s="4">
        <v>4</v>
      </c>
      <c r="F1251" s="8">
        <v>1.96</v>
      </c>
      <c r="G1251" s="4">
        <v>3</v>
      </c>
      <c r="H1251" s="8">
        <v>1.72</v>
      </c>
      <c r="I1251" s="4">
        <v>0</v>
      </c>
    </row>
    <row r="1252" spans="1:9" x14ac:dyDescent="0.2">
      <c r="A1252" s="2">
        <v>15</v>
      </c>
      <c r="B1252" s="1" t="s">
        <v>114</v>
      </c>
      <c r="C1252" s="4">
        <v>6</v>
      </c>
      <c r="D1252" s="8">
        <v>1.55</v>
      </c>
      <c r="E1252" s="4">
        <v>1</v>
      </c>
      <c r="F1252" s="8">
        <v>0.49</v>
      </c>
      <c r="G1252" s="4">
        <v>5</v>
      </c>
      <c r="H1252" s="8">
        <v>2.87</v>
      </c>
      <c r="I1252" s="4">
        <v>0</v>
      </c>
    </row>
    <row r="1253" spans="1:9" x14ac:dyDescent="0.2">
      <c r="A1253" s="2">
        <v>15</v>
      </c>
      <c r="B1253" s="1" t="s">
        <v>95</v>
      </c>
      <c r="C1253" s="4">
        <v>6</v>
      </c>
      <c r="D1253" s="8">
        <v>1.55</v>
      </c>
      <c r="E1253" s="4">
        <v>3</v>
      </c>
      <c r="F1253" s="8">
        <v>1.47</v>
      </c>
      <c r="G1253" s="4">
        <v>3</v>
      </c>
      <c r="H1253" s="8">
        <v>1.72</v>
      </c>
      <c r="I1253" s="4">
        <v>0</v>
      </c>
    </row>
    <row r="1254" spans="1:9" x14ac:dyDescent="0.2">
      <c r="A1254" s="2">
        <v>15</v>
      </c>
      <c r="B1254" s="1" t="s">
        <v>98</v>
      </c>
      <c r="C1254" s="4">
        <v>6</v>
      </c>
      <c r="D1254" s="8">
        <v>1.55</v>
      </c>
      <c r="E1254" s="4">
        <v>3</v>
      </c>
      <c r="F1254" s="8">
        <v>1.47</v>
      </c>
      <c r="G1254" s="4">
        <v>3</v>
      </c>
      <c r="H1254" s="8">
        <v>1.72</v>
      </c>
      <c r="I1254" s="4">
        <v>0</v>
      </c>
    </row>
    <row r="1255" spans="1:9" x14ac:dyDescent="0.2">
      <c r="A1255" s="2">
        <v>18</v>
      </c>
      <c r="B1255" s="1" t="s">
        <v>87</v>
      </c>
      <c r="C1255" s="4">
        <v>5</v>
      </c>
      <c r="D1255" s="8">
        <v>1.3</v>
      </c>
      <c r="E1255" s="4">
        <v>1</v>
      </c>
      <c r="F1255" s="8">
        <v>0.49</v>
      </c>
      <c r="G1255" s="4">
        <v>4</v>
      </c>
      <c r="H1255" s="8">
        <v>2.2999999999999998</v>
      </c>
      <c r="I1255" s="4">
        <v>0</v>
      </c>
    </row>
    <row r="1256" spans="1:9" x14ac:dyDescent="0.2">
      <c r="A1256" s="2">
        <v>18</v>
      </c>
      <c r="B1256" s="1" t="s">
        <v>93</v>
      </c>
      <c r="C1256" s="4">
        <v>5</v>
      </c>
      <c r="D1256" s="8">
        <v>1.3</v>
      </c>
      <c r="E1256" s="4">
        <v>4</v>
      </c>
      <c r="F1256" s="8">
        <v>1.96</v>
      </c>
      <c r="G1256" s="4">
        <v>1</v>
      </c>
      <c r="H1256" s="8">
        <v>0.56999999999999995</v>
      </c>
      <c r="I1256" s="4">
        <v>0</v>
      </c>
    </row>
    <row r="1257" spans="1:9" x14ac:dyDescent="0.2">
      <c r="A1257" s="2">
        <v>18</v>
      </c>
      <c r="B1257" s="1" t="s">
        <v>99</v>
      </c>
      <c r="C1257" s="4">
        <v>5</v>
      </c>
      <c r="D1257" s="8">
        <v>1.3</v>
      </c>
      <c r="E1257" s="4">
        <v>4</v>
      </c>
      <c r="F1257" s="8">
        <v>1.96</v>
      </c>
      <c r="G1257" s="4">
        <v>1</v>
      </c>
      <c r="H1257" s="8">
        <v>0.56999999999999995</v>
      </c>
      <c r="I1257" s="4">
        <v>0</v>
      </c>
    </row>
    <row r="1258" spans="1:9" x14ac:dyDescent="0.2">
      <c r="A1258" s="1"/>
      <c r="C1258" s="4"/>
      <c r="D1258" s="8"/>
      <c r="E1258" s="4"/>
      <c r="F1258" s="8"/>
      <c r="G1258" s="4"/>
      <c r="H1258" s="8"/>
      <c r="I1258" s="4"/>
    </row>
    <row r="1259" spans="1:9" x14ac:dyDescent="0.2">
      <c r="A1259" s="1" t="s">
        <v>49</v>
      </c>
      <c r="C1259" s="4"/>
      <c r="D1259" s="8"/>
      <c r="E1259" s="4"/>
      <c r="F1259" s="8"/>
      <c r="G1259" s="4"/>
      <c r="H1259" s="8"/>
      <c r="I1259" s="4"/>
    </row>
    <row r="1260" spans="1:9" x14ac:dyDescent="0.2">
      <c r="A1260" s="2">
        <v>1</v>
      </c>
      <c r="B1260" s="1" t="s">
        <v>97</v>
      </c>
      <c r="C1260" s="4">
        <v>42</v>
      </c>
      <c r="D1260" s="8">
        <v>14.09</v>
      </c>
      <c r="E1260" s="4">
        <v>39</v>
      </c>
      <c r="F1260" s="8">
        <v>21.31</v>
      </c>
      <c r="G1260" s="4">
        <v>3</v>
      </c>
      <c r="H1260" s="8">
        <v>2.75</v>
      </c>
      <c r="I1260" s="4">
        <v>0</v>
      </c>
    </row>
    <row r="1261" spans="1:9" x14ac:dyDescent="0.2">
      <c r="A1261" s="2">
        <v>2</v>
      </c>
      <c r="B1261" s="1" t="s">
        <v>91</v>
      </c>
      <c r="C1261" s="4">
        <v>31</v>
      </c>
      <c r="D1261" s="8">
        <v>10.4</v>
      </c>
      <c r="E1261" s="4">
        <v>17</v>
      </c>
      <c r="F1261" s="8">
        <v>9.2899999999999991</v>
      </c>
      <c r="G1261" s="4">
        <v>14</v>
      </c>
      <c r="H1261" s="8">
        <v>12.84</v>
      </c>
      <c r="I1261" s="4">
        <v>0</v>
      </c>
    </row>
    <row r="1262" spans="1:9" x14ac:dyDescent="0.2">
      <c r="A1262" s="2">
        <v>3</v>
      </c>
      <c r="B1262" s="1" t="s">
        <v>83</v>
      </c>
      <c r="C1262" s="4">
        <v>27</v>
      </c>
      <c r="D1262" s="8">
        <v>9.06</v>
      </c>
      <c r="E1262" s="4">
        <v>12</v>
      </c>
      <c r="F1262" s="8">
        <v>6.56</v>
      </c>
      <c r="G1262" s="4">
        <v>15</v>
      </c>
      <c r="H1262" s="8">
        <v>13.76</v>
      </c>
      <c r="I1262" s="4">
        <v>0</v>
      </c>
    </row>
    <row r="1263" spans="1:9" x14ac:dyDescent="0.2">
      <c r="A1263" s="2">
        <v>4</v>
      </c>
      <c r="B1263" s="1" t="s">
        <v>96</v>
      </c>
      <c r="C1263" s="4">
        <v>26</v>
      </c>
      <c r="D1263" s="8">
        <v>8.7200000000000006</v>
      </c>
      <c r="E1263" s="4">
        <v>20</v>
      </c>
      <c r="F1263" s="8">
        <v>10.93</v>
      </c>
      <c r="G1263" s="4">
        <v>6</v>
      </c>
      <c r="H1263" s="8">
        <v>5.5</v>
      </c>
      <c r="I1263" s="4">
        <v>0</v>
      </c>
    </row>
    <row r="1264" spans="1:9" x14ac:dyDescent="0.2">
      <c r="A1264" s="2">
        <v>5</v>
      </c>
      <c r="B1264" s="1" t="s">
        <v>89</v>
      </c>
      <c r="C1264" s="4">
        <v>24</v>
      </c>
      <c r="D1264" s="8">
        <v>8.0500000000000007</v>
      </c>
      <c r="E1264" s="4">
        <v>20</v>
      </c>
      <c r="F1264" s="8">
        <v>10.93</v>
      </c>
      <c r="G1264" s="4">
        <v>3</v>
      </c>
      <c r="H1264" s="8">
        <v>2.75</v>
      </c>
      <c r="I1264" s="4">
        <v>1</v>
      </c>
    </row>
    <row r="1265" spans="1:9" x14ac:dyDescent="0.2">
      <c r="A1265" s="2">
        <v>6</v>
      </c>
      <c r="B1265" s="1" t="s">
        <v>84</v>
      </c>
      <c r="C1265" s="4">
        <v>15</v>
      </c>
      <c r="D1265" s="8">
        <v>5.03</v>
      </c>
      <c r="E1265" s="4">
        <v>9</v>
      </c>
      <c r="F1265" s="8">
        <v>4.92</v>
      </c>
      <c r="G1265" s="4">
        <v>6</v>
      </c>
      <c r="H1265" s="8">
        <v>5.5</v>
      </c>
      <c r="I1265" s="4">
        <v>0</v>
      </c>
    </row>
    <row r="1266" spans="1:9" x14ac:dyDescent="0.2">
      <c r="A1266" s="2">
        <v>7</v>
      </c>
      <c r="B1266" s="1" t="s">
        <v>85</v>
      </c>
      <c r="C1266" s="4">
        <v>11</v>
      </c>
      <c r="D1266" s="8">
        <v>3.69</v>
      </c>
      <c r="E1266" s="4">
        <v>7</v>
      </c>
      <c r="F1266" s="8">
        <v>3.83</v>
      </c>
      <c r="G1266" s="4">
        <v>4</v>
      </c>
      <c r="H1266" s="8">
        <v>3.67</v>
      </c>
      <c r="I1266" s="4">
        <v>0</v>
      </c>
    </row>
    <row r="1267" spans="1:9" x14ac:dyDescent="0.2">
      <c r="A1267" s="2">
        <v>8</v>
      </c>
      <c r="B1267" s="1" t="s">
        <v>92</v>
      </c>
      <c r="C1267" s="4">
        <v>9</v>
      </c>
      <c r="D1267" s="8">
        <v>3.02</v>
      </c>
      <c r="E1267" s="4">
        <v>4</v>
      </c>
      <c r="F1267" s="8">
        <v>2.19</v>
      </c>
      <c r="G1267" s="4">
        <v>5</v>
      </c>
      <c r="H1267" s="8">
        <v>4.59</v>
      </c>
      <c r="I1267" s="4">
        <v>0</v>
      </c>
    </row>
    <row r="1268" spans="1:9" x14ac:dyDescent="0.2">
      <c r="A1268" s="2">
        <v>8</v>
      </c>
      <c r="B1268" s="1" t="s">
        <v>99</v>
      </c>
      <c r="C1268" s="4">
        <v>9</v>
      </c>
      <c r="D1268" s="8">
        <v>3.02</v>
      </c>
      <c r="E1268" s="4">
        <v>6</v>
      </c>
      <c r="F1268" s="8">
        <v>3.28</v>
      </c>
      <c r="G1268" s="4">
        <v>1</v>
      </c>
      <c r="H1268" s="8">
        <v>0.92</v>
      </c>
      <c r="I1268" s="4">
        <v>0</v>
      </c>
    </row>
    <row r="1269" spans="1:9" x14ac:dyDescent="0.2">
      <c r="A1269" s="2">
        <v>10</v>
      </c>
      <c r="B1269" s="1" t="s">
        <v>88</v>
      </c>
      <c r="C1269" s="4">
        <v>8</v>
      </c>
      <c r="D1269" s="8">
        <v>2.68</v>
      </c>
      <c r="E1269" s="4">
        <v>2</v>
      </c>
      <c r="F1269" s="8">
        <v>1.0900000000000001</v>
      </c>
      <c r="G1269" s="4">
        <v>6</v>
      </c>
      <c r="H1269" s="8">
        <v>5.5</v>
      </c>
      <c r="I1269" s="4">
        <v>0</v>
      </c>
    </row>
    <row r="1270" spans="1:9" x14ac:dyDescent="0.2">
      <c r="A1270" s="2">
        <v>10</v>
      </c>
      <c r="B1270" s="1" t="s">
        <v>90</v>
      </c>
      <c r="C1270" s="4">
        <v>8</v>
      </c>
      <c r="D1270" s="8">
        <v>2.68</v>
      </c>
      <c r="E1270" s="4">
        <v>6</v>
      </c>
      <c r="F1270" s="8">
        <v>3.28</v>
      </c>
      <c r="G1270" s="4">
        <v>1</v>
      </c>
      <c r="H1270" s="8">
        <v>0.92</v>
      </c>
      <c r="I1270" s="4">
        <v>1</v>
      </c>
    </row>
    <row r="1271" spans="1:9" x14ac:dyDescent="0.2">
      <c r="A1271" s="2">
        <v>10</v>
      </c>
      <c r="B1271" s="1" t="s">
        <v>100</v>
      </c>
      <c r="C1271" s="4">
        <v>8</v>
      </c>
      <c r="D1271" s="8">
        <v>2.68</v>
      </c>
      <c r="E1271" s="4">
        <v>7</v>
      </c>
      <c r="F1271" s="8">
        <v>3.83</v>
      </c>
      <c r="G1271" s="4">
        <v>1</v>
      </c>
      <c r="H1271" s="8">
        <v>0.92</v>
      </c>
      <c r="I1271" s="4">
        <v>0</v>
      </c>
    </row>
    <row r="1272" spans="1:9" x14ac:dyDescent="0.2">
      <c r="A1272" s="2">
        <v>13</v>
      </c>
      <c r="B1272" s="1" t="s">
        <v>112</v>
      </c>
      <c r="C1272" s="4">
        <v>7</v>
      </c>
      <c r="D1272" s="8">
        <v>2.35</v>
      </c>
      <c r="E1272" s="4">
        <v>3</v>
      </c>
      <c r="F1272" s="8">
        <v>1.64</v>
      </c>
      <c r="G1272" s="4">
        <v>4</v>
      </c>
      <c r="H1272" s="8">
        <v>3.67</v>
      </c>
      <c r="I1272" s="4">
        <v>0</v>
      </c>
    </row>
    <row r="1273" spans="1:9" x14ac:dyDescent="0.2">
      <c r="A1273" s="2">
        <v>13</v>
      </c>
      <c r="B1273" s="1" t="s">
        <v>95</v>
      </c>
      <c r="C1273" s="4">
        <v>7</v>
      </c>
      <c r="D1273" s="8">
        <v>2.35</v>
      </c>
      <c r="E1273" s="4">
        <v>3</v>
      </c>
      <c r="F1273" s="8">
        <v>1.64</v>
      </c>
      <c r="G1273" s="4">
        <v>4</v>
      </c>
      <c r="H1273" s="8">
        <v>3.67</v>
      </c>
      <c r="I1273" s="4">
        <v>0</v>
      </c>
    </row>
    <row r="1274" spans="1:9" x14ac:dyDescent="0.2">
      <c r="A1274" s="2">
        <v>15</v>
      </c>
      <c r="B1274" s="1" t="s">
        <v>111</v>
      </c>
      <c r="C1274" s="4">
        <v>5</v>
      </c>
      <c r="D1274" s="8">
        <v>1.68</v>
      </c>
      <c r="E1274" s="4">
        <v>4</v>
      </c>
      <c r="F1274" s="8">
        <v>2.19</v>
      </c>
      <c r="G1274" s="4">
        <v>1</v>
      </c>
      <c r="H1274" s="8">
        <v>0.92</v>
      </c>
      <c r="I1274" s="4">
        <v>0</v>
      </c>
    </row>
    <row r="1275" spans="1:9" x14ac:dyDescent="0.2">
      <c r="A1275" s="2">
        <v>15</v>
      </c>
      <c r="B1275" s="1" t="s">
        <v>102</v>
      </c>
      <c r="C1275" s="4">
        <v>5</v>
      </c>
      <c r="D1275" s="8">
        <v>1.68</v>
      </c>
      <c r="E1275" s="4">
        <v>3</v>
      </c>
      <c r="F1275" s="8">
        <v>1.64</v>
      </c>
      <c r="G1275" s="4">
        <v>2</v>
      </c>
      <c r="H1275" s="8">
        <v>1.83</v>
      </c>
      <c r="I1275" s="4">
        <v>0</v>
      </c>
    </row>
    <row r="1276" spans="1:9" x14ac:dyDescent="0.2">
      <c r="A1276" s="2">
        <v>17</v>
      </c>
      <c r="B1276" s="1" t="s">
        <v>107</v>
      </c>
      <c r="C1276" s="4">
        <v>4</v>
      </c>
      <c r="D1276" s="8">
        <v>1.34</v>
      </c>
      <c r="E1276" s="4">
        <v>3</v>
      </c>
      <c r="F1276" s="8">
        <v>1.64</v>
      </c>
      <c r="G1276" s="4">
        <v>1</v>
      </c>
      <c r="H1276" s="8">
        <v>0.92</v>
      </c>
      <c r="I1276" s="4">
        <v>0</v>
      </c>
    </row>
    <row r="1277" spans="1:9" x14ac:dyDescent="0.2">
      <c r="A1277" s="2">
        <v>18</v>
      </c>
      <c r="B1277" s="1" t="s">
        <v>106</v>
      </c>
      <c r="C1277" s="4">
        <v>3</v>
      </c>
      <c r="D1277" s="8">
        <v>1.01</v>
      </c>
      <c r="E1277" s="4">
        <v>1</v>
      </c>
      <c r="F1277" s="8">
        <v>0.55000000000000004</v>
      </c>
      <c r="G1277" s="4">
        <v>2</v>
      </c>
      <c r="H1277" s="8">
        <v>1.83</v>
      </c>
      <c r="I1277" s="4">
        <v>0</v>
      </c>
    </row>
    <row r="1278" spans="1:9" x14ac:dyDescent="0.2">
      <c r="A1278" s="2">
        <v>18</v>
      </c>
      <c r="B1278" s="1" t="s">
        <v>86</v>
      </c>
      <c r="C1278" s="4">
        <v>3</v>
      </c>
      <c r="D1278" s="8">
        <v>1.01</v>
      </c>
      <c r="E1278" s="4">
        <v>2</v>
      </c>
      <c r="F1278" s="8">
        <v>1.0900000000000001</v>
      </c>
      <c r="G1278" s="4">
        <v>1</v>
      </c>
      <c r="H1278" s="8">
        <v>0.92</v>
      </c>
      <c r="I1278" s="4">
        <v>0</v>
      </c>
    </row>
    <row r="1279" spans="1:9" x14ac:dyDescent="0.2">
      <c r="A1279" s="2">
        <v>18</v>
      </c>
      <c r="B1279" s="1" t="s">
        <v>98</v>
      </c>
      <c r="C1279" s="4">
        <v>3</v>
      </c>
      <c r="D1279" s="8">
        <v>1.01</v>
      </c>
      <c r="E1279" s="4">
        <v>1</v>
      </c>
      <c r="F1279" s="8">
        <v>0.55000000000000004</v>
      </c>
      <c r="G1279" s="4">
        <v>2</v>
      </c>
      <c r="H1279" s="8">
        <v>1.83</v>
      </c>
      <c r="I1279" s="4">
        <v>0</v>
      </c>
    </row>
    <row r="1280" spans="1:9" x14ac:dyDescent="0.2">
      <c r="A1280" s="2">
        <v>18</v>
      </c>
      <c r="B1280" s="1" t="s">
        <v>120</v>
      </c>
      <c r="C1280" s="4">
        <v>3</v>
      </c>
      <c r="D1280" s="8">
        <v>1.01</v>
      </c>
      <c r="E1280" s="4">
        <v>1</v>
      </c>
      <c r="F1280" s="8">
        <v>0.55000000000000004</v>
      </c>
      <c r="G1280" s="4">
        <v>2</v>
      </c>
      <c r="H1280" s="8">
        <v>1.83</v>
      </c>
      <c r="I1280" s="4">
        <v>0</v>
      </c>
    </row>
    <row r="1281" spans="1:9" x14ac:dyDescent="0.2">
      <c r="A1281" s="1"/>
      <c r="C1281" s="4"/>
      <c r="D1281" s="8"/>
      <c r="E1281" s="4"/>
      <c r="F1281" s="8"/>
      <c r="G1281" s="4"/>
      <c r="H1281" s="8"/>
      <c r="I1281" s="4"/>
    </row>
    <row r="1282" spans="1:9" x14ac:dyDescent="0.2">
      <c r="A1282" s="1" t="s">
        <v>50</v>
      </c>
      <c r="C1282" s="4"/>
      <c r="D1282" s="8"/>
      <c r="E1282" s="4"/>
      <c r="F1282" s="8"/>
      <c r="G1282" s="4"/>
      <c r="H1282" s="8"/>
      <c r="I1282" s="4"/>
    </row>
    <row r="1283" spans="1:9" x14ac:dyDescent="0.2">
      <c r="A1283" s="2">
        <v>1</v>
      </c>
      <c r="B1283" s="1" t="s">
        <v>85</v>
      </c>
      <c r="C1283" s="4">
        <v>17</v>
      </c>
      <c r="D1283" s="8">
        <v>14.05</v>
      </c>
      <c r="E1283" s="4">
        <v>0</v>
      </c>
      <c r="F1283" s="8">
        <v>0</v>
      </c>
      <c r="G1283" s="4">
        <v>17</v>
      </c>
      <c r="H1283" s="8">
        <v>22.67</v>
      </c>
      <c r="I1283" s="4">
        <v>0</v>
      </c>
    </row>
    <row r="1284" spans="1:9" x14ac:dyDescent="0.2">
      <c r="A1284" s="2">
        <v>2</v>
      </c>
      <c r="B1284" s="1" t="s">
        <v>91</v>
      </c>
      <c r="C1284" s="4">
        <v>11</v>
      </c>
      <c r="D1284" s="8">
        <v>9.09</v>
      </c>
      <c r="E1284" s="4">
        <v>8</v>
      </c>
      <c r="F1284" s="8">
        <v>18.18</v>
      </c>
      <c r="G1284" s="4">
        <v>3</v>
      </c>
      <c r="H1284" s="8">
        <v>4</v>
      </c>
      <c r="I1284" s="4">
        <v>0</v>
      </c>
    </row>
    <row r="1285" spans="1:9" x14ac:dyDescent="0.2">
      <c r="A1285" s="2">
        <v>2</v>
      </c>
      <c r="B1285" s="1" t="s">
        <v>96</v>
      </c>
      <c r="C1285" s="4">
        <v>11</v>
      </c>
      <c r="D1285" s="8">
        <v>9.09</v>
      </c>
      <c r="E1285" s="4">
        <v>8</v>
      </c>
      <c r="F1285" s="8">
        <v>18.18</v>
      </c>
      <c r="G1285" s="4">
        <v>3</v>
      </c>
      <c r="H1285" s="8">
        <v>4</v>
      </c>
      <c r="I1285" s="4">
        <v>0</v>
      </c>
    </row>
    <row r="1286" spans="1:9" x14ac:dyDescent="0.2">
      <c r="A1286" s="2">
        <v>4</v>
      </c>
      <c r="B1286" s="1" t="s">
        <v>97</v>
      </c>
      <c r="C1286" s="4">
        <v>10</v>
      </c>
      <c r="D1286" s="8">
        <v>8.26</v>
      </c>
      <c r="E1286" s="4">
        <v>9</v>
      </c>
      <c r="F1286" s="8">
        <v>20.45</v>
      </c>
      <c r="G1286" s="4">
        <v>1</v>
      </c>
      <c r="H1286" s="8">
        <v>1.33</v>
      </c>
      <c r="I1286" s="4">
        <v>0</v>
      </c>
    </row>
    <row r="1287" spans="1:9" x14ac:dyDescent="0.2">
      <c r="A1287" s="2">
        <v>5</v>
      </c>
      <c r="B1287" s="1" t="s">
        <v>83</v>
      </c>
      <c r="C1287" s="4">
        <v>9</v>
      </c>
      <c r="D1287" s="8">
        <v>7.44</v>
      </c>
      <c r="E1287" s="4">
        <v>2</v>
      </c>
      <c r="F1287" s="8">
        <v>4.55</v>
      </c>
      <c r="G1287" s="4">
        <v>7</v>
      </c>
      <c r="H1287" s="8">
        <v>9.33</v>
      </c>
      <c r="I1287" s="4">
        <v>0</v>
      </c>
    </row>
    <row r="1288" spans="1:9" x14ac:dyDescent="0.2">
      <c r="A1288" s="2">
        <v>5</v>
      </c>
      <c r="B1288" s="1" t="s">
        <v>84</v>
      </c>
      <c r="C1288" s="4">
        <v>9</v>
      </c>
      <c r="D1288" s="8">
        <v>7.44</v>
      </c>
      <c r="E1288" s="4">
        <v>3</v>
      </c>
      <c r="F1288" s="8">
        <v>6.82</v>
      </c>
      <c r="G1288" s="4">
        <v>6</v>
      </c>
      <c r="H1288" s="8">
        <v>8</v>
      </c>
      <c r="I1288" s="4">
        <v>0</v>
      </c>
    </row>
    <row r="1289" spans="1:9" x14ac:dyDescent="0.2">
      <c r="A1289" s="2">
        <v>5</v>
      </c>
      <c r="B1289" s="1" t="s">
        <v>95</v>
      </c>
      <c r="C1289" s="4">
        <v>9</v>
      </c>
      <c r="D1289" s="8">
        <v>7.44</v>
      </c>
      <c r="E1289" s="4">
        <v>1</v>
      </c>
      <c r="F1289" s="8">
        <v>2.27</v>
      </c>
      <c r="G1289" s="4">
        <v>8</v>
      </c>
      <c r="H1289" s="8">
        <v>10.67</v>
      </c>
      <c r="I1289" s="4">
        <v>0</v>
      </c>
    </row>
    <row r="1290" spans="1:9" x14ac:dyDescent="0.2">
      <c r="A1290" s="2">
        <v>8</v>
      </c>
      <c r="B1290" s="1" t="s">
        <v>86</v>
      </c>
      <c r="C1290" s="4">
        <v>6</v>
      </c>
      <c r="D1290" s="8">
        <v>4.96</v>
      </c>
      <c r="E1290" s="4">
        <v>2</v>
      </c>
      <c r="F1290" s="8">
        <v>4.55</v>
      </c>
      <c r="G1290" s="4">
        <v>4</v>
      </c>
      <c r="H1290" s="8">
        <v>5.33</v>
      </c>
      <c r="I1290" s="4">
        <v>0</v>
      </c>
    </row>
    <row r="1291" spans="1:9" x14ac:dyDescent="0.2">
      <c r="A1291" s="2">
        <v>9</v>
      </c>
      <c r="B1291" s="1" t="s">
        <v>89</v>
      </c>
      <c r="C1291" s="4">
        <v>4</v>
      </c>
      <c r="D1291" s="8">
        <v>3.31</v>
      </c>
      <c r="E1291" s="4">
        <v>2</v>
      </c>
      <c r="F1291" s="8">
        <v>4.55</v>
      </c>
      <c r="G1291" s="4">
        <v>1</v>
      </c>
      <c r="H1291" s="8">
        <v>1.33</v>
      </c>
      <c r="I1291" s="4">
        <v>1</v>
      </c>
    </row>
    <row r="1292" spans="1:9" x14ac:dyDescent="0.2">
      <c r="A1292" s="2">
        <v>10</v>
      </c>
      <c r="B1292" s="1" t="s">
        <v>99</v>
      </c>
      <c r="C1292" s="4">
        <v>3</v>
      </c>
      <c r="D1292" s="8">
        <v>2.48</v>
      </c>
      <c r="E1292" s="4">
        <v>2</v>
      </c>
      <c r="F1292" s="8">
        <v>4.55</v>
      </c>
      <c r="G1292" s="4">
        <v>0</v>
      </c>
      <c r="H1292" s="8">
        <v>0</v>
      </c>
      <c r="I1292" s="4">
        <v>0</v>
      </c>
    </row>
    <row r="1293" spans="1:9" x14ac:dyDescent="0.2">
      <c r="A1293" s="2">
        <v>10</v>
      </c>
      <c r="B1293" s="1" t="s">
        <v>108</v>
      </c>
      <c r="C1293" s="4">
        <v>3</v>
      </c>
      <c r="D1293" s="8">
        <v>2.48</v>
      </c>
      <c r="E1293" s="4">
        <v>0</v>
      </c>
      <c r="F1293" s="8">
        <v>0</v>
      </c>
      <c r="G1293" s="4">
        <v>3</v>
      </c>
      <c r="H1293" s="8">
        <v>4</v>
      </c>
      <c r="I1293" s="4">
        <v>0</v>
      </c>
    </row>
    <row r="1294" spans="1:9" x14ac:dyDescent="0.2">
      <c r="A1294" s="2">
        <v>12</v>
      </c>
      <c r="B1294" s="1" t="s">
        <v>115</v>
      </c>
      <c r="C1294" s="4">
        <v>2</v>
      </c>
      <c r="D1294" s="8">
        <v>1.65</v>
      </c>
      <c r="E1294" s="4">
        <v>0</v>
      </c>
      <c r="F1294" s="8">
        <v>0</v>
      </c>
      <c r="G1294" s="4">
        <v>2</v>
      </c>
      <c r="H1294" s="8">
        <v>2.67</v>
      </c>
      <c r="I1294" s="4">
        <v>0</v>
      </c>
    </row>
    <row r="1295" spans="1:9" x14ac:dyDescent="0.2">
      <c r="A1295" s="2">
        <v>12</v>
      </c>
      <c r="B1295" s="1" t="s">
        <v>126</v>
      </c>
      <c r="C1295" s="4">
        <v>2</v>
      </c>
      <c r="D1295" s="8">
        <v>1.65</v>
      </c>
      <c r="E1295" s="4">
        <v>2</v>
      </c>
      <c r="F1295" s="8">
        <v>4.55</v>
      </c>
      <c r="G1295" s="4">
        <v>0</v>
      </c>
      <c r="H1295" s="8">
        <v>0</v>
      </c>
      <c r="I1295" s="4">
        <v>0</v>
      </c>
    </row>
    <row r="1296" spans="1:9" x14ac:dyDescent="0.2">
      <c r="A1296" s="2">
        <v>12</v>
      </c>
      <c r="B1296" s="1" t="s">
        <v>90</v>
      </c>
      <c r="C1296" s="4">
        <v>2</v>
      </c>
      <c r="D1296" s="8">
        <v>1.65</v>
      </c>
      <c r="E1296" s="4">
        <v>2</v>
      </c>
      <c r="F1296" s="8">
        <v>4.55</v>
      </c>
      <c r="G1296" s="4">
        <v>0</v>
      </c>
      <c r="H1296" s="8">
        <v>0</v>
      </c>
      <c r="I1296" s="4">
        <v>0</v>
      </c>
    </row>
    <row r="1297" spans="1:9" x14ac:dyDescent="0.2">
      <c r="A1297" s="2">
        <v>12</v>
      </c>
      <c r="B1297" s="1" t="s">
        <v>92</v>
      </c>
      <c r="C1297" s="4">
        <v>2</v>
      </c>
      <c r="D1297" s="8">
        <v>1.65</v>
      </c>
      <c r="E1297" s="4">
        <v>0</v>
      </c>
      <c r="F1297" s="8">
        <v>0</v>
      </c>
      <c r="G1297" s="4">
        <v>2</v>
      </c>
      <c r="H1297" s="8">
        <v>2.67</v>
      </c>
      <c r="I1297" s="4">
        <v>0</v>
      </c>
    </row>
    <row r="1298" spans="1:9" x14ac:dyDescent="0.2">
      <c r="A1298" s="2">
        <v>12</v>
      </c>
      <c r="B1298" s="1" t="s">
        <v>94</v>
      </c>
      <c r="C1298" s="4">
        <v>2</v>
      </c>
      <c r="D1298" s="8">
        <v>1.65</v>
      </c>
      <c r="E1298" s="4">
        <v>0</v>
      </c>
      <c r="F1298" s="8">
        <v>0</v>
      </c>
      <c r="G1298" s="4">
        <v>2</v>
      </c>
      <c r="H1298" s="8">
        <v>2.67</v>
      </c>
      <c r="I1298" s="4">
        <v>0</v>
      </c>
    </row>
    <row r="1299" spans="1:9" x14ac:dyDescent="0.2">
      <c r="A1299" s="2">
        <v>12</v>
      </c>
      <c r="B1299" s="1" t="s">
        <v>129</v>
      </c>
      <c r="C1299" s="4">
        <v>2</v>
      </c>
      <c r="D1299" s="8">
        <v>1.65</v>
      </c>
      <c r="E1299" s="4">
        <v>0</v>
      </c>
      <c r="F1299" s="8">
        <v>0</v>
      </c>
      <c r="G1299" s="4">
        <v>2</v>
      </c>
      <c r="H1299" s="8">
        <v>2.67</v>
      </c>
      <c r="I1299" s="4">
        <v>0</v>
      </c>
    </row>
    <row r="1300" spans="1:9" x14ac:dyDescent="0.2">
      <c r="A1300" s="2">
        <v>12</v>
      </c>
      <c r="B1300" s="1" t="s">
        <v>146</v>
      </c>
      <c r="C1300" s="4">
        <v>2</v>
      </c>
      <c r="D1300" s="8">
        <v>1.65</v>
      </c>
      <c r="E1300" s="4">
        <v>0</v>
      </c>
      <c r="F1300" s="8">
        <v>0</v>
      </c>
      <c r="G1300" s="4">
        <v>2</v>
      </c>
      <c r="H1300" s="8">
        <v>2.67</v>
      </c>
      <c r="I1300" s="4">
        <v>0</v>
      </c>
    </row>
    <row r="1301" spans="1:9" x14ac:dyDescent="0.2">
      <c r="A1301" s="2">
        <v>19</v>
      </c>
      <c r="B1301" s="1" t="s">
        <v>131</v>
      </c>
      <c r="C1301" s="4">
        <v>1</v>
      </c>
      <c r="D1301" s="8">
        <v>0.83</v>
      </c>
      <c r="E1301" s="4">
        <v>0</v>
      </c>
      <c r="F1301" s="8">
        <v>0</v>
      </c>
      <c r="G1301" s="4">
        <v>1</v>
      </c>
      <c r="H1301" s="8">
        <v>1.33</v>
      </c>
      <c r="I1301" s="4">
        <v>0</v>
      </c>
    </row>
    <row r="1302" spans="1:9" x14ac:dyDescent="0.2">
      <c r="A1302" s="2">
        <v>19</v>
      </c>
      <c r="B1302" s="1" t="s">
        <v>124</v>
      </c>
      <c r="C1302" s="4">
        <v>1</v>
      </c>
      <c r="D1302" s="8">
        <v>0.83</v>
      </c>
      <c r="E1302" s="4">
        <v>1</v>
      </c>
      <c r="F1302" s="8">
        <v>2.27</v>
      </c>
      <c r="G1302" s="4">
        <v>0</v>
      </c>
      <c r="H1302" s="8">
        <v>0</v>
      </c>
      <c r="I1302" s="4">
        <v>0</v>
      </c>
    </row>
    <row r="1303" spans="1:9" x14ac:dyDescent="0.2">
      <c r="A1303" s="2">
        <v>19</v>
      </c>
      <c r="B1303" s="1" t="s">
        <v>154</v>
      </c>
      <c r="C1303" s="4">
        <v>1</v>
      </c>
      <c r="D1303" s="8">
        <v>0.83</v>
      </c>
      <c r="E1303" s="4">
        <v>1</v>
      </c>
      <c r="F1303" s="8">
        <v>2.27</v>
      </c>
      <c r="G1303" s="4">
        <v>0</v>
      </c>
      <c r="H1303" s="8">
        <v>0</v>
      </c>
      <c r="I1303" s="4">
        <v>0</v>
      </c>
    </row>
    <row r="1304" spans="1:9" x14ac:dyDescent="0.2">
      <c r="A1304" s="2">
        <v>19</v>
      </c>
      <c r="B1304" s="1" t="s">
        <v>118</v>
      </c>
      <c r="C1304" s="4">
        <v>1</v>
      </c>
      <c r="D1304" s="8">
        <v>0.83</v>
      </c>
      <c r="E1304" s="4">
        <v>0</v>
      </c>
      <c r="F1304" s="8">
        <v>0</v>
      </c>
      <c r="G1304" s="4">
        <v>1</v>
      </c>
      <c r="H1304" s="8">
        <v>1.33</v>
      </c>
      <c r="I1304" s="4">
        <v>0</v>
      </c>
    </row>
    <row r="1305" spans="1:9" x14ac:dyDescent="0.2">
      <c r="A1305" s="2">
        <v>19</v>
      </c>
      <c r="B1305" s="1" t="s">
        <v>114</v>
      </c>
      <c r="C1305" s="4">
        <v>1</v>
      </c>
      <c r="D1305" s="8">
        <v>0.83</v>
      </c>
      <c r="E1305" s="4">
        <v>0</v>
      </c>
      <c r="F1305" s="8">
        <v>0</v>
      </c>
      <c r="G1305" s="4">
        <v>1</v>
      </c>
      <c r="H1305" s="8">
        <v>1.33</v>
      </c>
      <c r="I1305" s="4">
        <v>0</v>
      </c>
    </row>
    <row r="1306" spans="1:9" x14ac:dyDescent="0.2">
      <c r="A1306" s="2">
        <v>19</v>
      </c>
      <c r="B1306" s="1" t="s">
        <v>105</v>
      </c>
      <c r="C1306" s="4">
        <v>1</v>
      </c>
      <c r="D1306" s="8">
        <v>0.83</v>
      </c>
      <c r="E1306" s="4">
        <v>0</v>
      </c>
      <c r="F1306" s="8">
        <v>0</v>
      </c>
      <c r="G1306" s="4">
        <v>1</v>
      </c>
      <c r="H1306" s="8">
        <v>1.33</v>
      </c>
      <c r="I1306" s="4">
        <v>0</v>
      </c>
    </row>
    <row r="1307" spans="1:9" x14ac:dyDescent="0.2">
      <c r="A1307" s="2">
        <v>19</v>
      </c>
      <c r="B1307" s="1" t="s">
        <v>145</v>
      </c>
      <c r="C1307" s="4">
        <v>1</v>
      </c>
      <c r="D1307" s="8">
        <v>0.83</v>
      </c>
      <c r="E1307" s="4">
        <v>0</v>
      </c>
      <c r="F1307" s="8">
        <v>0</v>
      </c>
      <c r="G1307" s="4">
        <v>1</v>
      </c>
      <c r="H1307" s="8">
        <v>1.33</v>
      </c>
      <c r="I1307" s="4">
        <v>0</v>
      </c>
    </row>
    <row r="1308" spans="1:9" x14ac:dyDescent="0.2">
      <c r="A1308" s="2">
        <v>19</v>
      </c>
      <c r="B1308" s="1" t="s">
        <v>117</v>
      </c>
      <c r="C1308" s="4">
        <v>1</v>
      </c>
      <c r="D1308" s="8">
        <v>0.83</v>
      </c>
      <c r="E1308" s="4">
        <v>0</v>
      </c>
      <c r="F1308" s="8">
        <v>0</v>
      </c>
      <c r="G1308" s="4">
        <v>1</v>
      </c>
      <c r="H1308" s="8">
        <v>1.33</v>
      </c>
      <c r="I1308" s="4">
        <v>0</v>
      </c>
    </row>
    <row r="1309" spans="1:9" x14ac:dyDescent="0.2">
      <c r="A1309" s="2">
        <v>19</v>
      </c>
      <c r="B1309" s="1" t="s">
        <v>141</v>
      </c>
      <c r="C1309" s="4">
        <v>1</v>
      </c>
      <c r="D1309" s="8">
        <v>0.83</v>
      </c>
      <c r="E1309" s="4">
        <v>0</v>
      </c>
      <c r="F1309" s="8">
        <v>0</v>
      </c>
      <c r="G1309" s="4">
        <v>1</v>
      </c>
      <c r="H1309" s="8">
        <v>1.33</v>
      </c>
      <c r="I1309" s="4">
        <v>0</v>
      </c>
    </row>
    <row r="1310" spans="1:9" x14ac:dyDescent="0.2">
      <c r="A1310" s="2">
        <v>19</v>
      </c>
      <c r="B1310" s="1" t="s">
        <v>87</v>
      </c>
      <c r="C1310" s="4">
        <v>1</v>
      </c>
      <c r="D1310" s="8">
        <v>0.83</v>
      </c>
      <c r="E1310" s="4">
        <v>0</v>
      </c>
      <c r="F1310" s="8">
        <v>0</v>
      </c>
      <c r="G1310" s="4">
        <v>1</v>
      </c>
      <c r="H1310" s="8">
        <v>1.33</v>
      </c>
      <c r="I1310" s="4">
        <v>0</v>
      </c>
    </row>
    <row r="1311" spans="1:9" x14ac:dyDescent="0.2">
      <c r="A1311" s="2">
        <v>19</v>
      </c>
      <c r="B1311" s="1" t="s">
        <v>113</v>
      </c>
      <c r="C1311" s="4">
        <v>1</v>
      </c>
      <c r="D1311" s="8">
        <v>0.83</v>
      </c>
      <c r="E1311" s="4">
        <v>0</v>
      </c>
      <c r="F1311" s="8">
        <v>0</v>
      </c>
      <c r="G1311" s="4">
        <v>1</v>
      </c>
      <c r="H1311" s="8">
        <v>1.33</v>
      </c>
      <c r="I1311" s="4">
        <v>0</v>
      </c>
    </row>
    <row r="1312" spans="1:9" x14ac:dyDescent="0.2">
      <c r="A1312" s="2">
        <v>19</v>
      </c>
      <c r="B1312" s="1" t="s">
        <v>98</v>
      </c>
      <c r="C1312" s="4">
        <v>1</v>
      </c>
      <c r="D1312" s="8">
        <v>0.83</v>
      </c>
      <c r="E1312" s="4">
        <v>0</v>
      </c>
      <c r="F1312" s="8">
        <v>0</v>
      </c>
      <c r="G1312" s="4">
        <v>1</v>
      </c>
      <c r="H1312" s="8">
        <v>1.33</v>
      </c>
      <c r="I1312" s="4">
        <v>0</v>
      </c>
    </row>
    <row r="1313" spans="1:9" x14ac:dyDescent="0.2">
      <c r="A1313" s="2">
        <v>19</v>
      </c>
      <c r="B1313" s="1" t="s">
        <v>120</v>
      </c>
      <c r="C1313" s="4">
        <v>1</v>
      </c>
      <c r="D1313" s="8">
        <v>0.83</v>
      </c>
      <c r="E1313" s="4">
        <v>0</v>
      </c>
      <c r="F1313" s="8">
        <v>0</v>
      </c>
      <c r="G1313" s="4">
        <v>1</v>
      </c>
      <c r="H1313" s="8">
        <v>1.33</v>
      </c>
      <c r="I1313" s="4">
        <v>0</v>
      </c>
    </row>
    <row r="1314" spans="1:9" x14ac:dyDescent="0.2">
      <c r="A1314" s="2">
        <v>19</v>
      </c>
      <c r="B1314" s="1" t="s">
        <v>102</v>
      </c>
      <c r="C1314" s="4">
        <v>1</v>
      </c>
      <c r="D1314" s="8">
        <v>0.83</v>
      </c>
      <c r="E1314" s="4">
        <v>1</v>
      </c>
      <c r="F1314" s="8">
        <v>2.27</v>
      </c>
      <c r="G1314" s="4">
        <v>0</v>
      </c>
      <c r="H1314" s="8">
        <v>0</v>
      </c>
      <c r="I1314" s="4">
        <v>0</v>
      </c>
    </row>
    <row r="1315" spans="1:9" x14ac:dyDescent="0.2">
      <c r="A1315" s="2">
        <v>19</v>
      </c>
      <c r="B1315" s="1" t="s">
        <v>140</v>
      </c>
      <c r="C1315" s="4">
        <v>1</v>
      </c>
      <c r="D1315" s="8">
        <v>0.83</v>
      </c>
      <c r="E1315" s="4">
        <v>0</v>
      </c>
      <c r="F1315" s="8">
        <v>0</v>
      </c>
      <c r="G1315" s="4">
        <v>1</v>
      </c>
      <c r="H1315" s="8">
        <v>1.33</v>
      </c>
      <c r="I1315" s="4">
        <v>0</v>
      </c>
    </row>
    <row r="1316" spans="1:9" x14ac:dyDescent="0.2">
      <c r="A1316" s="1"/>
      <c r="C1316" s="4"/>
      <c r="D1316" s="8"/>
      <c r="E1316" s="4"/>
      <c r="F1316" s="8"/>
      <c r="G1316" s="4"/>
      <c r="H1316" s="8"/>
      <c r="I1316" s="4"/>
    </row>
    <row r="1317" spans="1:9" x14ac:dyDescent="0.2">
      <c r="A1317" s="1" t="s">
        <v>51</v>
      </c>
      <c r="C1317" s="4"/>
      <c r="D1317" s="8"/>
      <c r="E1317" s="4"/>
      <c r="F1317" s="8"/>
      <c r="G1317" s="4"/>
      <c r="H1317" s="8"/>
      <c r="I1317" s="4"/>
    </row>
    <row r="1318" spans="1:9" x14ac:dyDescent="0.2">
      <c r="A1318" s="2">
        <v>1</v>
      </c>
      <c r="B1318" s="1" t="s">
        <v>83</v>
      </c>
      <c r="C1318" s="4">
        <v>16</v>
      </c>
      <c r="D1318" s="8">
        <v>15.38</v>
      </c>
      <c r="E1318" s="4">
        <v>5</v>
      </c>
      <c r="F1318" s="8">
        <v>11.36</v>
      </c>
      <c r="G1318" s="4">
        <v>11</v>
      </c>
      <c r="H1318" s="8">
        <v>18.64</v>
      </c>
      <c r="I1318" s="4">
        <v>0</v>
      </c>
    </row>
    <row r="1319" spans="1:9" x14ac:dyDescent="0.2">
      <c r="A1319" s="2">
        <v>2</v>
      </c>
      <c r="B1319" s="1" t="s">
        <v>91</v>
      </c>
      <c r="C1319" s="4">
        <v>11</v>
      </c>
      <c r="D1319" s="8">
        <v>10.58</v>
      </c>
      <c r="E1319" s="4">
        <v>6</v>
      </c>
      <c r="F1319" s="8">
        <v>13.64</v>
      </c>
      <c r="G1319" s="4">
        <v>5</v>
      </c>
      <c r="H1319" s="8">
        <v>8.4700000000000006</v>
      </c>
      <c r="I1319" s="4">
        <v>0</v>
      </c>
    </row>
    <row r="1320" spans="1:9" x14ac:dyDescent="0.2">
      <c r="A1320" s="2">
        <v>3</v>
      </c>
      <c r="B1320" s="1" t="s">
        <v>97</v>
      </c>
      <c r="C1320" s="4">
        <v>10</v>
      </c>
      <c r="D1320" s="8">
        <v>9.6199999999999992</v>
      </c>
      <c r="E1320" s="4">
        <v>10</v>
      </c>
      <c r="F1320" s="8">
        <v>22.73</v>
      </c>
      <c r="G1320" s="4">
        <v>0</v>
      </c>
      <c r="H1320" s="8">
        <v>0</v>
      </c>
      <c r="I1320" s="4">
        <v>0</v>
      </c>
    </row>
    <row r="1321" spans="1:9" x14ac:dyDescent="0.2">
      <c r="A1321" s="2">
        <v>4</v>
      </c>
      <c r="B1321" s="1" t="s">
        <v>96</v>
      </c>
      <c r="C1321" s="4">
        <v>7</v>
      </c>
      <c r="D1321" s="8">
        <v>6.73</v>
      </c>
      <c r="E1321" s="4">
        <v>7</v>
      </c>
      <c r="F1321" s="8">
        <v>15.91</v>
      </c>
      <c r="G1321" s="4">
        <v>0</v>
      </c>
      <c r="H1321" s="8">
        <v>0</v>
      </c>
      <c r="I1321" s="4">
        <v>0</v>
      </c>
    </row>
    <row r="1322" spans="1:9" x14ac:dyDescent="0.2">
      <c r="A1322" s="2">
        <v>5</v>
      </c>
      <c r="B1322" s="1" t="s">
        <v>85</v>
      </c>
      <c r="C1322" s="4">
        <v>5</v>
      </c>
      <c r="D1322" s="8">
        <v>4.8099999999999996</v>
      </c>
      <c r="E1322" s="4">
        <v>1</v>
      </c>
      <c r="F1322" s="8">
        <v>2.27</v>
      </c>
      <c r="G1322" s="4">
        <v>4</v>
      </c>
      <c r="H1322" s="8">
        <v>6.78</v>
      </c>
      <c r="I1322" s="4">
        <v>0</v>
      </c>
    </row>
    <row r="1323" spans="1:9" x14ac:dyDescent="0.2">
      <c r="A1323" s="2">
        <v>6</v>
      </c>
      <c r="B1323" s="1" t="s">
        <v>86</v>
      </c>
      <c r="C1323" s="4">
        <v>4</v>
      </c>
      <c r="D1323" s="8">
        <v>3.85</v>
      </c>
      <c r="E1323" s="4">
        <v>1</v>
      </c>
      <c r="F1323" s="8">
        <v>2.27</v>
      </c>
      <c r="G1323" s="4">
        <v>3</v>
      </c>
      <c r="H1323" s="8">
        <v>5.08</v>
      </c>
      <c r="I1323" s="4">
        <v>0</v>
      </c>
    </row>
    <row r="1324" spans="1:9" x14ac:dyDescent="0.2">
      <c r="A1324" s="2">
        <v>6</v>
      </c>
      <c r="B1324" s="1" t="s">
        <v>89</v>
      </c>
      <c r="C1324" s="4">
        <v>4</v>
      </c>
      <c r="D1324" s="8">
        <v>3.85</v>
      </c>
      <c r="E1324" s="4">
        <v>3</v>
      </c>
      <c r="F1324" s="8">
        <v>6.82</v>
      </c>
      <c r="G1324" s="4">
        <v>1</v>
      </c>
      <c r="H1324" s="8">
        <v>1.69</v>
      </c>
      <c r="I1324" s="4">
        <v>0</v>
      </c>
    </row>
    <row r="1325" spans="1:9" x14ac:dyDescent="0.2">
      <c r="A1325" s="2">
        <v>6</v>
      </c>
      <c r="B1325" s="1" t="s">
        <v>92</v>
      </c>
      <c r="C1325" s="4">
        <v>4</v>
      </c>
      <c r="D1325" s="8">
        <v>3.85</v>
      </c>
      <c r="E1325" s="4">
        <v>0</v>
      </c>
      <c r="F1325" s="8">
        <v>0</v>
      </c>
      <c r="G1325" s="4">
        <v>4</v>
      </c>
      <c r="H1325" s="8">
        <v>6.78</v>
      </c>
      <c r="I1325" s="4">
        <v>0</v>
      </c>
    </row>
    <row r="1326" spans="1:9" x14ac:dyDescent="0.2">
      <c r="A1326" s="2">
        <v>9</v>
      </c>
      <c r="B1326" s="1" t="s">
        <v>84</v>
      </c>
      <c r="C1326" s="4">
        <v>3</v>
      </c>
      <c r="D1326" s="8">
        <v>2.88</v>
      </c>
      <c r="E1326" s="4">
        <v>0</v>
      </c>
      <c r="F1326" s="8">
        <v>0</v>
      </c>
      <c r="G1326" s="4">
        <v>3</v>
      </c>
      <c r="H1326" s="8">
        <v>5.08</v>
      </c>
      <c r="I1326" s="4">
        <v>0</v>
      </c>
    </row>
    <row r="1327" spans="1:9" x14ac:dyDescent="0.2">
      <c r="A1327" s="2">
        <v>9</v>
      </c>
      <c r="B1327" s="1" t="s">
        <v>114</v>
      </c>
      <c r="C1327" s="4">
        <v>3</v>
      </c>
      <c r="D1327" s="8">
        <v>2.88</v>
      </c>
      <c r="E1327" s="4">
        <v>0</v>
      </c>
      <c r="F1327" s="8">
        <v>0</v>
      </c>
      <c r="G1327" s="4">
        <v>3</v>
      </c>
      <c r="H1327" s="8">
        <v>5.08</v>
      </c>
      <c r="I1327" s="4">
        <v>0</v>
      </c>
    </row>
    <row r="1328" spans="1:9" x14ac:dyDescent="0.2">
      <c r="A1328" s="2">
        <v>9</v>
      </c>
      <c r="B1328" s="1" t="s">
        <v>87</v>
      </c>
      <c r="C1328" s="4">
        <v>3</v>
      </c>
      <c r="D1328" s="8">
        <v>2.88</v>
      </c>
      <c r="E1328" s="4">
        <v>0</v>
      </c>
      <c r="F1328" s="8">
        <v>0</v>
      </c>
      <c r="G1328" s="4">
        <v>3</v>
      </c>
      <c r="H1328" s="8">
        <v>5.08</v>
      </c>
      <c r="I1328" s="4">
        <v>0</v>
      </c>
    </row>
    <row r="1329" spans="1:9" x14ac:dyDescent="0.2">
      <c r="A1329" s="2">
        <v>9</v>
      </c>
      <c r="B1329" s="1" t="s">
        <v>90</v>
      </c>
      <c r="C1329" s="4">
        <v>3</v>
      </c>
      <c r="D1329" s="8">
        <v>2.88</v>
      </c>
      <c r="E1329" s="4">
        <v>1</v>
      </c>
      <c r="F1329" s="8">
        <v>2.27</v>
      </c>
      <c r="G1329" s="4">
        <v>2</v>
      </c>
      <c r="H1329" s="8">
        <v>3.39</v>
      </c>
      <c r="I1329" s="4">
        <v>0</v>
      </c>
    </row>
    <row r="1330" spans="1:9" x14ac:dyDescent="0.2">
      <c r="A1330" s="2">
        <v>9</v>
      </c>
      <c r="B1330" s="1" t="s">
        <v>139</v>
      </c>
      <c r="C1330" s="4">
        <v>3</v>
      </c>
      <c r="D1330" s="8">
        <v>2.88</v>
      </c>
      <c r="E1330" s="4">
        <v>0</v>
      </c>
      <c r="F1330" s="8">
        <v>0</v>
      </c>
      <c r="G1330" s="4">
        <v>3</v>
      </c>
      <c r="H1330" s="8">
        <v>5.08</v>
      </c>
      <c r="I1330" s="4">
        <v>0</v>
      </c>
    </row>
    <row r="1331" spans="1:9" x14ac:dyDescent="0.2">
      <c r="A1331" s="2">
        <v>14</v>
      </c>
      <c r="B1331" s="1" t="s">
        <v>116</v>
      </c>
      <c r="C1331" s="4">
        <v>2</v>
      </c>
      <c r="D1331" s="8">
        <v>1.92</v>
      </c>
      <c r="E1331" s="4">
        <v>2</v>
      </c>
      <c r="F1331" s="8">
        <v>4.55</v>
      </c>
      <c r="G1331" s="4">
        <v>0</v>
      </c>
      <c r="H1331" s="8">
        <v>0</v>
      </c>
      <c r="I1331" s="4">
        <v>0</v>
      </c>
    </row>
    <row r="1332" spans="1:9" x14ac:dyDescent="0.2">
      <c r="A1332" s="2">
        <v>14</v>
      </c>
      <c r="B1332" s="1" t="s">
        <v>112</v>
      </c>
      <c r="C1332" s="4">
        <v>2</v>
      </c>
      <c r="D1332" s="8">
        <v>1.92</v>
      </c>
      <c r="E1332" s="4">
        <v>0</v>
      </c>
      <c r="F1332" s="8">
        <v>0</v>
      </c>
      <c r="G1332" s="4">
        <v>2</v>
      </c>
      <c r="H1332" s="8">
        <v>3.39</v>
      </c>
      <c r="I1332" s="4">
        <v>0</v>
      </c>
    </row>
    <row r="1333" spans="1:9" x14ac:dyDescent="0.2">
      <c r="A1333" s="2">
        <v>14</v>
      </c>
      <c r="B1333" s="1" t="s">
        <v>115</v>
      </c>
      <c r="C1333" s="4">
        <v>2</v>
      </c>
      <c r="D1333" s="8">
        <v>1.92</v>
      </c>
      <c r="E1333" s="4">
        <v>0</v>
      </c>
      <c r="F1333" s="8">
        <v>0</v>
      </c>
      <c r="G1333" s="4">
        <v>2</v>
      </c>
      <c r="H1333" s="8">
        <v>3.39</v>
      </c>
      <c r="I1333" s="4">
        <v>0</v>
      </c>
    </row>
    <row r="1334" spans="1:9" x14ac:dyDescent="0.2">
      <c r="A1334" s="2">
        <v>14</v>
      </c>
      <c r="B1334" s="1" t="s">
        <v>93</v>
      </c>
      <c r="C1334" s="4">
        <v>2</v>
      </c>
      <c r="D1334" s="8">
        <v>1.92</v>
      </c>
      <c r="E1334" s="4">
        <v>1</v>
      </c>
      <c r="F1334" s="8">
        <v>2.27</v>
      </c>
      <c r="G1334" s="4">
        <v>1</v>
      </c>
      <c r="H1334" s="8">
        <v>1.69</v>
      </c>
      <c r="I1334" s="4">
        <v>0</v>
      </c>
    </row>
    <row r="1335" spans="1:9" x14ac:dyDescent="0.2">
      <c r="A1335" s="2">
        <v>14</v>
      </c>
      <c r="B1335" s="1" t="s">
        <v>94</v>
      </c>
      <c r="C1335" s="4">
        <v>2</v>
      </c>
      <c r="D1335" s="8">
        <v>1.92</v>
      </c>
      <c r="E1335" s="4">
        <v>0</v>
      </c>
      <c r="F1335" s="8">
        <v>0</v>
      </c>
      <c r="G1335" s="4">
        <v>2</v>
      </c>
      <c r="H1335" s="8">
        <v>3.39</v>
      </c>
      <c r="I1335" s="4">
        <v>0</v>
      </c>
    </row>
    <row r="1336" spans="1:9" x14ac:dyDescent="0.2">
      <c r="A1336" s="2">
        <v>14</v>
      </c>
      <c r="B1336" s="1" t="s">
        <v>98</v>
      </c>
      <c r="C1336" s="4">
        <v>2</v>
      </c>
      <c r="D1336" s="8">
        <v>1.92</v>
      </c>
      <c r="E1336" s="4">
        <v>1</v>
      </c>
      <c r="F1336" s="8">
        <v>2.27</v>
      </c>
      <c r="G1336" s="4">
        <v>1</v>
      </c>
      <c r="H1336" s="8">
        <v>1.69</v>
      </c>
      <c r="I1336" s="4">
        <v>0</v>
      </c>
    </row>
    <row r="1337" spans="1:9" x14ac:dyDescent="0.2">
      <c r="A1337" s="2">
        <v>14</v>
      </c>
      <c r="B1337" s="1" t="s">
        <v>120</v>
      </c>
      <c r="C1337" s="4">
        <v>2</v>
      </c>
      <c r="D1337" s="8">
        <v>1.92</v>
      </c>
      <c r="E1337" s="4">
        <v>0</v>
      </c>
      <c r="F1337" s="8">
        <v>0</v>
      </c>
      <c r="G1337" s="4">
        <v>1</v>
      </c>
      <c r="H1337" s="8">
        <v>1.69</v>
      </c>
      <c r="I1337" s="4">
        <v>0</v>
      </c>
    </row>
    <row r="1338" spans="1:9" x14ac:dyDescent="0.2">
      <c r="A1338" s="1"/>
      <c r="C1338" s="4"/>
      <c r="D1338" s="8"/>
      <c r="E1338" s="4"/>
      <c r="F1338" s="8"/>
      <c r="G1338" s="4"/>
      <c r="H1338" s="8"/>
      <c r="I1338" s="4"/>
    </row>
    <row r="1339" spans="1:9" x14ac:dyDescent="0.2">
      <c r="A1339" s="1" t="s">
        <v>52</v>
      </c>
      <c r="C1339" s="4"/>
      <c r="D1339" s="8"/>
      <c r="E1339" s="4"/>
      <c r="F1339" s="8"/>
      <c r="G1339" s="4"/>
      <c r="H1339" s="8"/>
      <c r="I1339" s="4"/>
    </row>
    <row r="1340" spans="1:9" x14ac:dyDescent="0.2">
      <c r="A1340" s="2">
        <v>1</v>
      </c>
      <c r="B1340" s="1" t="s">
        <v>83</v>
      </c>
      <c r="C1340" s="4">
        <v>10</v>
      </c>
      <c r="D1340" s="8">
        <v>15.15</v>
      </c>
      <c r="E1340" s="4">
        <v>0</v>
      </c>
      <c r="F1340" s="8">
        <v>0</v>
      </c>
      <c r="G1340" s="4">
        <v>9</v>
      </c>
      <c r="H1340" s="8">
        <v>15.79</v>
      </c>
      <c r="I1340" s="4">
        <v>1</v>
      </c>
    </row>
    <row r="1341" spans="1:9" x14ac:dyDescent="0.2">
      <c r="A1341" s="2">
        <v>2</v>
      </c>
      <c r="B1341" s="1" t="s">
        <v>84</v>
      </c>
      <c r="C1341" s="4">
        <v>8</v>
      </c>
      <c r="D1341" s="8">
        <v>12.12</v>
      </c>
      <c r="E1341" s="4">
        <v>1</v>
      </c>
      <c r="F1341" s="8">
        <v>14.29</v>
      </c>
      <c r="G1341" s="4">
        <v>7</v>
      </c>
      <c r="H1341" s="8">
        <v>12.28</v>
      </c>
      <c r="I1341" s="4">
        <v>0</v>
      </c>
    </row>
    <row r="1342" spans="1:9" x14ac:dyDescent="0.2">
      <c r="A1342" s="2">
        <v>2</v>
      </c>
      <c r="B1342" s="1" t="s">
        <v>85</v>
      </c>
      <c r="C1342" s="4">
        <v>8</v>
      </c>
      <c r="D1342" s="8">
        <v>12.12</v>
      </c>
      <c r="E1342" s="4">
        <v>0</v>
      </c>
      <c r="F1342" s="8">
        <v>0</v>
      </c>
      <c r="G1342" s="4">
        <v>8</v>
      </c>
      <c r="H1342" s="8">
        <v>14.04</v>
      </c>
      <c r="I1342" s="4">
        <v>0</v>
      </c>
    </row>
    <row r="1343" spans="1:9" x14ac:dyDescent="0.2">
      <c r="A1343" s="2">
        <v>4</v>
      </c>
      <c r="B1343" s="1" t="s">
        <v>94</v>
      </c>
      <c r="C1343" s="4">
        <v>5</v>
      </c>
      <c r="D1343" s="8">
        <v>7.58</v>
      </c>
      <c r="E1343" s="4">
        <v>0</v>
      </c>
      <c r="F1343" s="8">
        <v>0</v>
      </c>
      <c r="G1343" s="4">
        <v>5</v>
      </c>
      <c r="H1343" s="8">
        <v>8.77</v>
      </c>
      <c r="I1343" s="4">
        <v>0</v>
      </c>
    </row>
    <row r="1344" spans="1:9" x14ac:dyDescent="0.2">
      <c r="A1344" s="2">
        <v>5</v>
      </c>
      <c r="B1344" s="1" t="s">
        <v>91</v>
      </c>
      <c r="C1344" s="4">
        <v>4</v>
      </c>
      <c r="D1344" s="8">
        <v>6.06</v>
      </c>
      <c r="E1344" s="4">
        <v>0</v>
      </c>
      <c r="F1344" s="8">
        <v>0</v>
      </c>
      <c r="G1344" s="4">
        <v>4</v>
      </c>
      <c r="H1344" s="8">
        <v>7.02</v>
      </c>
      <c r="I1344" s="4">
        <v>0</v>
      </c>
    </row>
    <row r="1345" spans="1:9" x14ac:dyDescent="0.2">
      <c r="A1345" s="2">
        <v>6</v>
      </c>
      <c r="B1345" s="1" t="s">
        <v>86</v>
      </c>
      <c r="C1345" s="4">
        <v>3</v>
      </c>
      <c r="D1345" s="8">
        <v>4.55</v>
      </c>
      <c r="E1345" s="4">
        <v>0</v>
      </c>
      <c r="F1345" s="8">
        <v>0</v>
      </c>
      <c r="G1345" s="4">
        <v>3</v>
      </c>
      <c r="H1345" s="8">
        <v>5.26</v>
      </c>
      <c r="I1345" s="4">
        <v>0</v>
      </c>
    </row>
    <row r="1346" spans="1:9" x14ac:dyDescent="0.2">
      <c r="A1346" s="2">
        <v>7</v>
      </c>
      <c r="B1346" s="1" t="s">
        <v>155</v>
      </c>
      <c r="C1346" s="4">
        <v>2</v>
      </c>
      <c r="D1346" s="8">
        <v>3.03</v>
      </c>
      <c r="E1346" s="4">
        <v>0</v>
      </c>
      <c r="F1346" s="8">
        <v>0</v>
      </c>
      <c r="G1346" s="4">
        <v>2</v>
      </c>
      <c r="H1346" s="8">
        <v>3.51</v>
      </c>
      <c r="I1346" s="4">
        <v>0</v>
      </c>
    </row>
    <row r="1347" spans="1:9" x14ac:dyDescent="0.2">
      <c r="A1347" s="2">
        <v>7</v>
      </c>
      <c r="B1347" s="1" t="s">
        <v>139</v>
      </c>
      <c r="C1347" s="4">
        <v>2</v>
      </c>
      <c r="D1347" s="8">
        <v>3.03</v>
      </c>
      <c r="E1347" s="4">
        <v>0</v>
      </c>
      <c r="F1347" s="8">
        <v>0</v>
      </c>
      <c r="G1347" s="4">
        <v>2</v>
      </c>
      <c r="H1347" s="8">
        <v>3.51</v>
      </c>
      <c r="I1347" s="4">
        <v>0</v>
      </c>
    </row>
    <row r="1348" spans="1:9" x14ac:dyDescent="0.2">
      <c r="A1348" s="2">
        <v>7</v>
      </c>
      <c r="B1348" s="1" t="s">
        <v>97</v>
      </c>
      <c r="C1348" s="4">
        <v>2</v>
      </c>
      <c r="D1348" s="8">
        <v>3.03</v>
      </c>
      <c r="E1348" s="4">
        <v>1</v>
      </c>
      <c r="F1348" s="8">
        <v>14.29</v>
      </c>
      <c r="G1348" s="4">
        <v>1</v>
      </c>
      <c r="H1348" s="8">
        <v>1.75</v>
      </c>
      <c r="I1348" s="4">
        <v>0</v>
      </c>
    </row>
    <row r="1349" spans="1:9" x14ac:dyDescent="0.2">
      <c r="A1349" s="2">
        <v>7</v>
      </c>
      <c r="B1349" s="1" t="s">
        <v>99</v>
      </c>
      <c r="C1349" s="4">
        <v>2</v>
      </c>
      <c r="D1349" s="8">
        <v>3.03</v>
      </c>
      <c r="E1349" s="4">
        <v>0</v>
      </c>
      <c r="F1349" s="8">
        <v>0</v>
      </c>
      <c r="G1349" s="4">
        <v>1</v>
      </c>
      <c r="H1349" s="8">
        <v>1.75</v>
      </c>
      <c r="I1349" s="4">
        <v>0</v>
      </c>
    </row>
    <row r="1350" spans="1:9" x14ac:dyDescent="0.2">
      <c r="A1350" s="2">
        <v>7</v>
      </c>
      <c r="B1350" s="1" t="s">
        <v>100</v>
      </c>
      <c r="C1350" s="4">
        <v>2</v>
      </c>
      <c r="D1350" s="8">
        <v>3.03</v>
      </c>
      <c r="E1350" s="4">
        <v>2</v>
      </c>
      <c r="F1350" s="8">
        <v>28.57</v>
      </c>
      <c r="G1350" s="4">
        <v>0</v>
      </c>
      <c r="H1350" s="8">
        <v>0</v>
      </c>
      <c r="I1350" s="4">
        <v>0</v>
      </c>
    </row>
    <row r="1351" spans="1:9" x14ac:dyDescent="0.2">
      <c r="A1351" s="2">
        <v>7</v>
      </c>
      <c r="B1351" s="1" t="s">
        <v>108</v>
      </c>
      <c r="C1351" s="4">
        <v>2</v>
      </c>
      <c r="D1351" s="8">
        <v>3.03</v>
      </c>
      <c r="E1351" s="4">
        <v>0</v>
      </c>
      <c r="F1351" s="8">
        <v>0</v>
      </c>
      <c r="G1351" s="4">
        <v>2</v>
      </c>
      <c r="H1351" s="8">
        <v>3.51</v>
      </c>
      <c r="I1351" s="4">
        <v>0</v>
      </c>
    </row>
    <row r="1352" spans="1:9" x14ac:dyDescent="0.2">
      <c r="A1352" s="2">
        <v>13</v>
      </c>
      <c r="B1352" s="1" t="s">
        <v>112</v>
      </c>
      <c r="C1352" s="4">
        <v>1</v>
      </c>
      <c r="D1352" s="8">
        <v>1.52</v>
      </c>
      <c r="E1352" s="4">
        <v>0</v>
      </c>
      <c r="F1352" s="8">
        <v>0</v>
      </c>
      <c r="G1352" s="4">
        <v>1</v>
      </c>
      <c r="H1352" s="8">
        <v>1.75</v>
      </c>
      <c r="I1352" s="4">
        <v>0</v>
      </c>
    </row>
    <row r="1353" spans="1:9" x14ac:dyDescent="0.2">
      <c r="A1353" s="2">
        <v>13</v>
      </c>
      <c r="B1353" s="1" t="s">
        <v>115</v>
      </c>
      <c r="C1353" s="4">
        <v>1</v>
      </c>
      <c r="D1353" s="8">
        <v>1.52</v>
      </c>
      <c r="E1353" s="4">
        <v>0</v>
      </c>
      <c r="F1353" s="8">
        <v>0</v>
      </c>
      <c r="G1353" s="4">
        <v>1</v>
      </c>
      <c r="H1353" s="8">
        <v>1.75</v>
      </c>
      <c r="I1353" s="4">
        <v>0</v>
      </c>
    </row>
    <row r="1354" spans="1:9" x14ac:dyDescent="0.2">
      <c r="A1354" s="2">
        <v>13</v>
      </c>
      <c r="B1354" s="1" t="s">
        <v>114</v>
      </c>
      <c r="C1354" s="4">
        <v>1</v>
      </c>
      <c r="D1354" s="8">
        <v>1.52</v>
      </c>
      <c r="E1354" s="4">
        <v>0</v>
      </c>
      <c r="F1354" s="8">
        <v>0</v>
      </c>
      <c r="G1354" s="4">
        <v>1</v>
      </c>
      <c r="H1354" s="8">
        <v>1.75</v>
      </c>
      <c r="I1354" s="4">
        <v>0</v>
      </c>
    </row>
    <row r="1355" spans="1:9" x14ac:dyDescent="0.2">
      <c r="A1355" s="2">
        <v>13</v>
      </c>
      <c r="B1355" s="1" t="s">
        <v>145</v>
      </c>
      <c r="C1355" s="4">
        <v>1</v>
      </c>
      <c r="D1355" s="8">
        <v>1.52</v>
      </c>
      <c r="E1355" s="4">
        <v>0</v>
      </c>
      <c r="F1355" s="8">
        <v>0</v>
      </c>
      <c r="G1355" s="4">
        <v>1</v>
      </c>
      <c r="H1355" s="8">
        <v>1.75</v>
      </c>
      <c r="I1355" s="4">
        <v>0</v>
      </c>
    </row>
    <row r="1356" spans="1:9" x14ac:dyDescent="0.2">
      <c r="A1356" s="2">
        <v>13</v>
      </c>
      <c r="B1356" s="1" t="s">
        <v>136</v>
      </c>
      <c r="C1356" s="4">
        <v>1</v>
      </c>
      <c r="D1356" s="8">
        <v>1.52</v>
      </c>
      <c r="E1356" s="4">
        <v>0</v>
      </c>
      <c r="F1356" s="8">
        <v>0</v>
      </c>
      <c r="G1356" s="4">
        <v>1</v>
      </c>
      <c r="H1356" s="8">
        <v>1.75</v>
      </c>
      <c r="I1356" s="4">
        <v>0</v>
      </c>
    </row>
    <row r="1357" spans="1:9" x14ac:dyDescent="0.2">
      <c r="A1357" s="2">
        <v>13</v>
      </c>
      <c r="B1357" s="1" t="s">
        <v>152</v>
      </c>
      <c r="C1357" s="4">
        <v>1</v>
      </c>
      <c r="D1357" s="8">
        <v>1.52</v>
      </c>
      <c r="E1357" s="4">
        <v>0</v>
      </c>
      <c r="F1357" s="8">
        <v>0</v>
      </c>
      <c r="G1357" s="4">
        <v>1</v>
      </c>
      <c r="H1357" s="8">
        <v>1.75</v>
      </c>
      <c r="I1357" s="4">
        <v>0</v>
      </c>
    </row>
    <row r="1358" spans="1:9" x14ac:dyDescent="0.2">
      <c r="A1358" s="2">
        <v>13</v>
      </c>
      <c r="B1358" s="1" t="s">
        <v>103</v>
      </c>
      <c r="C1358" s="4">
        <v>1</v>
      </c>
      <c r="D1358" s="8">
        <v>1.52</v>
      </c>
      <c r="E1358" s="4">
        <v>0</v>
      </c>
      <c r="F1358" s="8">
        <v>0</v>
      </c>
      <c r="G1358" s="4">
        <v>1</v>
      </c>
      <c r="H1358" s="8">
        <v>1.75</v>
      </c>
      <c r="I1358" s="4">
        <v>0</v>
      </c>
    </row>
    <row r="1359" spans="1:9" x14ac:dyDescent="0.2">
      <c r="A1359" s="2">
        <v>13</v>
      </c>
      <c r="B1359" s="1" t="s">
        <v>104</v>
      </c>
      <c r="C1359" s="4">
        <v>1</v>
      </c>
      <c r="D1359" s="8">
        <v>1.52</v>
      </c>
      <c r="E1359" s="4">
        <v>0</v>
      </c>
      <c r="F1359" s="8">
        <v>0</v>
      </c>
      <c r="G1359" s="4">
        <v>1</v>
      </c>
      <c r="H1359" s="8">
        <v>1.75</v>
      </c>
      <c r="I1359" s="4">
        <v>0</v>
      </c>
    </row>
    <row r="1360" spans="1:9" x14ac:dyDescent="0.2">
      <c r="A1360" s="2">
        <v>13</v>
      </c>
      <c r="B1360" s="1" t="s">
        <v>93</v>
      </c>
      <c r="C1360" s="4">
        <v>1</v>
      </c>
      <c r="D1360" s="8">
        <v>1.52</v>
      </c>
      <c r="E1360" s="4">
        <v>1</v>
      </c>
      <c r="F1360" s="8">
        <v>14.29</v>
      </c>
      <c r="G1360" s="4">
        <v>0</v>
      </c>
      <c r="H1360" s="8">
        <v>0</v>
      </c>
      <c r="I1360" s="4">
        <v>0</v>
      </c>
    </row>
    <row r="1361" spans="1:9" x14ac:dyDescent="0.2">
      <c r="A1361" s="2">
        <v>13</v>
      </c>
      <c r="B1361" s="1" t="s">
        <v>95</v>
      </c>
      <c r="C1361" s="4">
        <v>1</v>
      </c>
      <c r="D1361" s="8">
        <v>1.52</v>
      </c>
      <c r="E1361" s="4">
        <v>1</v>
      </c>
      <c r="F1361" s="8">
        <v>14.29</v>
      </c>
      <c r="G1361" s="4">
        <v>0</v>
      </c>
      <c r="H1361" s="8">
        <v>0</v>
      </c>
      <c r="I1361" s="4">
        <v>0</v>
      </c>
    </row>
    <row r="1362" spans="1:9" x14ac:dyDescent="0.2">
      <c r="A1362" s="2">
        <v>13</v>
      </c>
      <c r="B1362" s="1" t="s">
        <v>96</v>
      </c>
      <c r="C1362" s="4">
        <v>1</v>
      </c>
      <c r="D1362" s="8">
        <v>1.52</v>
      </c>
      <c r="E1362" s="4">
        <v>1</v>
      </c>
      <c r="F1362" s="8">
        <v>14.29</v>
      </c>
      <c r="G1362" s="4">
        <v>0</v>
      </c>
      <c r="H1362" s="8">
        <v>0</v>
      </c>
      <c r="I1362" s="4">
        <v>0</v>
      </c>
    </row>
    <row r="1363" spans="1:9" x14ac:dyDescent="0.2">
      <c r="A1363" s="2">
        <v>13</v>
      </c>
      <c r="B1363" s="1" t="s">
        <v>113</v>
      </c>
      <c r="C1363" s="4">
        <v>1</v>
      </c>
      <c r="D1363" s="8">
        <v>1.52</v>
      </c>
      <c r="E1363" s="4">
        <v>0</v>
      </c>
      <c r="F1363" s="8">
        <v>0</v>
      </c>
      <c r="G1363" s="4">
        <v>1</v>
      </c>
      <c r="H1363" s="8">
        <v>1.75</v>
      </c>
      <c r="I1363" s="4">
        <v>0</v>
      </c>
    </row>
    <row r="1364" spans="1:9" x14ac:dyDescent="0.2">
      <c r="A1364" s="2">
        <v>13</v>
      </c>
      <c r="B1364" s="1" t="s">
        <v>98</v>
      </c>
      <c r="C1364" s="4">
        <v>1</v>
      </c>
      <c r="D1364" s="8">
        <v>1.52</v>
      </c>
      <c r="E1364" s="4">
        <v>0</v>
      </c>
      <c r="F1364" s="8">
        <v>0</v>
      </c>
      <c r="G1364" s="4">
        <v>1</v>
      </c>
      <c r="H1364" s="8">
        <v>1.75</v>
      </c>
      <c r="I1364" s="4">
        <v>0</v>
      </c>
    </row>
    <row r="1365" spans="1:9" x14ac:dyDescent="0.2">
      <c r="A1365" s="2">
        <v>13</v>
      </c>
      <c r="B1365" s="1" t="s">
        <v>120</v>
      </c>
      <c r="C1365" s="4">
        <v>1</v>
      </c>
      <c r="D1365" s="8">
        <v>1.52</v>
      </c>
      <c r="E1365" s="4">
        <v>0</v>
      </c>
      <c r="F1365" s="8">
        <v>0</v>
      </c>
      <c r="G1365" s="4">
        <v>1</v>
      </c>
      <c r="H1365" s="8">
        <v>1.75</v>
      </c>
      <c r="I1365" s="4">
        <v>0</v>
      </c>
    </row>
    <row r="1366" spans="1:9" x14ac:dyDescent="0.2">
      <c r="A1366" s="2">
        <v>13</v>
      </c>
      <c r="B1366" s="1" t="s">
        <v>102</v>
      </c>
      <c r="C1366" s="4">
        <v>1</v>
      </c>
      <c r="D1366" s="8">
        <v>1.52</v>
      </c>
      <c r="E1366" s="4">
        <v>0</v>
      </c>
      <c r="F1366" s="8">
        <v>0</v>
      </c>
      <c r="G1366" s="4">
        <v>1</v>
      </c>
      <c r="H1366" s="8">
        <v>1.75</v>
      </c>
      <c r="I1366" s="4">
        <v>0</v>
      </c>
    </row>
    <row r="1367" spans="1:9" x14ac:dyDescent="0.2">
      <c r="A1367" s="2">
        <v>13</v>
      </c>
      <c r="B1367" s="1" t="s">
        <v>123</v>
      </c>
      <c r="C1367" s="4">
        <v>1</v>
      </c>
      <c r="D1367" s="8">
        <v>1.52</v>
      </c>
      <c r="E1367" s="4">
        <v>0</v>
      </c>
      <c r="F1367" s="8">
        <v>0</v>
      </c>
      <c r="G1367" s="4">
        <v>1</v>
      </c>
      <c r="H1367" s="8">
        <v>1.75</v>
      </c>
      <c r="I1367" s="4">
        <v>0</v>
      </c>
    </row>
    <row r="1368" spans="1:9" x14ac:dyDescent="0.2">
      <c r="A1368" s="1"/>
      <c r="C1368" s="4"/>
      <c r="D1368" s="8"/>
      <c r="E1368" s="4"/>
      <c r="F1368" s="8"/>
      <c r="G1368" s="4"/>
      <c r="H1368" s="8"/>
      <c r="I1368" s="4"/>
    </row>
    <row r="1369" spans="1:9" x14ac:dyDescent="0.2">
      <c r="A1369" s="1" t="s">
        <v>53</v>
      </c>
      <c r="C1369" s="4"/>
      <c r="D1369" s="8"/>
      <c r="E1369" s="4"/>
      <c r="F1369" s="8"/>
      <c r="G1369" s="4"/>
      <c r="H1369" s="8"/>
      <c r="I1369" s="4"/>
    </row>
    <row r="1370" spans="1:9" x14ac:dyDescent="0.2">
      <c r="A1370" s="2">
        <v>1</v>
      </c>
      <c r="B1370" s="1" t="s">
        <v>89</v>
      </c>
      <c r="C1370" s="4">
        <v>8</v>
      </c>
      <c r="D1370" s="8">
        <v>17.78</v>
      </c>
      <c r="E1370" s="4">
        <v>7</v>
      </c>
      <c r="F1370" s="8">
        <v>29.17</v>
      </c>
      <c r="G1370" s="4">
        <v>1</v>
      </c>
      <c r="H1370" s="8">
        <v>5</v>
      </c>
      <c r="I1370" s="4">
        <v>0</v>
      </c>
    </row>
    <row r="1371" spans="1:9" x14ac:dyDescent="0.2">
      <c r="A1371" s="2">
        <v>2</v>
      </c>
      <c r="B1371" s="1" t="s">
        <v>85</v>
      </c>
      <c r="C1371" s="4">
        <v>5</v>
      </c>
      <c r="D1371" s="8">
        <v>11.11</v>
      </c>
      <c r="E1371" s="4">
        <v>2</v>
      </c>
      <c r="F1371" s="8">
        <v>8.33</v>
      </c>
      <c r="G1371" s="4">
        <v>3</v>
      </c>
      <c r="H1371" s="8">
        <v>15</v>
      </c>
      <c r="I1371" s="4">
        <v>0</v>
      </c>
    </row>
    <row r="1372" spans="1:9" x14ac:dyDescent="0.2">
      <c r="A1372" s="2">
        <v>3</v>
      </c>
      <c r="B1372" s="1" t="s">
        <v>83</v>
      </c>
      <c r="C1372" s="4">
        <v>4</v>
      </c>
      <c r="D1372" s="8">
        <v>8.89</v>
      </c>
      <c r="E1372" s="4">
        <v>2</v>
      </c>
      <c r="F1372" s="8">
        <v>8.33</v>
      </c>
      <c r="G1372" s="4">
        <v>2</v>
      </c>
      <c r="H1372" s="8">
        <v>10</v>
      </c>
      <c r="I1372" s="4">
        <v>0</v>
      </c>
    </row>
    <row r="1373" spans="1:9" x14ac:dyDescent="0.2">
      <c r="A1373" s="2">
        <v>3</v>
      </c>
      <c r="B1373" s="1" t="s">
        <v>111</v>
      </c>
      <c r="C1373" s="4">
        <v>4</v>
      </c>
      <c r="D1373" s="8">
        <v>8.89</v>
      </c>
      <c r="E1373" s="4">
        <v>3</v>
      </c>
      <c r="F1373" s="8">
        <v>12.5</v>
      </c>
      <c r="G1373" s="4">
        <v>1</v>
      </c>
      <c r="H1373" s="8">
        <v>5</v>
      </c>
      <c r="I1373" s="4">
        <v>0</v>
      </c>
    </row>
    <row r="1374" spans="1:9" x14ac:dyDescent="0.2">
      <c r="A1374" s="2">
        <v>3</v>
      </c>
      <c r="B1374" s="1" t="s">
        <v>96</v>
      </c>
      <c r="C1374" s="4">
        <v>4</v>
      </c>
      <c r="D1374" s="8">
        <v>8.89</v>
      </c>
      <c r="E1374" s="4">
        <v>4</v>
      </c>
      <c r="F1374" s="8">
        <v>16.670000000000002</v>
      </c>
      <c r="G1374" s="4">
        <v>0</v>
      </c>
      <c r="H1374" s="8">
        <v>0</v>
      </c>
      <c r="I1374" s="4">
        <v>0</v>
      </c>
    </row>
    <row r="1375" spans="1:9" x14ac:dyDescent="0.2">
      <c r="A1375" s="2">
        <v>6</v>
      </c>
      <c r="B1375" s="1" t="s">
        <v>84</v>
      </c>
      <c r="C1375" s="4">
        <v>3</v>
      </c>
      <c r="D1375" s="8">
        <v>6.67</v>
      </c>
      <c r="E1375" s="4">
        <v>2</v>
      </c>
      <c r="F1375" s="8">
        <v>8.33</v>
      </c>
      <c r="G1375" s="4">
        <v>1</v>
      </c>
      <c r="H1375" s="8">
        <v>5</v>
      </c>
      <c r="I1375" s="4">
        <v>0</v>
      </c>
    </row>
    <row r="1376" spans="1:9" x14ac:dyDescent="0.2">
      <c r="A1376" s="2">
        <v>6</v>
      </c>
      <c r="B1376" s="1" t="s">
        <v>91</v>
      </c>
      <c r="C1376" s="4">
        <v>3</v>
      </c>
      <c r="D1376" s="8">
        <v>6.67</v>
      </c>
      <c r="E1376" s="4">
        <v>2</v>
      </c>
      <c r="F1376" s="8">
        <v>8.33</v>
      </c>
      <c r="G1376" s="4">
        <v>1</v>
      </c>
      <c r="H1376" s="8">
        <v>5</v>
      </c>
      <c r="I1376" s="4">
        <v>0</v>
      </c>
    </row>
    <row r="1377" spans="1:9" x14ac:dyDescent="0.2">
      <c r="A1377" s="2">
        <v>8</v>
      </c>
      <c r="B1377" s="1" t="s">
        <v>103</v>
      </c>
      <c r="C1377" s="4">
        <v>2</v>
      </c>
      <c r="D1377" s="8">
        <v>4.4400000000000004</v>
      </c>
      <c r="E1377" s="4">
        <v>0</v>
      </c>
      <c r="F1377" s="8">
        <v>0</v>
      </c>
      <c r="G1377" s="4">
        <v>2</v>
      </c>
      <c r="H1377" s="8">
        <v>10</v>
      </c>
      <c r="I1377" s="4">
        <v>0</v>
      </c>
    </row>
    <row r="1378" spans="1:9" x14ac:dyDescent="0.2">
      <c r="A1378" s="2">
        <v>8</v>
      </c>
      <c r="B1378" s="1" t="s">
        <v>97</v>
      </c>
      <c r="C1378" s="4">
        <v>2</v>
      </c>
      <c r="D1378" s="8">
        <v>4.4400000000000004</v>
      </c>
      <c r="E1378" s="4">
        <v>1</v>
      </c>
      <c r="F1378" s="8">
        <v>4.17</v>
      </c>
      <c r="G1378" s="4">
        <v>1</v>
      </c>
      <c r="H1378" s="8">
        <v>5</v>
      </c>
      <c r="I1378" s="4">
        <v>0</v>
      </c>
    </row>
    <row r="1379" spans="1:9" x14ac:dyDescent="0.2">
      <c r="A1379" s="2">
        <v>10</v>
      </c>
      <c r="B1379" s="1" t="s">
        <v>110</v>
      </c>
      <c r="C1379" s="4">
        <v>1</v>
      </c>
      <c r="D1379" s="8">
        <v>2.2200000000000002</v>
      </c>
      <c r="E1379" s="4">
        <v>0</v>
      </c>
      <c r="F1379" s="8">
        <v>0</v>
      </c>
      <c r="G1379" s="4">
        <v>1</v>
      </c>
      <c r="H1379" s="8">
        <v>5</v>
      </c>
      <c r="I1379" s="4">
        <v>0</v>
      </c>
    </row>
    <row r="1380" spans="1:9" x14ac:dyDescent="0.2">
      <c r="A1380" s="2">
        <v>10</v>
      </c>
      <c r="B1380" s="1" t="s">
        <v>143</v>
      </c>
      <c r="C1380" s="4">
        <v>1</v>
      </c>
      <c r="D1380" s="8">
        <v>2.2200000000000002</v>
      </c>
      <c r="E1380" s="4">
        <v>0</v>
      </c>
      <c r="F1380" s="8">
        <v>0</v>
      </c>
      <c r="G1380" s="4">
        <v>1</v>
      </c>
      <c r="H1380" s="8">
        <v>5</v>
      </c>
      <c r="I1380" s="4">
        <v>0</v>
      </c>
    </row>
    <row r="1381" spans="1:9" x14ac:dyDescent="0.2">
      <c r="A1381" s="2">
        <v>10</v>
      </c>
      <c r="B1381" s="1" t="s">
        <v>112</v>
      </c>
      <c r="C1381" s="4">
        <v>1</v>
      </c>
      <c r="D1381" s="8">
        <v>2.2200000000000002</v>
      </c>
      <c r="E1381" s="4">
        <v>0</v>
      </c>
      <c r="F1381" s="8">
        <v>0</v>
      </c>
      <c r="G1381" s="4">
        <v>1</v>
      </c>
      <c r="H1381" s="8">
        <v>5</v>
      </c>
      <c r="I1381" s="4">
        <v>0</v>
      </c>
    </row>
    <row r="1382" spans="1:9" x14ac:dyDescent="0.2">
      <c r="A1382" s="2">
        <v>10</v>
      </c>
      <c r="B1382" s="1" t="s">
        <v>142</v>
      </c>
      <c r="C1382" s="4">
        <v>1</v>
      </c>
      <c r="D1382" s="8">
        <v>2.2200000000000002</v>
      </c>
      <c r="E1382" s="4">
        <v>0</v>
      </c>
      <c r="F1382" s="8">
        <v>0</v>
      </c>
      <c r="G1382" s="4">
        <v>1</v>
      </c>
      <c r="H1382" s="8">
        <v>5</v>
      </c>
      <c r="I1382" s="4">
        <v>0</v>
      </c>
    </row>
    <row r="1383" spans="1:9" x14ac:dyDescent="0.2">
      <c r="A1383" s="2">
        <v>10</v>
      </c>
      <c r="B1383" s="1" t="s">
        <v>88</v>
      </c>
      <c r="C1383" s="4">
        <v>1</v>
      </c>
      <c r="D1383" s="8">
        <v>2.2200000000000002</v>
      </c>
      <c r="E1383" s="4">
        <v>0</v>
      </c>
      <c r="F1383" s="8">
        <v>0</v>
      </c>
      <c r="G1383" s="4">
        <v>1</v>
      </c>
      <c r="H1383" s="8">
        <v>5</v>
      </c>
      <c r="I1383" s="4">
        <v>0</v>
      </c>
    </row>
    <row r="1384" spans="1:9" x14ac:dyDescent="0.2">
      <c r="A1384" s="2">
        <v>10</v>
      </c>
      <c r="B1384" s="1" t="s">
        <v>95</v>
      </c>
      <c r="C1384" s="4">
        <v>1</v>
      </c>
      <c r="D1384" s="8">
        <v>2.2200000000000002</v>
      </c>
      <c r="E1384" s="4">
        <v>1</v>
      </c>
      <c r="F1384" s="8">
        <v>4.17</v>
      </c>
      <c r="G1384" s="4">
        <v>0</v>
      </c>
      <c r="H1384" s="8">
        <v>0</v>
      </c>
      <c r="I1384" s="4">
        <v>0</v>
      </c>
    </row>
    <row r="1385" spans="1:9" x14ac:dyDescent="0.2">
      <c r="A1385" s="2">
        <v>10</v>
      </c>
      <c r="B1385" s="1" t="s">
        <v>113</v>
      </c>
      <c r="C1385" s="4">
        <v>1</v>
      </c>
      <c r="D1385" s="8">
        <v>2.2200000000000002</v>
      </c>
      <c r="E1385" s="4">
        <v>0</v>
      </c>
      <c r="F1385" s="8">
        <v>0</v>
      </c>
      <c r="G1385" s="4">
        <v>1</v>
      </c>
      <c r="H1385" s="8">
        <v>5</v>
      </c>
      <c r="I1385" s="4">
        <v>0</v>
      </c>
    </row>
    <row r="1386" spans="1:9" x14ac:dyDescent="0.2">
      <c r="A1386" s="2">
        <v>10</v>
      </c>
      <c r="B1386" s="1" t="s">
        <v>101</v>
      </c>
      <c r="C1386" s="4">
        <v>1</v>
      </c>
      <c r="D1386" s="8">
        <v>2.2200000000000002</v>
      </c>
      <c r="E1386" s="4">
        <v>0</v>
      </c>
      <c r="F1386" s="8">
        <v>0</v>
      </c>
      <c r="G1386" s="4">
        <v>1</v>
      </c>
      <c r="H1386" s="8">
        <v>5</v>
      </c>
      <c r="I1386" s="4">
        <v>0</v>
      </c>
    </row>
    <row r="1387" spans="1:9" x14ac:dyDescent="0.2">
      <c r="A1387" s="2">
        <v>10</v>
      </c>
      <c r="B1387" s="1" t="s">
        <v>120</v>
      </c>
      <c r="C1387" s="4">
        <v>1</v>
      </c>
      <c r="D1387" s="8">
        <v>2.2200000000000002</v>
      </c>
      <c r="E1387" s="4">
        <v>0</v>
      </c>
      <c r="F1387" s="8">
        <v>0</v>
      </c>
      <c r="G1387" s="4">
        <v>0</v>
      </c>
      <c r="H1387" s="8">
        <v>0</v>
      </c>
      <c r="I1387" s="4">
        <v>1</v>
      </c>
    </row>
    <row r="1388" spans="1:9" x14ac:dyDescent="0.2">
      <c r="A1388" s="2">
        <v>10</v>
      </c>
      <c r="B1388" s="1" t="s">
        <v>102</v>
      </c>
      <c r="C1388" s="4">
        <v>1</v>
      </c>
      <c r="D1388" s="8">
        <v>2.2200000000000002</v>
      </c>
      <c r="E1388" s="4">
        <v>0</v>
      </c>
      <c r="F1388" s="8">
        <v>0</v>
      </c>
      <c r="G1388" s="4">
        <v>1</v>
      </c>
      <c r="H1388" s="8">
        <v>5</v>
      </c>
      <c r="I1388" s="4">
        <v>0</v>
      </c>
    </row>
    <row r="1389" spans="1:9" x14ac:dyDescent="0.2">
      <c r="A1389" s="1"/>
      <c r="C1389" s="4"/>
      <c r="D1389" s="8"/>
      <c r="E1389" s="4"/>
      <c r="F1389" s="8"/>
      <c r="G1389" s="4"/>
      <c r="H1389" s="8"/>
      <c r="I1389" s="4"/>
    </row>
    <row r="1390" spans="1:9" x14ac:dyDescent="0.2">
      <c r="A1390" s="1" t="s">
        <v>54</v>
      </c>
      <c r="C1390" s="4"/>
      <c r="D1390" s="8"/>
      <c r="E1390" s="4"/>
      <c r="F1390" s="8"/>
      <c r="G1390" s="4"/>
      <c r="H1390" s="8"/>
      <c r="I1390" s="4"/>
    </row>
    <row r="1391" spans="1:9" x14ac:dyDescent="0.2">
      <c r="A1391" s="2">
        <v>1</v>
      </c>
      <c r="B1391" s="1" t="s">
        <v>83</v>
      </c>
      <c r="C1391" s="4">
        <v>2</v>
      </c>
      <c r="D1391" s="8">
        <v>22.22</v>
      </c>
      <c r="E1391" s="4">
        <v>0</v>
      </c>
      <c r="F1391" s="8">
        <v>0</v>
      </c>
      <c r="G1391" s="4">
        <v>2</v>
      </c>
      <c r="H1391" s="8">
        <v>40</v>
      </c>
      <c r="I1391" s="4">
        <v>0</v>
      </c>
    </row>
    <row r="1392" spans="1:9" x14ac:dyDescent="0.2">
      <c r="A1392" s="2">
        <v>1</v>
      </c>
      <c r="B1392" s="1" t="s">
        <v>91</v>
      </c>
      <c r="C1392" s="4">
        <v>2</v>
      </c>
      <c r="D1392" s="8">
        <v>22.22</v>
      </c>
      <c r="E1392" s="4">
        <v>0</v>
      </c>
      <c r="F1392" s="8">
        <v>0</v>
      </c>
      <c r="G1392" s="4">
        <v>2</v>
      </c>
      <c r="H1392" s="8">
        <v>40</v>
      </c>
      <c r="I1392" s="4">
        <v>0</v>
      </c>
    </row>
    <row r="1393" spans="1:9" x14ac:dyDescent="0.2">
      <c r="A1393" s="2">
        <v>1</v>
      </c>
      <c r="B1393" s="1" t="s">
        <v>96</v>
      </c>
      <c r="C1393" s="4">
        <v>2</v>
      </c>
      <c r="D1393" s="8">
        <v>22.22</v>
      </c>
      <c r="E1393" s="4">
        <v>2</v>
      </c>
      <c r="F1393" s="8">
        <v>66.67</v>
      </c>
      <c r="G1393" s="4">
        <v>0</v>
      </c>
      <c r="H1393" s="8">
        <v>0</v>
      </c>
      <c r="I1393" s="4">
        <v>0</v>
      </c>
    </row>
    <row r="1394" spans="1:9" x14ac:dyDescent="0.2">
      <c r="A1394" s="2">
        <v>4</v>
      </c>
      <c r="B1394" s="1" t="s">
        <v>112</v>
      </c>
      <c r="C1394" s="4">
        <v>1</v>
      </c>
      <c r="D1394" s="8">
        <v>11.11</v>
      </c>
      <c r="E1394" s="4">
        <v>0</v>
      </c>
      <c r="F1394" s="8">
        <v>0</v>
      </c>
      <c r="G1394" s="4">
        <v>1</v>
      </c>
      <c r="H1394" s="8">
        <v>20</v>
      </c>
      <c r="I1394" s="4">
        <v>0</v>
      </c>
    </row>
    <row r="1395" spans="1:9" x14ac:dyDescent="0.2">
      <c r="A1395" s="2">
        <v>4</v>
      </c>
      <c r="B1395" s="1" t="s">
        <v>90</v>
      </c>
      <c r="C1395" s="4">
        <v>1</v>
      </c>
      <c r="D1395" s="8">
        <v>11.11</v>
      </c>
      <c r="E1395" s="4">
        <v>1</v>
      </c>
      <c r="F1395" s="8">
        <v>33.33</v>
      </c>
      <c r="G1395" s="4">
        <v>0</v>
      </c>
      <c r="H1395" s="8">
        <v>0</v>
      </c>
      <c r="I1395" s="4">
        <v>0</v>
      </c>
    </row>
    <row r="1396" spans="1:9" x14ac:dyDescent="0.2">
      <c r="A1396" s="2">
        <v>4</v>
      </c>
      <c r="B1396" s="1" t="s">
        <v>101</v>
      </c>
      <c r="C1396" s="4">
        <v>1</v>
      </c>
      <c r="D1396" s="8">
        <v>11.11</v>
      </c>
      <c r="E1396" s="4">
        <v>0</v>
      </c>
      <c r="F1396" s="8">
        <v>0</v>
      </c>
      <c r="G1396" s="4">
        <v>0</v>
      </c>
      <c r="H1396" s="8">
        <v>0</v>
      </c>
      <c r="I1396" s="4">
        <v>0</v>
      </c>
    </row>
    <row r="1397" spans="1:9" x14ac:dyDescent="0.2">
      <c r="A1397" s="1"/>
      <c r="C1397" s="4"/>
      <c r="D1397" s="8"/>
      <c r="E1397" s="4"/>
      <c r="F1397" s="8"/>
      <c r="G1397" s="4"/>
      <c r="H1397" s="8"/>
      <c r="I1397" s="4"/>
    </row>
    <row r="1398" spans="1:9" x14ac:dyDescent="0.2">
      <c r="A1398" s="1" t="s">
        <v>55</v>
      </c>
      <c r="C1398" s="4"/>
      <c r="D1398" s="8"/>
      <c r="E1398" s="4"/>
      <c r="F1398" s="8"/>
      <c r="G1398" s="4"/>
      <c r="H1398" s="8"/>
      <c r="I1398" s="4"/>
    </row>
    <row r="1399" spans="1:9" x14ac:dyDescent="0.2">
      <c r="A1399" s="2">
        <v>1</v>
      </c>
      <c r="B1399" s="1" t="s">
        <v>83</v>
      </c>
      <c r="C1399" s="4">
        <v>1</v>
      </c>
      <c r="D1399" s="8">
        <v>33.33</v>
      </c>
      <c r="E1399" s="4">
        <v>0</v>
      </c>
      <c r="F1399" s="8"/>
      <c r="G1399" s="4">
        <v>1</v>
      </c>
      <c r="H1399" s="8">
        <v>33.33</v>
      </c>
      <c r="I1399" s="4">
        <v>0</v>
      </c>
    </row>
    <row r="1400" spans="1:9" x14ac:dyDescent="0.2">
      <c r="A1400" s="2">
        <v>1</v>
      </c>
      <c r="B1400" s="1" t="s">
        <v>84</v>
      </c>
      <c r="C1400" s="4">
        <v>1</v>
      </c>
      <c r="D1400" s="8">
        <v>33.33</v>
      </c>
      <c r="E1400" s="4">
        <v>0</v>
      </c>
      <c r="F1400" s="8"/>
      <c r="G1400" s="4">
        <v>1</v>
      </c>
      <c r="H1400" s="8">
        <v>33.33</v>
      </c>
      <c r="I1400" s="4">
        <v>0</v>
      </c>
    </row>
    <row r="1401" spans="1:9" x14ac:dyDescent="0.2">
      <c r="A1401" s="2">
        <v>1</v>
      </c>
      <c r="B1401" s="1" t="s">
        <v>118</v>
      </c>
      <c r="C1401" s="4">
        <v>1</v>
      </c>
      <c r="D1401" s="8">
        <v>33.33</v>
      </c>
      <c r="E1401" s="4">
        <v>0</v>
      </c>
      <c r="F1401" s="8"/>
      <c r="G1401" s="4">
        <v>1</v>
      </c>
      <c r="H1401" s="8">
        <v>33.33</v>
      </c>
      <c r="I1401" s="4">
        <v>0</v>
      </c>
    </row>
    <row r="1402" spans="1:9" x14ac:dyDescent="0.2">
      <c r="A1402" s="1"/>
      <c r="C1402" s="4"/>
      <c r="D1402" s="8"/>
      <c r="E1402" s="4"/>
      <c r="F1402" s="8"/>
      <c r="G1402" s="4"/>
      <c r="H1402" s="8"/>
      <c r="I1402" s="4"/>
    </row>
    <row r="1403" spans="1:9" x14ac:dyDescent="0.2">
      <c r="A1403" s="1" t="s">
        <v>56</v>
      </c>
      <c r="C1403" s="4"/>
      <c r="D1403" s="8"/>
      <c r="E1403" s="4"/>
      <c r="F1403" s="8"/>
      <c r="G1403" s="4"/>
      <c r="H1403" s="8"/>
      <c r="I1403" s="4"/>
    </row>
    <row r="1404" spans="1:9" x14ac:dyDescent="0.2">
      <c r="A1404" s="2">
        <v>1</v>
      </c>
      <c r="B1404" s="1" t="s">
        <v>96</v>
      </c>
      <c r="C1404" s="4">
        <v>7</v>
      </c>
      <c r="D1404" s="8">
        <v>15.56</v>
      </c>
      <c r="E1404" s="4">
        <v>5</v>
      </c>
      <c r="F1404" s="8">
        <v>35.71</v>
      </c>
      <c r="G1404" s="4">
        <v>2</v>
      </c>
      <c r="H1404" s="8">
        <v>6.45</v>
      </c>
      <c r="I1404" s="4">
        <v>0</v>
      </c>
    </row>
    <row r="1405" spans="1:9" x14ac:dyDescent="0.2">
      <c r="A1405" s="2">
        <v>2</v>
      </c>
      <c r="B1405" s="1" t="s">
        <v>83</v>
      </c>
      <c r="C1405" s="4">
        <v>6</v>
      </c>
      <c r="D1405" s="8">
        <v>13.33</v>
      </c>
      <c r="E1405" s="4">
        <v>1</v>
      </c>
      <c r="F1405" s="8">
        <v>7.14</v>
      </c>
      <c r="G1405" s="4">
        <v>5</v>
      </c>
      <c r="H1405" s="8">
        <v>16.13</v>
      </c>
      <c r="I1405" s="4">
        <v>0</v>
      </c>
    </row>
    <row r="1406" spans="1:9" x14ac:dyDescent="0.2">
      <c r="A1406" s="2">
        <v>3</v>
      </c>
      <c r="B1406" s="1" t="s">
        <v>91</v>
      </c>
      <c r="C1406" s="4">
        <v>5</v>
      </c>
      <c r="D1406" s="8">
        <v>11.11</v>
      </c>
      <c r="E1406" s="4">
        <v>3</v>
      </c>
      <c r="F1406" s="8">
        <v>21.43</v>
      </c>
      <c r="G1406" s="4">
        <v>2</v>
      </c>
      <c r="H1406" s="8">
        <v>6.45</v>
      </c>
      <c r="I1406" s="4">
        <v>0</v>
      </c>
    </row>
    <row r="1407" spans="1:9" x14ac:dyDescent="0.2">
      <c r="A1407" s="2">
        <v>4</v>
      </c>
      <c r="B1407" s="1" t="s">
        <v>84</v>
      </c>
      <c r="C1407" s="4">
        <v>4</v>
      </c>
      <c r="D1407" s="8">
        <v>8.89</v>
      </c>
      <c r="E1407" s="4">
        <v>0</v>
      </c>
      <c r="F1407" s="8">
        <v>0</v>
      </c>
      <c r="G1407" s="4">
        <v>4</v>
      </c>
      <c r="H1407" s="8">
        <v>12.9</v>
      </c>
      <c r="I1407" s="4">
        <v>0</v>
      </c>
    </row>
    <row r="1408" spans="1:9" x14ac:dyDescent="0.2">
      <c r="A1408" s="2">
        <v>4</v>
      </c>
      <c r="B1408" s="1" t="s">
        <v>85</v>
      </c>
      <c r="C1408" s="4">
        <v>4</v>
      </c>
      <c r="D1408" s="8">
        <v>8.89</v>
      </c>
      <c r="E1408" s="4">
        <v>0</v>
      </c>
      <c r="F1408" s="8">
        <v>0</v>
      </c>
      <c r="G1408" s="4">
        <v>4</v>
      </c>
      <c r="H1408" s="8">
        <v>12.9</v>
      </c>
      <c r="I1408" s="4">
        <v>0</v>
      </c>
    </row>
    <row r="1409" spans="1:9" x14ac:dyDescent="0.2">
      <c r="A1409" s="2">
        <v>6</v>
      </c>
      <c r="B1409" s="1" t="s">
        <v>102</v>
      </c>
      <c r="C1409" s="4">
        <v>3</v>
      </c>
      <c r="D1409" s="8">
        <v>6.67</v>
      </c>
      <c r="E1409" s="4">
        <v>2</v>
      </c>
      <c r="F1409" s="8">
        <v>14.29</v>
      </c>
      <c r="G1409" s="4">
        <v>1</v>
      </c>
      <c r="H1409" s="8">
        <v>3.23</v>
      </c>
      <c r="I1409" s="4">
        <v>0</v>
      </c>
    </row>
    <row r="1410" spans="1:9" x14ac:dyDescent="0.2">
      <c r="A1410" s="2">
        <v>7</v>
      </c>
      <c r="B1410" s="1" t="s">
        <v>112</v>
      </c>
      <c r="C1410" s="4">
        <v>2</v>
      </c>
      <c r="D1410" s="8">
        <v>4.4400000000000004</v>
      </c>
      <c r="E1410" s="4">
        <v>0</v>
      </c>
      <c r="F1410" s="8">
        <v>0</v>
      </c>
      <c r="G1410" s="4">
        <v>2</v>
      </c>
      <c r="H1410" s="8">
        <v>6.45</v>
      </c>
      <c r="I1410" s="4">
        <v>0</v>
      </c>
    </row>
    <row r="1411" spans="1:9" x14ac:dyDescent="0.2">
      <c r="A1411" s="2">
        <v>7</v>
      </c>
      <c r="B1411" s="1" t="s">
        <v>155</v>
      </c>
      <c r="C1411" s="4">
        <v>2</v>
      </c>
      <c r="D1411" s="8">
        <v>4.4400000000000004</v>
      </c>
      <c r="E1411" s="4">
        <v>0</v>
      </c>
      <c r="F1411" s="8">
        <v>0</v>
      </c>
      <c r="G1411" s="4">
        <v>2</v>
      </c>
      <c r="H1411" s="8">
        <v>6.45</v>
      </c>
      <c r="I1411" s="4">
        <v>0</v>
      </c>
    </row>
    <row r="1412" spans="1:9" x14ac:dyDescent="0.2">
      <c r="A1412" s="2">
        <v>9</v>
      </c>
      <c r="B1412" s="1" t="s">
        <v>132</v>
      </c>
      <c r="C1412" s="4">
        <v>1</v>
      </c>
      <c r="D1412" s="8">
        <v>2.2200000000000002</v>
      </c>
      <c r="E1412" s="4">
        <v>0</v>
      </c>
      <c r="F1412" s="8">
        <v>0</v>
      </c>
      <c r="G1412" s="4">
        <v>1</v>
      </c>
      <c r="H1412" s="8">
        <v>3.23</v>
      </c>
      <c r="I1412" s="4">
        <v>0</v>
      </c>
    </row>
    <row r="1413" spans="1:9" x14ac:dyDescent="0.2">
      <c r="A1413" s="2">
        <v>9</v>
      </c>
      <c r="B1413" s="1" t="s">
        <v>111</v>
      </c>
      <c r="C1413" s="4">
        <v>1</v>
      </c>
      <c r="D1413" s="8">
        <v>2.2200000000000002</v>
      </c>
      <c r="E1413" s="4">
        <v>0</v>
      </c>
      <c r="F1413" s="8">
        <v>0</v>
      </c>
      <c r="G1413" s="4">
        <v>1</v>
      </c>
      <c r="H1413" s="8">
        <v>3.23</v>
      </c>
      <c r="I1413" s="4">
        <v>0</v>
      </c>
    </row>
    <row r="1414" spans="1:9" x14ac:dyDescent="0.2">
      <c r="A1414" s="2">
        <v>9</v>
      </c>
      <c r="B1414" s="1" t="s">
        <v>122</v>
      </c>
      <c r="C1414" s="4">
        <v>1</v>
      </c>
      <c r="D1414" s="8">
        <v>2.2200000000000002</v>
      </c>
      <c r="E1414" s="4">
        <v>0</v>
      </c>
      <c r="F1414" s="8">
        <v>0</v>
      </c>
      <c r="G1414" s="4">
        <v>1</v>
      </c>
      <c r="H1414" s="8">
        <v>3.23</v>
      </c>
      <c r="I1414" s="4">
        <v>0</v>
      </c>
    </row>
    <row r="1415" spans="1:9" x14ac:dyDescent="0.2">
      <c r="A1415" s="2">
        <v>9</v>
      </c>
      <c r="B1415" s="1" t="s">
        <v>89</v>
      </c>
      <c r="C1415" s="4">
        <v>1</v>
      </c>
      <c r="D1415" s="8">
        <v>2.2200000000000002</v>
      </c>
      <c r="E1415" s="4">
        <v>0</v>
      </c>
      <c r="F1415" s="8">
        <v>0</v>
      </c>
      <c r="G1415" s="4">
        <v>1</v>
      </c>
      <c r="H1415" s="8">
        <v>3.23</v>
      </c>
      <c r="I1415" s="4">
        <v>0</v>
      </c>
    </row>
    <row r="1416" spans="1:9" x14ac:dyDescent="0.2">
      <c r="A1416" s="2">
        <v>9</v>
      </c>
      <c r="B1416" s="1" t="s">
        <v>90</v>
      </c>
      <c r="C1416" s="4">
        <v>1</v>
      </c>
      <c r="D1416" s="8">
        <v>2.2200000000000002</v>
      </c>
      <c r="E1416" s="4">
        <v>1</v>
      </c>
      <c r="F1416" s="8">
        <v>7.14</v>
      </c>
      <c r="G1416" s="4">
        <v>0</v>
      </c>
      <c r="H1416" s="8">
        <v>0</v>
      </c>
      <c r="I1416" s="4">
        <v>0</v>
      </c>
    </row>
    <row r="1417" spans="1:9" x14ac:dyDescent="0.2">
      <c r="A1417" s="2">
        <v>9</v>
      </c>
      <c r="B1417" s="1" t="s">
        <v>92</v>
      </c>
      <c r="C1417" s="4">
        <v>1</v>
      </c>
      <c r="D1417" s="8">
        <v>2.2200000000000002</v>
      </c>
      <c r="E1417" s="4">
        <v>0</v>
      </c>
      <c r="F1417" s="8">
        <v>0</v>
      </c>
      <c r="G1417" s="4">
        <v>1</v>
      </c>
      <c r="H1417" s="8">
        <v>3.23</v>
      </c>
      <c r="I1417" s="4">
        <v>0</v>
      </c>
    </row>
    <row r="1418" spans="1:9" x14ac:dyDescent="0.2">
      <c r="A1418" s="2">
        <v>9</v>
      </c>
      <c r="B1418" s="1" t="s">
        <v>94</v>
      </c>
      <c r="C1418" s="4">
        <v>1</v>
      </c>
      <c r="D1418" s="8">
        <v>2.2200000000000002</v>
      </c>
      <c r="E1418" s="4">
        <v>0</v>
      </c>
      <c r="F1418" s="8">
        <v>0</v>
      </c>
      <c r="G1418" s="4">
        <v>1</v>
      </c>
      <c r="H1418" s="8">
        <v>3.23</v>
      </c>
      <c r="I1418" s="4">
        <v>0</v>
      </c>
    </row>
    <row r="1419" spans="1:9" x14ac:dyDescent="0.2">
      <c r="A1419" s="2">
        <v>9</v>
      </c>
      <c r="B1419" s="1" t="s">
        <v>113</v>
      </c>
      <c r="C1419" s="4">
        <v>1</v>
      </c>
      <c r="D1419" s="8">
        <v>2.2200000000000002</v>
      </c>
      <c r="E1419" s="4">
        <v>1</v>
      </c>
      <c r="F1419" s="8">
        <v>7.14</v>
      </c>
      <c r="G1419" s="4">
        <v>0</v>
      </c>
      <c r="H1419" s="8">
        <v>0</v>
      </c>
      <c r="I1419" s="4">
        <v>0</v>
      </c>
    </row>
    <row r="1420" spans="1:9" x14ac:dyDescent="0.2">
      <c r="A1420" s="2">
        <v>9</v>
      </c>
      <c r="B1420" s="1" t="s">
        <v>97</v>
      </c>
      <c r="C1420" s="4">
        <v>1</v>
      </c>
      <c r="D1420" s="8">
        <v>2.2200000000000002</v>
      </c>
      <c r="E1420" s="4">
        <v>0</v>
      </c>
      <c r="F1420" s="8">
        <v>0</v>
      </c>
      <c r="G1420" s="4">
        <v>1</v>
      </c>
      <c r="H1420" s="8">
        <v>3.23</v>
      </c>
      <c r="I1420" s="4">
        <v>0</v>
      </c>
    </row>
    <row r="1421" spans="1:9" x14ac:dyDescent="0.2">
      <c r="A1421" s="2">
        <v>9</v>
      </c>
      <c r="B1421" s="1" t="s">
        <v>100</v>
      </c>
      <c r="C1421" s="4">
        <v>1</v>
      </c>
      <c r="D1421" s="8">
        <v>2.2200000000000002</v>
      </c>
      <c r="E1421" s="4">
        <v>1</v>
      </c>
      <c r="F1421" s="8">
        <v>7.14</v>
      </c>
      <c r="G1421" s="4">
        <v>0</v>
      </c>
      <c r="H1421" s="8">
        <v>0</v>
      </c>
      <c r="I1421" s="4">
        <v>0</v>
      </c>
    </row>
    <row r="1422" spans="1:9" x14ac:dyDescent="0.2">
      <c r="A1422" s="2">
        <v>9</v>
      </c>
      <c r="B1422" s="1" t="s">
        <v>120</v>
      </c>
      <c r="C1422" s="4">
        <v>1</v>
      </c>
      <c r="D1422" s="8">
        <v>2.2200000000000002</v>
      </c>
      <c r="E1422" s="4">
        <v>0</v>
      </c>
      <c r="F1422" s="8">
        <v>0</v>
      </c>
      <c r="G1422" s="4">
        <v>1</v>
      </c>
      <c r="H1422" s="8">
        <v>3.23</v>
      </c>
      <c r="I1422" s="4">
        <v>0</v>
      </c>
    </row>
    <row r="1423" spans="1:9" x14ac:dyDescent="0.2">
      <c r="A1423" s="2">
        <v>9</v>
      </c>
      <c r="B1423" s="1" t="s">
        <v>108</v>
      </c>
      <c r="C1423" s="4">
        <v>1</v>
      </c>
      <c r="D1423" s="8">
        <v>2.2200000000000002</v>
      </c>
      <c r="E1423" s="4">
        <v>0</v>
      </c>
      <c r="F1423" s="8">
        <v>0</v>
      </c>
      <c r="G1423" s="4">
        <v>1</v>
      </c>
      <c r="H1423" s="8">
        <v>3.23</v>
      </c>
      <c r="I1423" s="4">
        <v>0</v>
      </c>
    </row>
    <row r="1424" spans="1:9" x14ac:dyDescent="0.2">
      <c r="A1424" s="1"/>
      <c r="C1424" s="4"/>
      <c r="D1424" s="8"/>
      <c r="E1424" s="4"/>
      <c r="F1424" s="8"/>
      <c r="G1424" s="4"/>
      <c r="H1424" s="8"/>
      <c r="I1424" s="4"/>
    </row>
    <row r="1425" spans="1:9" x14ac:dyDescent="0.2">
      <c r="A1425" s="1" t="s">
        <v>57</v>
      </c>
      <c r="C1425" s="4"/>
      <c r="D1425" s="8"/>
      <c r="E1425" s="4"/>
      <c r="F1425" s="8"/>
      <c r="G1425" s="4"/>
      <c r="H1425" s="8"/>
      <c r="I1425" s="4"/>
    </row>
    <row r="1426" spans="1:9" x14ac:dyDescent="0.2">
      <c r="A1426" s="2">
        <v>1</v>
      </c>
      <c r="B1426" s="1" t="s">
        <v>83</v>
      </c>
      <c r="C1426" s="4">
        <v>2</v>
      </c>
      <c r="D1426" s="8">
        <v>16.670000000000002</v>
      </c>
      <c r="E1426" s="4">
        <v>0</v>
      </c>
      <c r="F1426" s="8">
        <v>0</v>
      </c>
      <c r="G1426" s="4">
        <v>2</v>
      </c>
      <c r="H1426" s="8">
        <v>25</v>
      </c>
      <c r="I1426" s="4">
        <v>0</v>
      </c>
    </row>
    <row r="1427" spans="1:9" x14ac:dyDescent="0.2">
      <c r="A1427" s="2">
        <v>1</v>
      </c>
      <c r="B1427" s="1" t="s">
        <v>84</v>
      </c>
      <c r="C1427" s="4">
        <v>2</v>
      </c>
      <c r="D1427" s="8">
        <v>16.670000000000002</v>
      </c>
      <c r="E1427" s="4">
        <v>0</v>
      </c>
      <c r="F1427" s="8">
        <v>0</v>
      </c>
      <c r="G1427" s="4">
        <v>2</v>
      </c>
      <c r="H1427" s="8">
        <v>25</v>
      </c>
      <c r="I1427" s="4">
        <v>0</v>
      </c>
    </row>
    <row r="1428" spans="1:9" x14ac:dyDescent="0.2">
      <c r="A1428" s="2">
        <v>1</v>
      </c>
      <c r="B1428" s="1" t="s">
        <v>91</v>
      </c>
      <c r="C1428" s="4">
        <v>2</v>
      </c>
      <c r="D1428" s="8">
        <v>16.670000000000002</v>
      </c>
      <c r="E1428" s="4">
        <v>2</v>
      </c>
      <c r="F1428" s="8">
        <v>66.67</v>
      </c>
      <c r="G1428" s="4">
        <v>0</v>
      </c>
      <c r="H1428" s="8">
        <v>0</v>
      </c>
      <c r="I1428" s="4">
        <v>0</v>
      </c>
    </row>
    <row r="1429" spans="1:9" x14ac:dyDescent="0.2">
      <c r="A1429" s="2">
        <v>4</v>
      </c>
      <c r="B1429" s="1" t="s">
        <v>110</v>
      </c>
      <c r="C1429" s="4">
        <v>1</v>
      </c>
      <c r="D1429" s="8">
        <v>8.33</v>
      </c>
      <c r="E1429" s="4">
        <v>0</v>
      </c>
      <c r="F1429" s="8">
        <v>0</v>
      </c>
      <c r="G1429" s="4">
        <v>1</v>
      </c>
      <c r="H1429" s="8">
        <v>12.5</v>
      </c>
      <c r="I1429" s="4">
        <v>0</v>
      </c>
    </row>
    <row r="1430" spans="1:9" x14ac:dyDescent="0.2">
      <c r="A1430" s="2">
        <v>4</v>
      </c>
      <c r="B1430" s="1" t="s">
        <v>119</v>
      </c>
      <c r="C1430" s="4">
        <v>1</v>
      </c>
      <c r="D1430" s="8">
        <v>8.33</v>
      </c>
      <c r="E1430" s="4">
        <v>0</v>
      </c>
      <c r="F1430" s="8">
        <v>0</v>
      </c>
      <c r="G1430" s="4">
        <v>1</v>
      </c>
      <c r="H1430" s="8">
        <v>12.5</v>
      </c>
      <c r="I1430" s="4">
        <v>0</v>
      </c>
    </row>
    <row r="1431" spans="1:9" x14ac:dyDescent="0.2">
      <c r="A1431" s="2">
        <v>4</v>
      </c>
      <c r="B1431" s="1" t="s">
        <v>103</v>
      </c>
      <c r="C1431" s="4">
        <v>1</v>
      </c>
      <c r="D1431" s="8">
        <v>8.33</v>
      </c>
      <c r="E1431" s="4">
        <v>0</v>
      </c>
      <c r="F1431" s="8">
        <v>0</v>
      </c>
      <c r="G1431" s="4">
        <v>1</v>
      </c>
      <c r="H1431" s="8">
        <v>12.5</v>
      </c>
      <c r="I1431" s="4">
        <v>0</v>
      </c>
    </row>
    <row r="1432" spans="1:9" x14ac:dyDescent="0.2">
      <c r="A1432" s="2">
        <v>4</v>
      </c>
      <c r="B1432" s="1" t="s">
        <v>93</v>
      </c>
      <c r="C1432" s="4">
        <v>1</v>
      </c>
      <c r="D1432" s="8">
        <v>8.33</v>
      </c>
      <c r="E1432" s="4">
        <v>0</v>
      </c>
      <c r="F1432" s="8">
        <v>0</v>
      </c>
      <c r="G1432" s="4">
        <v>1</v>
      </c>
      <c r="H1432" s="8">
        <v>12.5</v>
      </c>
      <c r="I1432" s="4">
        <v>0</v>
      </c>
    </row>
    <row r="1433" spans="1:9" x14ac:dyDescent="0.2">
      <c r="A1433" s="2">
        <v>4</v>
      </c>
      <c r="B1433" s="1" t="s">
        <v>99</v>
      </c>
      <c r="C1433" s="4">
        <v>1</v>
      </c>
      <c r="D1433" s="8">
        <v>8.33</v>
      </c>
      <c r="E1433" s="4">
        <v>0</v>
      </c>
      <c r="F1433" s="8">
        <v>0</v>
      </c>
      <c r="G1433" s="4">
        <v>0</v>
      </c>
      <c r="H1433" s="8">
        <v>0</v>
      </c>
      <c r="I1433" s="4">
        <v>0</v>
      </c>
    </row>
    <row r="1434" spans="1:9" x14ac:dyDescent="0.2">
      <c r="A1434" s="2">
        <v>4</v>
      </c>
      <c r="B1434" s="1" t="s">
        <v>100</v>
      </c>
      <c r="C1434" s="4">
        <v>1</v>
      </c>
      <c r="D1434" s="8">
        <v>8.33</v>
      </c>
      <c r="E1434" s="4">
        <v>1</v>
      </c>
      <c r="F1434" s="8">
        <v>33.33</v>
      </c>
      <c r="G1434" s="4">
        <v>0</v>
      </c>
      <c r="H1434" s="8">
        <v>0</v>
      </c>
      <c r="I1434" s="4">
        <v>0</v>
      </c>
    </row>
    <row r="1435" spans="1:9" x14ac:dyDescent="0.2">
      <c r="A1435" s="1"/>
      <c r="C1435" s="4"/>
      <c r="D1435" s="8"/>
      <c r="E1435" s="4"/>
      <c r="F1435" s="8"/>
      <c r="G1435" s="4"/>
      <c r="H1435" s="8"/>
      <c r="I1435" s="4"/>
    </row>
    <row r="1436" spans="1:9" x14ac:dyDescent="0.2">
      <c r="A1436" s="1" t="s">
        <v>58</v>
      </c>
      <c r="C1436" s="4"/>
      <c r="D1436" s="8"/>
      <c r="E1436" s="4"/>
      <c r="F1436" s="8"/>
      <c r="G1436" s="4"/>
      <c r="H1436" s="8"/>
      <c r="I1436" s="4"/>
    </row>
    <row r="1437" spans="1:9" x14ac:dyDescent="0.2">
      <c r="A1437" s="2">
        <v>1</v>
      </c>
      <c r="B1437" s="1" t="s">
        <v>97</v>
      </c>
      <c r="C1437" s="4">
        <v>23</v>
      </c>
      <c r="D1437" s="8">
        <v>12.37</v>
      </c>
      <c r="E1437" s="4">
        <v>23</v>
      </c>
      <c r="F1437" s="8">
        <v>24.47</v>
      </c>
      <c r="G1437" s="4">
        <v>0</v>
      </c>
      <c r="H1437" s="8">
        <v>0</v>
      </c>
      <c r="I1437" s="4">
        <v>0</v>
      </c>
    </row>
    <row r="1438" spans="1:9" x14ac:dyDescent="0.2">
      <c r="A1438" s="2">
        <v>2</v>
      </c>
      <c r="B1438" s="1" t="s">
        <v>83</v>
      </c>
      <c r="C1438" s="4">
        <v>21</v>
      </c>
      <c r="D1438" s="8">
        <v>11.29</v>
      </c>
      <c r="E1438" s="4">
        <v>4</v>
      </c>
      <c r="F1438" s="8">
        <v>4.26</v>
      </c>
      <c r="G1438" s="4">
        <v>17</v>
      </c>
      <c r="H1438" s="8">
        <v>20</v>
      </c>
      <c r="I1438" s="4">
        <v>0</v>
      </c>
    </row>
    <row r="1439" spans="1:9" x14ac:dyDescent="0.2">
      <c r="A1439" s="2">
        <v>3</v>
      </c>
      <c r="B1439" s="1" t="s">
        <v>85</v>
      </c>
      <c r="C1439" s="4">
        <v>13</v>
      </c>
      <c r="D1439" s="8">
        <v>6.99</v>
      </c>
      <c r="E1439" s="4">
        <v>4</v>
      </c>
      <c r="F1439" s="8">
        <v>4.26</v>
      </c>
      <c r="G1439" s="4">
        <v>9</v>
      </c>
      <c r="H1439" s="8">
        <v>10.59</v>
      </c>
      <c r="I1439" s="4">
        <v>0</v>
      </c>
    </row>
    <row r="1440" spans="1:9" x14ac:dyDescent="0.2">
      <c r="A1440" s="2">
        <v>3</v>
      </c>
      <c r="B1440" s="1" t="s">
        <v>96</v>
      </c>
      <c r="C1440" s="4">
        <v>13</v>
      </c>
      <c r="D1440" s="8">
        <v>6.99</v>
      </c>
      <c r="E1440" s="4">
        <v>12</v>
      </c>
      <c r="F1440" s="8">
        <v>12.77</v>
      </c>
      <c r="G1440" s="4">
        <v>1</v>
      </c>
      <c r="H1440" s="8">
        <v>1.18</v>
      </c>
      <c r="I1440" s="4">
        <v>0</v>
      </c>
    </row>
    <row r="1441" spans="1:9" x14ac:dyDescent="0.2">
      <c r="A1441" s="2">
        <v>5</v>
      </c>
      <c r="B1441" s="1" t="s">
        <v>89</v>
      </c>
      <c r="C1441" s="4">
        <v>10</v>
      </c>
      <c r="D1441" s="8">
        <v>5.38</v>
      </c>
      <c r="E1441" s="4">
        <v>9</v>
      </c>
      <c r="F1441" s="8">
        <v>9.57</v>
      </c>
      <c r="G1441" s="4">
        <v>1</v>
      </c>
      <c r="H1441" s="8">
        <v>1.18</v>
      </c>
      <c r="I1441" s="4">
        <v>0</v>
      </c>
    </row>
    <row r="1442" spans="1:9" x14ac:dyDescent="0.2">
      <c r="A1442" s="2">
        <v>6</v>
      </c>
      <c r="B1442" s="1" t="s">
        <v>84</v>
      </c>
      <c r="C1442" s="4">
        <v>9</v>
      </c>
      <c r="D1442" s="8">
        <v>4.84</v>
      </c>
      <c r="E1442" s="4">
        <v>2</v>
      </c>
      <c r="F1442" s="8">
        <v>2.13</v>
      </c>
      <c r="G1442" s="4">
        <v>7</v>
      </c>
      <c r="H1442" s="8">
        <v>8.24</v>
      </c>
      <c r="I1442" s="4">
        <v>0</v>
      </c>
    </row>
    <row r="1443" spans="1:9" x14ac:dyDescent="0.2">
      <c r="A1443" s="2">
        <v>7</v>
      </c>
      <c r="B1443" s="1" t="s">
        <v>91</v>
      </c>
      <c r="C1443" s="4">
        <v>7</v>
      </c>
      <c r="D1443" s="8">
        <v>3.76</v>
      </c>
      <c r="E1443" s="4">
        <v>4</v>
      </c>
      <c r="F1443" s="8">
        <v>4.26</v>
      </c>
      <c r="G1443" s="4">
        <v>3</v>
      </c>
      <c r="H1443" s="8">
        <v>3.53</v>
      </c>
      <c r="I1443" s="4">
        <v>0</v>
      </c>
    </row>
    <row r="1444" spans="1:9" x14ac:dyDescent="0.2">
      <c r="A1444" s="2">
        <v>8</v>
      </c>
      <c r="B1444" s="1" t="s">
        <v>114</v>
      </c>
      <c r="C1444" s="4">
        <v>6</v>
      </c>
      <c r="D1444" s="8">
        <v>3.23</v>
      </c>
      <c r="E1444" s="4">
        <v>2</v>
      </c>
      <c r="F1444" s="8">
        <v>2.13</v>
      </c>
      <c r="G1444" s="4">
        <v>4</v>
      </c>
      <c r="H1444" s="8">
        <v>4.71</v>
      </c>
      <c r="I1444" s="4">
        <v>0</v>
      </c>
    </row>
    <row r="1445" spans="1:9" x14ac:dyDescent="0.2">
      <c r="A1445" s="2">
        <v>9</v>
      </c>
      <c r="B1445" s="1" t="s">
        <v>115</v>
      </c>
      <c r="C1445" s="4">
        <v>5</v>
      </c>
      <c r="D1445" s="8">
        <v>2.69</v>
      </c>
      <c r="E1445" s="4">
        <v>3</v>
      </c>
      <c r="F1445" s="8">
        <v>3.19</v>
      </c>
      <c r="G1445" s="4">
        <v>2</v>
      </c>
      <c r="H1445" s="8">
        <v>2.35</v>
      </c>
      <c r="I1445" s="4">
        <v>0</v>
      </c>
    </row>
    <row r="1446" spans="1:9" x14ac:dyDescent="0.2">
      <c r="A1446" s="2">
        <v>9</v>
      </c>
      <c r="B1446" s="1" t="s">
        <v>107</v>
      </c>
      <c r="C1446" s="4">
        <v>5</v>
      </c>
      <c r="D1446" s="8">
        <v>2.69</v>
      </c>
      <c r="E1446" s="4">
        <v>1</v>
      </c>
      <c r="F1446" s="8">
        <v>1.06</v>
      </c>
      <c r="G1446" s="4">
        <v>4</v>
      </c>
      <c r="H1446" s="8">
        <v>4.71</v>
      </c>
      <c r="I1446" s="4">
        <v>0</v>
      </c>
    </row>
    <row r="1447" spans="1:9" x14ac:dyDescent="0.2">
      <c r="A1447" s="2">
        <v>9</v>
      </c>
      <c r="B1447" s="1" t="s">
        <v>90</v>
      </c>
      <c r="C1447" s="4">
        <v>5</v>
      </c>
      <c r="D1447" s="8">
        <v>2.69</v>
      </c>
      <c r="E1447" s="4">
        <v>2</v>
      </c>
      <c r="F1447" s="8">
        <v>2.13</v>
      </c>
      <c r="G1447" s="4">
        <v>3</v>
      </c>
      <c r="H1447" s="8">
        <v>3.53</v>
      </c>
      <c r="I1447" s="4">
        <v>0</v>
      </c>
    </row>
    <row r="1448" spans="1:9" x14ac:dyDescent="0.2">
      <c r="A1448" s="2">
        <v>9</v>
      </c>
      <c r="B1448" s="1" t="s">
        <v>99</v>
      </c>
      <c r="C1448" s="4">
        <v>5</v>
      </c>
      <c r="D1448" s="8">
        <v>2.69</v>
      </c>
      <c r="E1448" s="4">
        <v>3</v>
      </c>
      <c r="F1448" s="8">
        <v>3.19</v>
      </c>
      <c r="G1448" s="4">
        <v>0</v>
      </c>
      <c r="H1448" s="8">
        <v>0</v>
      </c>
      <c r="I1448" s="4">
        <v>0</v>
      </c>
    </row>
    <row r="1449" spans="1:9" x14ac:dyDescent="0.2">
      <c r="A1449" s="2">
        <v>9</v>
      </c>
      <c r="B1449" s="1" t="s">
        <v>100</v>
      </c>
      <c r="C1449" s="4">
        <v>5</v>
      </c>
      <c r="D1449" s="8">
        <v>2.69</v>
      </c>
      <c r="E1449" s="4">
        <v>5</v>
      </c>
      <c r="F1449" s="8">
        <v>5.32</v>
      </c>
      <c r="G1449" s="4">
        <v>0</v>
      </c>
      <c r="H1449" s="8">
        <v>0</v>
      </c>
      <c r="I1449" s="4">
        <v>0</v>
      </c>
    </row>
    <row r="1450" spans="1:9" x14ac:dyDescent="0.2">
      <c r="A1450" s="2">
        <v>9</v>
      </c>
      <c r="B1450" s="1" t="s">
        <v>102</v>
      </c>
      <c r="C1450" s="4">
        <v>5</v>
      </c>
      <c r="D1450" s="8">
        <v>2.69</v>
      </c>
      <c r="E1450" s="4">
        <v>5</v>
      </c>
      <c r="F1450" s="8">
        <v>5.32</v>
      </c>
      <c r="G1450" s="4">
        <v>0</v>
      </c>
      <c r="H1450" s="8">
        <v>0</v>
      </c>
      <c r="I1450" s="4">
        <v>0</v>
      </c>
    </row>
    <row r="1451" spans="1:9" x14ac:dyDescent="0.2">
      <c r="A1451" s="2">
        <v>15</v>
      </c>
      <c r="B1451" s="1" t="s">
        <v>94</v>
      </c>
      <c r="C1451" s="4">
        <v>4</v>
      </c>
      <c r="D1451" s="8">
        <v>2.15</v>
      </c>
      <c r="E1451" s="4">
        <v>1</v>
      </c>
      <c r="F1451" s="8">
        <v>1.06</v>
      </c>
      <c r="G1451" s="4">
        <v>3</v>
      </c>
      <c r="H1451" s="8">
        <v>3.53</v>
      </c>
      <c r="I1451" s="4">
        <v>0</v>
      </c>
    </row>
    <row r="1452" spans="1:9" x14ac:dyDescent="0.2">
      <c r="A1452" s="2">
        <v>15</v>
      </c>
      <c r="B1452" s="1" t="s">
        <v>101</v>
      </c>
      <c r="C1452" s="4">
        <v>4</v>
      </c>
      <c r="D1452" s="8">
        <v>2.15</v>
      </c>
      <c r="E1452" s="4">
        <v>0</v>
      </c>
      <c r="F1452" s="8">
        <v>0</v>
      </c>
      <c r="G1452" s="4">
        <v>3</v>
      </c>
      <c r="H1452" s="8">
        <v>3.53</v>
      </c>
      <c r="I1452" s="4">
        <v>0</v>
      </c>
    </row>
    <row r="1453" spans="1:9" x14ac:dyDescent="0.2">
      <c r="A1453" s="2">
        <v>17</v>
      </c>
      <c r="B1453" s="1" t="s">
        <v>110</v>
      </c>
      <c r="C1453" s="4">
        <v>3</v>
      </c>
      <c r="D1453" s="8">
        <v>1.61</v>
      </c>
      <c r="E1453" s="4">
        <v>2</v>
      </c>
      <c r="F1453" s="8">
        <v>2.13</v>
      </c>
      <c r="G1453" s="4">
        <v>1</v>
      </c>
      <c r="H1453" s="8">
        <v>1.18</v>
      </c>
      <c r="I1453" s="4">
        <v>0</v>
      </c>
    </row>
    <row r="1454" spans="1:9" x14ac:dyDescent="0.2">
      <c r="A1454" s="2">
        <v>17</v>
      </c>
      <c r="B1454" s="1" t="s">
        <v>86</v>
      </c>
      <c r="C1454" s="4">
        <v>3</v>
      </c>
      <c r="D1454" s="8">
        <v>1.61</v>
      </c>
      <c r="E1454" s="4">
        <v>0</v>
      </c>
      <c r="F1454" s="8">
        <v>0</v>
      </c>
      <c r="G1454" s="4">
        <v>3</v>
      </c>
      <c r="H1454" s="8">
        <v>3.53</v>
      </c>
      <c r="I1454" s="4">
        <v>0</v>
      </c>
    </row>
    <row r="1455" spans="1:9" x14ac:dyDescent="0.2">
      <c r="A1455" s="2">
        <v>17</v>
      </c>
      <c r="B1455" s="1" t="s">
        <v>88</v>
      </c>
      <c r="C1455" s="4">
        <v>3</v>
      </c>
      <c r="D1455" s="8">
        <v>1.61</v>
      </c>
      <c r="E1455" s="4">
        <v>3</v>
      </c>
      <c r="F1455" s="8">
        <v>3.19</v>
      </c>
      <c r="G1455" s="4">
        <v>0</v>
      </c>
      <c r="H1455" s="8">
        <v>0</v>
      </c>
      <c r="I1455" s="4">
        <v>0</v>
      </c>
    </row>
    <row r="1456" spans="1:9" x14ac:dyDescent="0.2">
      <c r="A1456" s="2">
        <v>17</v>
      </c>
      <c r="B1456" s="1" t="s">
        <v>129</v>
      </c>
      <c r="C1456" s="4">
        <v>3</v>
      </c>
      <c r="D1456" s="8">
        <v>1.61</v>
      </c>
      <c r="E1456" s="4">
        <v>0</v>
      </c>
      <c r="F1456" s="8">
        <v>0</v>
      </c>
      <c r="G1456" s="4">
        <v>2</v>
      </c>
      <c r="H1456" s="8">
        <v>2.35</v>
      </c>
      <c r="I1456" s="4">
        <v>0</v>
      </c>
    </row>
    <row r="1457" spans="1:9" x14ac:dyDescent="0.2">
      <c r="A1457" s="2">
        <v>17</v>
      </c>
      <c r="B1457" s="1" t="s">
        <v>108</v>
      </c>
      <c r="C1457" s="4">
        <v>3</v>
      </c>
      <c r="D1457" s="8">
        <v>1.61</v>
      </c>
      <c r="E1457" s="4">
        <v>0</v>
      </c>
      <c r="F1457" s="8">
        <v>0</v>
      </c>
      <c r="G1457" s="4">
        <v>3</v>
      </c>
      <c r="H1457" s="8">
        <v>3.53</v>
      </c>
      <c r="I1457" s="4">
        <v>0</v>
      </c>
    </row>
    <row r="1458" spans="1:9" x14ac:dyDescent="0.2">
      <c r="A1458" s="1"/>
      <c r="C1458" s="4"/>
      <c r="D1458" s="8"/>
      <c r="E1458" s="4"/>
      <c r="F1458" s="8"/>
      <c r="G1458" s="4"/>
      <c r="H1458" s="8"/>
      <c r="I1458" s="4"/>
    </row>
    <row r="1459" spans="1:9" x14ac:dyDescent="0.2">
      <c r="A1459" s="1" t="s">
        <v>59</v>
      </c>
      <c r="C1459" s="4"/>
      <c r="D1459" s="8"/>
      <c r="E1459" s="4"/>
      <c r="F1459" s="8"/>
      <c r="G1459" s="4"/>
      <c r="H1459" s="8"/>
      <c r="I1459" s="4"/>
    </row>
    <row r="1460" spans="1:9" x14ac:dyDescent="0.2">
      <c r="A1460" s="2">
        <v>1</v>
      </c>
      <c r="B1460" s="1" t="s">
        <v>84</v>
      </c>
      <c r="C1460" s="4">
        <v>9</v>
      </c>
      <c r="D1460" s="8">
        <v>30</v>
      </c>
      <c r="E1460" s="4">
        <v>7</v>
      </c>
      <c r="F1460" s="8">
        <v>53.85</v>
      </c>
      <c r="G1460" s="4">
        <v>2</v>
      </c>
      <c r="H1460" s="8">
        <v>12.5</v>
      </c>
      <c r="I1460" s="4">
        <v>0</v>
      </c>
    </row>
    <row r="1461" spans="1:9" x14ac:dyDescent="0.2">
      <c r="A1461" s="2">
        <v>2</v>
      </c>
      <c r="B1461" s="1" t="s">
        <v>90</v>
      </c>
      <c r="C1461" s="4">
        <v>3</v>
      </c>
      <c r="D1461" s="8">
        <v>10</v>
      </c>
      <c r="E1461" s="4">
        <v>1</v>
      </c>
      <c r="F1461" s="8">
        <v>7.69</v>
      </c>
      <c r="G1461" s="4">
        <v>2</v>
      </c>
      <c r="H1461" s="8">
        <v>12.5</v>
      </c>
      <c r="I1461" s="4">
        <v>0</v>
      </c>
    </row>
    <row r="1462" spans="1:9" x14ac:dyDescent="0.2">
      <c r="A1462" s="2">
        <v>2</v>
      </c>
      <c r="B1462" s="1" t="s">
        <v>91</v>
      </c>
      <c r="C1462" s="4">
        <v>3</v>
      </c>
      <c r="D1462" s="8">
        <v>10</v>
      </c>
      <c r="E1462" s="4">
        <v>1</v>
      </c>
      <c r="F1462" s="8">
        <v>7.69</v>
      </c>
      <c r="G1462" s="4">
        <v>2</v>
      </c>
      <c r="H1462" s="8">
        <v>12.5</v>
      </c>
      <c r="I1462" s="4">
        <v>0</v>
      </c>
    </row>
    <row r="1463" spans="1:9" x14ac:dyDescent="0.2">
      <c r="A1463" s="2">
        <v>4</v>
      </c>
      <c r="B1463" s="1" t="s">
        <v>83</v>
      </c>
      <c r="C1463" s="4">
        <v>2</v>
      </c>
      <c r="D1463" s="8">
        <v>6.67</v>
      </c>
      <c r="E1463" s="4">
        <v>0</v>
      </c>
      <c r="F1463" s="8">
        <v>0</v>
      </c>
      <c r="G1463" s="4">
        <v>2</v>
      </c>
      <c r="H1463" s="8">
        <v>12.5</v>
      </c>
      <c r="I1463" s="4">
        <v>0</v>
      </c>
    </row>
    <row r="1464" spans="1:9" x14ac:dyDescent="0.2">
      <c r="A1464" s="2">
        <v>4</v>
      </c>
      <c r="B1464" s="1" t="s">
        <v>85</v>
      </c>
      <c r="C1464" s="4">
        <v>2</v>
      </c>
      <c r="D1464" s="8">
        <v>6.67</v>
      </c>
      <c r="E1464" s="4">
        <v>0</v>
      </c>
      <c r="F1464" s="8">
        <v>0</v>
      </c>
      <c r="G1464" s="4">
        <v>2</v>
      </c>
      <c r="H1464" s="8">
        <v>12.5</v>
      </c>
      <c r="I1464" s="4">
        <v>0</v>
      </c>
    </row>
    <row r="1465" spans="1:9" x14ac:dyDescent="0.2">
      <c r="A1465" s="2">
        <v>4</v>
      </c>
      <c r="B1465" s="1" t="s">
        <v>112</v>
      </c>
      <c r="C1465" s="4">
        <v>2</v>
      </c>
      <c r="D1465" s="8">
        <v>6.67</v>
      </c>
      <c r="E1465" s="4">
        <v>0</v>
      </c>
      <c r="F1465" s="8">
        <v>0</v>
      </c>
      <c r="G1465" s="4">
        <v>2</v>
      </c>
      <c r="H1465" s="8">
        <v>12.5</v>
      </c>
      <c r="I1465" s="4">
        <v>0</v>
      </c>
    </row>
    <row r="1466" spans="1:9" x14ac:dyDescent="0.2">
      <c r="A1466" s="2">
        <v>7</v>
      </c>
      <c r="B1466" s="1" t="s">
        <v>130</v>
      </c>
      <c r="C1466" s="4">
        <v>1</v>
      </c>
      <c r="D1466" s="8">
        <v>3.33</v>
      </c>
      <c r="E1466" s="4">
        <v>1</v>
      </c>
      <c r="F1466" s="8">
        <v>7.69</v>
      </c>
      <c r="G1466" s="4">
        <v>0</v>
      </c>
      <c r="H1466" s="8">
        <v>0</v>
      </c>
      <c r="I1466" s="4">
        <v>0</v>
      </c>
    </row>
    <row r="1467" spans="1:9" x14ac:dyDescent="0.2">
      <c r="A1467" s="2">
        <v>7</v>
      </c>
      <c r="B1467" s="1" t="s">
        <v>114</v>
      </c>
      <c r="C1467" s="4">
        <v>1</v>
      </c>
      <c r="D1467" s="8">
        <v>3.33</v>
      </c>
      <c r="E1467" s="4">
        <v>0</v>
      </c>
      <c r="F1467" s="8">
        <v>0</v>
      </c>
      <c r="G1467" s="4">
        <v>1</v>
      </c>
      <c r="H1467" s="8">
        <v>6.25</v>
      </c>
      <c r="I1467" s="4">
        <v>0</v>
      </c>
    </row>
    <row r="1468" spans="1:9" x14ac:dyDescent="0.2">
      <c r="A1468" s="2">
        <v>7</v>
      </c>
      <c r="B1468" s="1" t="s">
        <v>119</v>
      </c>
      <c r="C1468" s="4">
        <v>1</v>
      </c>
      <c r="D1468" s="8">
        <v>3.33</v>
      </c>
      <c r="E1468" s="4">
        <v>0</v>
      </c>
      <c r="F1468" s="8">
        <v>0</v>
      </c>
      <c r="G1468" s="4">
        <v>1</v>
      </c>
      <c r="H1468" s="8">
        <v>6.25</v>
      </c>
      <c r="I1468" s="4">
        <v>0</v>
      </c>
    </row>
    <row r="1469" spans="1:9" x14ac:dyDescent="0.2">
      <c r="A1469" s="2">
        <v>7</v>
      </c>
      <c r="B1469" s="1" t="s">
        <v>86</v>
      </c>
      <c r="C1469" s="4">
        <v>1</v>
      </c>
      <c r="D1469" s="8">
        <v>3.33</v>
      </c>
      <c r="E1469" s="4">
        <v>0</v>
      </c>
      <c r="F1469" s="8">
        <v>0</v>
      </c>
      <c r="G1469" s="4">
        <v>1</v>
      </c>
      <c r="H1469" s="8">
        <v>6.25</v>
      </c>
      <c r="I1469" s="4">
        <v>0</v>
      </c>
    </row>
    <row r="1470" spans="1:9" x14ac:dyDescent="0.2">
      <c r="A1470" s="2">
        <v>7</v>
      </c>
      <c r="B1470" s="1" t="s">
        <v>97</v>
      </c>
      <c r="C1470" s="4">
        <v>1</v>
      </c>
      <c r="D1470" s="8">
        <v>3.33</v>
      </c>
      <c r="E1470" s="4">
        <v>1</v>
      </c>
      <c r="F1470" s="8">
        <v>7.69</v>
      </c>
      <c r="G1470" s="4">
        <v>0</v>
      </c>
      <c r="H1470" s="8">
        <v>0</v>
      </c>
      <c r="I1470" s="4">
        <v>0</v>
      </c>
    </row>
    <row r="1471" spans="1:9" x14ac:dyDescent="0.2">
      <c r="A1471" s="2">
        <v>7</v>
      </c>
      <c r="B1471" s="1" t="s">
        <v>100</v>
      </c>
      <c r="C1471" s="4">
        <v>1</v>
      </c>
      <c r="D1471" s="8">
        <v>3.33</v>
      </c>
      <c r="E1471" s="4">
        <v>1</v>
      </c>
      <c r="F1471" s="8">
        <v>7.69</v>
      </c>
      <c r="G1471" s="4">
        <v>0</v>
      </c>
      <c r="H1471" s="8">
        <v>0</v>
      </c>
      <c r="I1471" s="4">
        <v>0</v>
      </c>
    </row>
    <row r="1472" spans="1:9" x14ac:dyDescent="0.2">
      <c r="A1472" s="2">
        <v>7</v>
      </c>
      <c r="B1472" s="1" t="s">
        <v>101</v>
      </c>
      <c r="C1472" s="4">
        <v>1</v>
      </c>
      <c r="D1472" s="8">
        <v>3.33</v>
      </c>
      <c r="E1472" s="4">
        <v>0</v>
      </c>
      <c r="F1472" s="8">
        <v>0</v>
      </c>
      <c r="G1472" s="4">
        <v>0</v>
      </c>
      <c r="H1472" s="8">
        <v>0</v>
      </c>
      <c r="I1472" s="4">
        <v>0</v>
      </c>
    </row>
    <row r="1473" spans="1:9" x14ac:dyDescent="0.2">
      <c r="A1473" s="2">
        <v>7</v>
      </c>
      <c r="B1473" s="1" t="s">
        <v>146</v>
      </c>
      <c r="C1473" s="4">
        <v>1</v>
      </c>
      <c r="D1473" s="8">
        <v>3.33</v>
      </c>
      <c r="E1473" s="4">
        <v>1</v>
      </c>
      <c r="F1473" s="8">
        <v>7.69</v>
      </c>
      <c r="G1473" s="4">
        <v>0</v>
      </c>
      <c r="H1473" s="8">
        <v>0</v>
      </c>
      <c r="I1473" s="4">
        <v>0</v>
      </c>
    </row>
    <row r="1474" spans="1:9" x14ac:dyDescent="0.2">
      <c r="A1474" s="2">
        <v>7</v>
      </c>
      <c r="B1474" s="1" t="s">
        <v>108</v>
      </c>
      <c r="C1474" s="4">
        <v>1</v>
      </c>
      <c r="D1474" s="8">
        <v>3.33</v>
      </c>
      <c r="E1474" s="4">
        <v>0</v>
      </c>
      <c r="F1474" s="8">
        <v>0</v>
      </c>
      <c r="G1474" s="4">
        <v>1</v>
      </c>
      <c r="H1474" s="8">
        <v>6.25</v>
      </c>
      <c r="I1474" s="4">
        <v>0</v>
      </c>
    </row>
    <row r="1475" spans="1:9" x14ac:dyDescent="0.2">
      <c r="A1475" s="1"/>
      <c r="C1475" s="4"/>
      <c r="D1475" s="8"/>
      <c r="E1475" s="4"/>
      <c r="F1475" s="8"/>
      <c r="G1475" s="4"/>
      <c r="H1475" s="8"/>
      <c r="I147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EBFA-3871-44A5-8E18-67C73B1438D3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49</v>
      </c>
      <c r="D6" s="8">
        <v>23.67</v>
      </c>
      <c r="E6" s="12">
        <v>28</v>
      </c>
      <c r="F6" s="8">
        <v>20.14</v>
      </c>
      <c r="G6" s="12">
        <v>21</v>
      </c>
      <c r="H6" s="8">
        <v>33.869999999999997</v>
      </c>
      <c r="I6" s="12">
        <v>0</v>
      </c>
    </row>
    <row r="7" spans="2:9" ht="15" customHeight="1" x14ac:dyDescent="0.2">
      <c r="B7" t="s">
        <v>62</v>
      </c>
      <c r="C7" s="12">
        <v>19</v>
      </c>
      <c r="D7" s="8">
        <v>9.18</v>
      </c>
      <c r="E7" s="12">
        <v>9</v>
      </c>
      <c r="F7" s="8">
        <v>6.47</v>
      </c>
      <c r="G7" s="12">
        <v>10</v>
      </c>
      <c r="H7" s="8">
        <v>16.13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0.48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66</v>
      </c>
      <c r="C11" s="12">
        <v>56</v>
      </c>
      <c r="D11" s="8">
        <v>27.05</v>
      </c>
      <c r="E11" s="12">
        <v>40</v>
      </c>
      <c r="F11" s="8">
        <v>28.78</v>
      </c>
      <c r="G11" s="12">
        <v>16</v>
      </c>
      <c r="H11" s="8">
        <v>25.81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</v>
      </c>
      <c r="D13" s="8">
        <v>0.48</v>
      </c>
      <c r="E13" s="12">
        <v>0</v>
      </c>
      <c r="F13" s="8">
        <v>0</v>
      </c>
      <c r="G13" s="12">
        <v>1</v>
      </c>
      <c r="H13" s="8">
        <v>1.61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2.42</v>
      </c>
      <c r="E14" s="12">
        <v>3</v>
      </c>
      <c r="F14" s="8">
        <v>2.16</v>
      </c>
      <c r="G14" s="12">
        <v>2</v>
      </c>
      <c r="H14" s="8">
        <v>3.23</v>
      </c>
      <c r="I14" s="12">
        <v>0</v>
      </c>
    </row>
    <row r="15" spans="2:9" ht="15" customHeight="1" x14ac:dyDescent="0.2">
      <c r="B15" t="s">
        <v>70</v>
      </c>
      <c r="C15" s="12">
        <v>32</v>
      </c>
      <c r="D15" s="8">
        <v>15.46</v>
      </c>
      <c r="E15" s="12">
        <v>26</v>
      </c>
      <c r="F15" s="8">
        <v>18.71</v>
      </c>
      <c r="G15" s="12">
        <v>6</v>
      </c>
      <c r="H15" s="8">
        <v>9.68</v>
      </c>
      <c r="I15" s="12">
        <v>0</v>
      </c>
    </row>
    <row r="16" spans="2:9" ht="15" customHeight="1" x14ac:dyDescent="0.2">
      <c r="B16" t="s">
        <v>71</v>
      </c>
      <c r="C16" s="12">
        <v>24</v>
      </c>
      <c r="D16" s="8">
        <v>11.59</v>
      </c>
      <c r="E16" s="12">
        <v>23</v>
      </c>
      <c r="F16" s="8">
        <v>16.55</v>
      </c>
      <c r="G16" s="12">
        <v>1</v>
      </c>
      <c r="H16" s="8">
        <v>1.61</v>
      </c>
      <c r="I16" s="12">
        <v>0</v>
      </c>
    </row>
    <row r="17" spans="2:9" ht="15" customHeight="1" x14ac:dyDescent="0.2">
      <c r="B17" t="s">
        <v>72</v>
      </c>
      <c r="C17" s="12">
        <v>6</v>
      </c>
      <c r="D17" s="8">
        <v>2.9</v>
      </c>
      <c r="E17" s="12">
        <v>3</v>
      </c>
      <c r="F17" s="8">
        <v>2.16</v>
      </c>
      <c r="G17" s="12">
        <v>1</v>
      </c>
      <c r="H17" s="8">
        <v>1.61</v>
      </c>
      <c r="I17" s="12">
        <v>0</v>
      </c>
    </row>
    <row r="18" spans="2:9" ht="15" customHeight="1" x14ac:dyDescent="0.2">
      <c r="B18" t="s">
        <v>73</v>
      </c>
      <c r="C18" s="12">
        <v>10</v>
      </c>
      <c r="D18" s="8">
        <v>4.83</v>
      </c>
      <c r="E18" s="12">
        <v>4</v>
      </c>
      <c r="F18" s="8">
        <v>2.88</v>
      </c>
      <c r="G18" s="12">
        <v>3</v>
      </c>
      <c r="H18" s="8">
        <v>4.84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1.93</v>
      </c>
      <c r="E19" s="12">
        <v>3</v>
      </c>
      <c r="F19" s="8">
        <v>2.16</v>
      </c>
      <c r="G19" s="12">
        <v>1</v>
      </c>
      <c r="H19" s="8">
        <v>1.61</v>
      </c>
      <c r="I19" s="12">
        <v>0</v>
      </c>
    </row>
    <row r="20" spans="2:9" ht="15" customHeight="1" x14ac:dyDescent="0.2">
      <c r="B20" s="9" t="s">
        <v>337</v>
      </c>
      <c r="C20" s="12">
        <f>SUM(LTBL_07405[総数／事業所数])</f>
        <v>207</v>
      </c>
      <c r="E20" s="12">
        <f>SUBTOTAL(109,LTBL_07405[個人／事業所数])</f>
        <v>139</v>
      </c>
      <c r="G20" s="12">
        <f>SUBTOTAL(109,LTBL_07405[法人／事業所数])</f>
        <v>62</v>
      </c>
      <c r="I20" s="12">
        <f>SUBTOTAL(109,LTBL_07405[法人以外の団体／事業所数])</f>
        <v>1</v>
      </c>
    </row>
    <row r="21" spans="2:9" ht="15" customHeight="1" x14ac:dyDescent="0.2">
      <c r="E21" s="11">
        <f>LTBL_07405[[#Totals],[個人／事業所数]]/LTBL_07405[[#Totals],[総数／事業所数]]</f>
        <v>0.67149758454106279</v>
      </c>
      <c r="G21" s="11">
        <f>LTBL_07405[[#Totals],[法人／事業所数]]/LTBL_07405[[#Totals],[総数／事業所数]]</f>
        <v>0.29951690821256038</v>
      </c>
      <c r="I21" s="11">
        <f>LTBL_07405[[#Totals],[法人以外の団体／事業所数]]/LTBL_07405[[#Totals],[総数／事業所数]]</f>
        <v>4.830917874396135E-3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25</v>
      </c>
      <c r="D24" s="8">
        <v>12.08</v>
      </c>
      <c r="E24" s="12">
        <v>21</v>
      </c>
      <c r="F24" s="8">
        <v>15.11</v>
      </c>
      <c r="G24" s="12">
        <v>4</v>
      </c>
      <c r="H24" s="8">
        <v>6.45</v>
      </c>
      <c r="I24" s="12">
        <v>0</v>
      </c>
    </row>
    <row r="25" spans="2:9" ht="15" customHeight="1" x14ac:dyDescent="0.2">
      <c r="B25" t="s">
        <v>97</v>
      </c>
      <c r="C25" s="12">
        <v>23</v>
      </c>
      <c r="D25" s="8">
        <v>11.11</v>
      </c>
      <c r="E25" s="12">
        <v>23</v>
      </c>
      <c r="F25" s="8">
        <v>16.55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84</v>
      </c>
      <c r="C26" s="12">
        <v>22</v>
      </c>
      <c r="D26" s="8">
        <v>10.63</v>
      </c>
      <c r="E26" s="12">
        <v>16</v>
      </c>
      <c r="F26" s="8">
        <v>11.51</v>
      </c>
      <c r="G26" s="12">
        <v>6</v>
      </c>
      <c r="H26" s="8">
        <v>9.68</v>
      </c>
      <c r="I26" s="12">
        <v>0</v>
      </c>
    </row>
    <row r="27" spans="2:9" ht="15" customHeight="1" x14ac:dyDescent="0.2">
      <c r="B27" t="s">
        <v>83</v>
      </c>
      <c r="C27" s="12">
        <v>19</v>
      </c>
      <c r="D27" s="8">
        <v>9.18</v>
      </c>
      <c r="E27" s="12">
        <v>10</v>
      </c>
      <c r="F27" s="8">
        <v>7.19</v>
      </c>
      <c r="G27" s="12">
        <v>9</v>
      </c>
      <c r="H27" s="8">
        <v>14.52</v>
      </c>
      <c r="I27" s="12">
        <v>0</v>
      </c>
    </row>
    <row r="28" spans="2:9" ht="15" customHeight="1" x14ac:dyDescent="0.2">
      <c r="B28" t="s">
        <v>91</v>
      </c>
      <c r="C28" s="12">
        <v>19</v>
      </c>
      <c r="D28" s="8">
        <v>9.18</v>
      </c>
      <c r="E28" s="12">
        <v>12</v>
      </c>
      <c r="F28" s="8">
        <v>8.6300000000000008</v>
      </c>
      <c r="G28" s="12">
        <v>7</v>
      </c>
      <c r="H28" s="8">
        <v>11.29</v>
      </c>
      <c r="I28" s="12">
        <v>0</v>
      </c>
    </row>
    <row r="29" spans="2:9" ht="15" customHeight="1" x14ac:dyDescent="0.2">
      <c r="B29" t="s">
        <v>89</v>
      </c>
      <c r="C29" s="12">
        <v>18</v>
      </c>
      <c r="D29" s="8">
        <v>8.6999999999999993</v>
      </c>
      <c r="E29" s="12">
        <v>17</v>
      </c>
      <c r="F29" s="8">
        <v>12.23</v>
      </c>
      <c r="G29" s="12">
        <v>1</v>
      </c>
      <c r="H29" s="8">
        <v>1.61</v>
      </c>
      <c r="I29" s="12">
        <v>0</v>
      </c>
    </row>
    <row r="30" spans="2:9" ht="15" customHeight="1" x14ac:dyDescent="0.2">
      <c r="B30" t="s">
        <v>90</v>
      </c>
      <c r="C30" s="12">
        <v>9</v>
      </c>
      <c r="D30" s="8">
        <v>4.3499999999999996</v>
      </c>
      <c r="E30" s="12">
        <v>6</v>
      </c>
      <c r="F30" s="8">
        <v>4.32</v>
      </c>
      <c r="G30" s="12">
        <v>3</v>
      </c>
      <c r="H30" s="8">
        <v>4.84</v>
      </c>
      <c r="I30" s="12">
        <v>0</v>
      </c>
    </row>
    <row r="31" spans="2:9" ht="15" customHeight="1" x14ac:dyDescent="0.2">
      <c r="B31" t="s">
        <v>85</v>
      </c>
      <c r="C31" s="12">
        <v>8</v>
      </c>
      <c r="D31" s="8">
        <v>3.86</v>
      </c>
      <c r="E31" s="12">
        <v>2</v>
      </c>
      <c r="F31" s="8">
        <v>1.44</v>
      </c>
      <c r="G31" s="12">
        <v>6</v>
      </c>
      <c r="H31" s="8">
        <v>9.68</v>
      </c>
      <c r="I31" s="12">
        <v>0</v>
      </c>
    </row>
    <row r="32" spans="2:9" ht="15" customHeight="1" x14ac:dyDescent="0.2">
      <c r="B32" t="s">
        <v>95</v>
      </c>
      <c r="C32" s="12">
        <v>7</v>
      </c>
      <c r="D32" s="8">
        <v>3.38</v>
      </c>
      <c r="E32" s="12">
        <v>5</v>
      </c>
      <c r="F32" s="8">
        <v>3.6</v>
      </c>
      <c r="G32" s="12">
        <v>2</v>
      </c>
      <c r="H32" s="8">
        <v>3.23</v>
      </c>
      <c r="I32" s="12">
        <v>0</v>
      </c>
    </row>
    <row r="33" spans="2:9" ht="15" customHeight="1" x14ac:dyDescent="0.2">
      <c r="B33" t="s">
        <v>99</v>
      </c>
      <c r="C33" s="12">
        <v>6</v>
      </c>
      <c r="D33" s="8">
        <v>2.9</v>
      </c>
      <c r="E33" s="12">
        <v>3</v>
      </c>
      <c r="F33" s="8">
        <v>2.16</v>
      </c>
      <c r="G33" s="12">
        <v>1</v>
      </c>
      <c r="H33" s="8">
        <v>1.61</v>
      </c>
      <c r="I33" s="12">
        <v>0</v>
      </c>
    </row>
    <row r="34" spans="2:9" ht="15" customHeight="1" x14ac:dyDescent="0.2">
      <c r="B34" t="s">
        <v>100</v>
      </c>
      <c r="C34" s="12">
        <v>5</v>
      </c>
      <c r="D34" s="8">
        <v>2.42</v>
      </c>
      <c r="E34" s="12">
        <v>4</v>
      </c>
      <c r="F34" s="8">
        <v>2.88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101</v>
      </c>
      <c r="C35" s="12">
        <v>5</v>
      </c>
      <c r="D35" s="8">
        <v>2.42</v>
      </c>
      <c r="E35" s="12">
        <v>0</v>
      </c>
      <c r="F35" s="8">
        <v>0</v>
      </c>
      <c r="G35" s="12">
        <v>3</v>
      </c>
      <c r="H35" s="8">
        <v>4.84</v>
      </c>
      <c r="I35" s="12">
        <v>0</v>
      </c>
    </row>
    <row r="36" spans="2:9" ht="15" customHeight="1" x14ac:dyDescent="0.2">
      <c r="B36" t="s">
        <v>124</v>
      </c>
      <c r="C36" s="12">
        <v>4</v>
      </c>
      <c r="D36" s="8">
        <v>1.93</v>
      </c>
      <c r="E36" s="12">
        <v>3</v>
      </c>
      <c r="F36" s="8">
        <v>2.16</v>
      </c>
      <c r="G36" s="12">
        <v>1</v>
      </c>
      <c r="H36" s="8">
        <v>1.61</v>
      </c>
      <c r="I36" s="12">
        <v>0</v>
      </c>
    </row>
    <row r="37" spans="2:9" ht="15" customHeight="1" x14ac:dyDescent="0.2">
      <c r="B37" t="s">
        <v>88</v>
      </c>
      <c r="C37" s="12">
        <v>4</v>
      </c>
      <c r="D37" s="8">
        <v>1.93</v>
      </c>
      <c r="E37" s="12">
        <v>3</v>
      </c>
      <c r="F37" s="8">
        <v>2.16</v>
      </c>
      <c r="G37" s="12">
        <v>1</v>
      </c>
      <c r="H37" s="8">
        <v>1.61</v>
      </c>
      <c r="I37" s="12">
        <v>0</v>
      </c>
    </row>
    <row r="38" spans="2:9" ht="15" customHeight="1" x14ac:dyDescent="0.2">
      <c r="B38" t="s">
        <v>93</v>
      </c>
      <c r="C38" s="12">
        <v>4</v>
      </c>
      <c r="D38" s="8">
        <v>1.93</v>
      </c>
      <c r="E38" s="12">
        <v>2</v>
      </c>
      <c r="F38" s="8">
        <v>1.44</v>
      </c>
      <c r="G38" s="12">
        <v>2</v>
      </c>
      <c r="H38" s="8">
        <v>3.23</v>
      </c>
      <c r="I38" s="12">
        <v>0</v>
      </c>
    </row>
    <row r="39" spans="2:9" ht="15" customHeight="1" x14ac:dyDescent="0.2">
      <c r="B39" t="s">
        <v>102</v>
      </c>
      <c r="C39" s="12">
        <v>3</v>
      </c>
      <c r="D39" s="8">
        <v>1.45</v>
      </c>
      <c r="E39" s="12">
        <v>3</v>
      </c>
      <c r="F39" s="8">
        <v>2.16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116</v>
      </c>
      <c r="C40" s="12">
        <v>2</v>
      </c>
      <c r="D40" s="8">
        <v>0.97</v>
      </c>
      <c r="E40" s="12">
        <v>2</v>
      </c>
      <c r="F40" s="8">
        <v>1.44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144</v>
      </c>
      <c r="C41" s="12">
        <v>2</v>
      </c>
      <c r="D41" s="8">
        <v>0.97</v>
      </c>
      <c r="E41" s="12">
        <v>1</v>
      </c>
      <c r="F41" s="8">
        <v>0.72</v>
      </c>
      <c r="G41" s="12">
        <v>1</v>
      </c>
      <c r="H41" s="8">
        <v>1.61</v>
      </c>
      <c r="I41" s="12">
        <v>0</v>
      </c>
    </row>
    <row r="42" spans="2:9" ht="15" customHeight="1" x14ac:dyDescent="0.2">
      <c r="B42" t="s">
        <v>105</v>
      </c>
      <c r="C42" s="12">
        <v>2</v>
      </c>
      <c r="D42" s="8">
        <v>0.97</v>
      </c>
      <c r="E42" s="12">
        <v>1</v>
      </c>
      <c r="F42" s="8">
        <v>0.72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106</v>
      </c>
      <c r="C43" s="12">
        <v>2</v>
      </c>
      <c r="D43" s="8">
        <v>0.97</v>
      </c>
      <c r="E43" s="12">
        <v>2</v>
      </c>
      <c r="F43" s="8">
        <v>1.44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107</v>
      </c>
      <c r="C44" s="12">
        <v>2</v>
      </c>
      <c r="D44" s="8">
        <v>0.97</v>
      </c>
      <c r="E44" s="12">
        <v>0</v>
      </c>
      <c r="F44" s="8">
        <v>0</v>
      </c>
      <c r="G44" s="12">
        <v>2</v>
      </c>
      <c r="H44" s="8">
        <v>3.23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173</v>
      </c>
      <c r="C48" s="12">
        <v>15</v>
      </c>
      <c r="D48" s="8">
        <v>7.25</v>
      </c>
      <c r="E48" s="12">
        <v>15</v>
      </c>
      <c r="F48" s="8">
        <v>10.79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160</v>
      </c>
      <c r="C49" s="12">
        <v>9</v>
      </c>
      <c r="D49" s="8">
        <v>4.3499999999999996</v>
      </c>
      <c r="E49" s="12">
        <v>7</v>
      </c>
      <c r="F49" s="8">
        <v>5.04</v>
      </c>
      <c r="G49" s="12">
        <v>2</v>
      </c>
      <c r="H49" s="8">
        <v>3.23</v>
      </c>
      <c r="I49" s="12">
        <v>0</v>
      </c>
    </row>
    <row r="50" spans="2:9" ht="15" customHeight="1" x14ac:dyDescent="0.2">
      <c r="B50" t="s">
        <v>201</v>
      </c>
      <c r="C50" s="12">
        <v>7</v>
      </c>
      <c r="D50" s="8">
        <v>3.38</v>
      </c>
      <c r="E50" s="12">
        <v>7</v>
      </c>
      <c r="F50" s="8">
        <v>5.04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170</v>
      </c>
      <c r="C51" s="12">
        <v>7</v>
      </c>
      <c r="D51" s="8">
        <v>3.38</v>
      </c>
      <c r="E51" s="12">
        <v>7</v>
      </c>
      <c r="F51" s="8">
        <v>5.04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174</v>
      </c>
      <c r="C52" s="12">
        <v>7</v>
      </c>
      <c r="D52" s="8">
        <v>3.38</v>
      </c>
      <c r="E52" s="12">
        <v>7</v>
      </c>
      <c r="F52" s="8">
        <v>5.04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158</v>
      </c>
      <c r="C53" s="12">
        <v>6</v>
      </c>
      <c r="D53" s="8">
        <v>2.9</v>
      </c>
      <c r="E53" s="12">
        <v>0</v>
      </c>
      <c r="F53" s="8">
        <v>0</v>
      </c>
      <c r="G53" s="12">
        <v>6</v>
      </c>
      <c r="H53" s="8">
        <v>9.68</v>
      </c>
      <c r="I53" s="12">
        <v>0</v>
      </c>
    </row>
    <row r="54" spans="2:9" ht="15" customHeight="1" x14ac:dyDescent="0.2">
      <c r="B54" t="s">
        <v>178</v>
      </c>
      <c r="C54" s="12">
        <v>6</v>
      </c>
      <c r="D54" s="8">
        <v>2.9</v>
      </c>
      <c r="E54" s="12">
        <v>6</v>
      </c>
      <c r="F54" s="8">
        <v>4.32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193</v>
      </c>
      <c r="C55" s="12">
        <v>6</v>
      </c>
      <c r="D55" s="8">
        <v>2.9</v>
      </c>
      <c r="E55" s="12">
        <v>4</v>
      </c>
      <c r="F55" s="8">
        <v>2.88</v>
      </c>
      <c r="G55" s="12">
        <v>2</v>
      </c>
      <c r="H55" s="8">
        <v>3.23</v>
      </c>
      <c r="I55" s="12">
        <v>0</v>
      </c>
    </row>
    <row r="56" spans="2:9" ht="15" customHeight="1" x14ac:dyDescent="0.2">
      <c r="B56" t="s">
        <v>171</v>
      </c>
      <c r="C56" s="12">
        <v>6</v>
      </c>
      <c r="D56" s="8">
        <v>2.9</v>
      </c>
      <c r="E56" s="12">
        <v>6</v>
      </c>
      <c r="F56" s="8">
        <v>4.32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191</v>
      </c>
      <c r="C57" s="12">
        <v>5</v>
      </c>
      <c r="D57" s="8">
        <v>2.42</v>
      </c>
      <c r="E57" s="12">
        <v>4</v>
      </c>
      <c r="F57" s="8">
        <v>2.88</v>
      </c>
      <c r="G57" s="12">
        <v>1</v>
      </c>
      <c r="H57" s="8">
        <v>1.61</v>
      </c>
      <c r="I57" s="12">
        <v>0</v>
      </c>
    </row>
    <row r="58" spans="2:9" ht="15" customHeight="1" x14ac:dyDescent="0.2">
      <c r="B58" t="s">
        <v>215</v>
      </c>
      <c r="C58" s="12">
        <v>5</v>
      </c>
      <c r="D58" s="8">
        <v>2.42</v>
      </c>
      <c r="E58" s="12">
        <v>4</v>
      </c>
      <c r="F58" s="8">
        <v>2.88</v>
      </c>
      <c r="G58" s="12">
        <v>1</v>
      </c>
      <c r="H58" s="8">
        <v>1.61</v>
      </c>
      <c r="I58" s="12">
        <v>0</v>
      </c>
    </row>
    <row r="59" spans="2:9" ht="15" customHeight="1" x14ac:dyDescent="0.2">
      <c r="B59" t="s">
        <v>181</v>
      </c>
      <c r="C59" s="12">
        <v>5</v>
      </c>
      <c r="D59" s="8">
        <v>2.42</v>
      </c>
      <c r="E59" s="12">
        <v>3</v>
      </c>
      <c r="F59" s="8">
        <v>2.16</v>
      </c>
      <c r="G59" s="12">
        <v>2</v>
      </c>
      <c r="H59" s="8">
        <v>3.23</v>
      </c>
      <c r="I59" s="12">
        <v>0</v>
      </c>
    </row>
    <row r="60" spans="2:9" ht="15" customHeight="1" x14ac:dyDescent="0.2">
      <c r="B60" t="s">
        <v>199</v>
      </c>
      <c r="C60" s="12">
        <v>4</v>
      </c>
      <c r="D60" s="8">
        <v>1.93</v>
      </c>
      <c r="E60" s="12">
        <v>4</v>
      </c>
      <c r="F60" s="8">
        <v>2.88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202</v>
      </c>
      <c r="C61" s="12">
        <v>4</v>
      </c>
      <c r="D61" s="8">
        <v>1.93</v>
      </c>
      <c r="E61" s="12">
        <v>1</v>
      </c>
      <c r="F61" s="8">
        <v>0.72</v>
      </c>
      <c r="G61" s="12">
        <v>3</v>
      </c>
      <c r="H61" s="8">
        <v>4.84</v>
      </c>
      <c r="I61" s="12">
        <v>0</v>
      </c>
    </row>
    <row r="62" spans="2:9" ht="15" customHeight="1" x14ac:dyDescent="0.2">
      <c r="B62" t="s">
        <v>161</v>
      </c>
      <c r="C62" s="12">
        <v>4</v>
      </c>
      <c r="D62" s="8">
        <v>1.93</v>
      </c>
      <c r="E62" s="12">
        <v>0</v>
      </c>
      <c r="F62" s="8">
        <v>0</v>
      </c>
      <c r="G62" s="12">
        <v>4</v>
      </c>
      <c r="H62" s="8">
        <v>6.45</v>
      </c>
      <c r="I62" s="12">
        <v>0</v>
      </c>
    </row>
    <row r="63" spans="2:9" ht="15" customHeight="1" x14ac:dyDescent="0.2">
      <c r="B63" t="s">
        <v>163</v>
      </c>
      <c r="C63" s="12">
        <v>4</v>
      </c>
      <c r="D63" s="8">
        <v>1.93</v>
      </c>
      <c r="E63" s="12">
        <v>4</v>
      </c>
      <c r="F63" s="8">
        <v>2.88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210</v>
      </c>
      <c r="C64" s="12">
        <v>4</v>
      </c>
      <c r="D64" s="8">
        <v>1.93</v>
      </c>
      <c r="E64" s="12">
        <v>4</v>
      </c>
      <c r="F64" s="8">
        <v>2.88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216</v>
      </c>
      <c r="C65" s="12">
        <v>4</v>
      </c>
      <c r="D65" s="8">
        <v>1.93</v>
      </c>
      <c r="E65" s="12">
        <v>2</v>
      </c>
      <c r="F65" s="8">
        <v>1.44</v>
      </c>
      <c r="G65" s="12">
        <v>2</v>
      </c>
      <c r="H65" s="8">
        <v>3.23</v>
      </c>
      <c r="I65" s="12">
        <v>0</v>
      </c>
    </row>
    <row r="66" spans="2:9" ht="15" customHeight="1" x14ac:dyDescent="0.2">
      <c r="B66" t="s">
        <v>159</v>
      </c>
      <c r="C66" s="12">
        <v>3</v>
      </c>
      <c r="D66" s="8">
        <v>1.45</v>
      </c>
      <c r="E66" s="12">
        <v>2</v>
      </c>
      <c r="F66" s="8">
        <v>1.44</v>
      </c>
      <c r="G66" s="12">
        <v>1</v>
      </c>
      <c r="H66" s="8">
        <v>1.61</v>
      </c>
      <c r="I66" s="12">
        <v>0</v>
      </c>
    </row>
    <row r="67" spans="2:9" ht="15" customHeight="1" x14ac:dyDescent="0.2">
      <c r="B67" t="s">
        <v>242</v>
      </c>
      <c r="C67" s="12">
        <v>3</v>
      </c>
      <c r="D67" s="8">
        <v>1.45</v>
      </c>
      <c r="E67" s="12">
        <v>2</v>
      </c>
      <c r="F67" s="8">
        <v>1.44</v>
      </c>
      <c r="G67" s="12">
        <v>1</v>
      </c>
      <c r="H67" s="8">
        <v>1.61</v>
      </c>
      <c r="I67" s="12">
        <v>0</v>
      </c>
    </row>
    <row r="68" spans="2:9" ht="15" customHeight="1" x14ac:dyDescent="0.2">
      <c r="B68" t="s">
        <v>165</v>
      </c>
      <c r="C68" s="12">
        <v>3</v>
      </c>
      <c r="D68" s="8">
        <v>1.45</v>
      </c>
      <c r="E68" s="12">
        <v>1</v>
      </c>
      <c r="F68" s="8">
        <v>0.72</v>
      </c>
      <c r="G68" s="12">
        <v>2</v>
      </c>
      <c r="H68" s="8">
        <v>3.23</v>
      </c>
      <c r="I68" s="12">
        <v>0</v>
      </c>
    </row>
    <row r="69" spans="2:9" ht="15" customHeight="1" x14ac:dyDescent="0.2">
      <c r="B69" t="s">
        <v>208</v>
      </c>
      <c r="C69" s="12">
        <v>3</v>
      </c>
      <c r="D69" s="8">
        <v>1.45</v>
      </c>
      <c r="E69" s="12">
        <v>1</v>
      </c>
      <c r="F69" s="8">
        <v>0.72</v>
      </c>
      <c r="G69" s="12">
        <v>2</v>
      </c>
      <c r="H69" s="8">
        <v>3.23</v>
      </c>
      <c r="I69" s="12">
        <v>0</v>
      </c>
    </row>
    <row r="70" spans="2:9" ht="15" customHeight="1" x14ac:dyDescent="0.2">
      <c r="B70" t="s">
        <v>185</v>
      </c>
      <c r="C70" s="12">
        <v>3</v>
      </c>
      <c r="D70" s="8">
        <v>1.45</v>
      </c>
      <c r="E70" s="12">
        <v>2</v>
      </c>
      <c r="F70" s="8">
        <v>1.44</v>
      </c>
      <c r="G70" s="12">
        <v>1</v>
      </c>
      <c r="H70" s="8">
        <v>1.61</v>
      </c>
      <c r="I70" s="12">
        <v>0</v>
      </c>
    </row>
    <row r="71" spans="2:9" ht="15" customHeight="1" x14ac:dyDescent="0.2">
      <c r="B71" t="s">
        <v>243</v>
      </c>
      <c r="C71" s="12">
        <v>3</v>
      </c>
      <c r="D71" s="8">
        <v>1.45</v>
      </c>
      <c r="E71" s="12">
        <v>3</v>
      </c>
      <c r="F71" s="8">
        <v>2.16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172</v>
      </c>
      <c r="C72" s="12">
        <v>3</v>
      </c>
      <c r="D72" s="8">
        <v>1.45</v>
      </c>
      <c r="E72" s="12">
        <v>3</v>
      </c>
      <c r="F72" s="8">
        <v>2.16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175</v>
      </c>
      <c r="C73" s="12">
        <v>3</v>
      </c>
      <c r="D73" s="8">
        <v>1.45</v>
      </c>
      <c r="E73" s="12">
        <v>2</v>
      </c>
      <c r="F73" s="8">
        <v>1.44</v>
      </c>
      <c r="G73" s="12">
        <v>1</v>
      </c>
      <c r="H73" s="8">
        <v>1.61</v>
      </c>
      <c r="I73" s="12">
        <v>0</v>
      </c>
    </row>
    <row r="74" spans="2:9" ht="15" customHeight="1" x14ac:dyDescent="0.2">
      <c r="B74" t="s">
        <v>200</v>
      </c>
      <c r="C74" s="12">
        <v>3</v>
      </c>
      <c r="D74" s="8">
        <v>1.45</v>
      </c>
      <c r="E74" s="12">
        <v>0</v>
      </c>
      <c r="F74" s="8">
        <v>0</v>
      </c>
      <c r="G74" s="12">
        <v>2</v>
      </c>
      <c r="H74" s="8">
        <v>3.23</v>
      </c>
      <c r="I74" s="12">
        <v>0</v>
      </c>
    </row>
    <row r="75" spans="2:9" ht="15" customHeight="1" x14ac:dyDescent="0.2">
      <c r="B75" t="s">
        <v>177</v>
      </c>
      <c r="C75" s="12">
        <v>3</v>
      </c>
      <c r="D75" s="8">
        <v>1.45</v>
      </c>
      <c r="E75" s="12">
        <v>3</v>
      </c>
      <c r="F75" s="8">
        <v>2.16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A8E76-8AD3-4A60-8179-697F8A9C634B}">
  <sheetPr>
    <pageSetUpPr fitToPage="1"/>
  </sheetPr>
  <dimension ref="B2:I10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9</v>
      </c>
      <c r="D6" s="8">
        <v>13.04</v>
      </c>
      <c r="E6" s="12">
        <v>6</v>
      </c>
      <c r="F6" s="8">
        <v>16.22</v>
      </c>
      <c r="G6" s="12">
        <v>3</v>
      </c>
      <c r="H6" s="8">
        <v>10</v>
      </c>
      <c r="I6" s="12">
        <v>0</v>
      </c>
    </row>
    <row r="7" spans="2:9" ht="15" customHeight="1" x14ac:dyDescent="0.2">
      <c r="B7" t="s">
        <v>62</v>
      </c>
      <c r="C7" s="12">
        <v>12</v>
      </c>
      <c r="D7" s="8">
        <v>17.39</v>
      </c>
      <c r="E7" s="12">
        <v>1</v>
      </c>
      <c r="F7" s="8">
        <v>2.7</v>
      </c>
      <c r="G7" s="12">
        <v>11</v>
      </c>
      <c r="H7" s="8">
        <v>36.67</v>
      </c>
      <c r="I7" s="12">
        <v>0</v>
      </c>
    </row>
    <row r="8" spans="2:9" ht="15" customHeight="1" x14ac:dyDescent="0.2">
      <c r="B8" t="s">
        <v>63</v>
      </c>
      <c r="C8" s="12">
        <v>2</v>
      </c>
      <c r="D8" s="8">
        <v>2.9</v>
      </c>
      <c r="E8" s="12">
        <v>1</v>
      </c>
      <c r="F8" s="8">
        <v>2.7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1.45</v>
      </c>
      <c r="E10" s="12">
        <v>0</v>
      </c>
      <c r="F10" s="8">
        <v>0</v>
      </c>
      <c r="G10" s="12">
        <v>1</v>
      </c>
      <c r="H10" s="8">
        <v>3.33</v>
      </c>
      <c r="I10" s="12">
        <v>0</v>
      </c>
    </row>
    <row r="11" spans="2:9" ht="15" customHeight="1" x14ac:dyDescent="0.2">
      <c r="B11" t="s">
        <v>66</v>
      </c>
      <c r="C11" s="12">
        <v>9</v>
      </c>
      <c r="D11" s="8">
        <v>13.04</v>
      </c>
      <c r="E11" s="12">
        <v>5</v>
      </c>
      <c r="F11" s="8">
        <v>13.51</v>
      </c>
      <c r="G11" s="12">
        <v>4</v>
      </c>
      <c r="H11" s="8">
        <v>13.33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2</v>
      </c>
      <c r="D14" s="8">
        <v>2.9</v>
      </c>
      <c r="E14" s="12">
        <v>1</v>
      </c>
      <c r="F14" s="8">
        <v>2.7</v>
      </c>
      <c r="G14" s="12">
        <v>1</v>
      </c>
      <c r="H14" s="8">
        <v>3.33</v>
      </c>
      <c r="I14" s="12">
        <v>0</v>
      </c>
    </row>
    <row r="15" spans="2:9" ht="15" customHeight="1" x14ac:dyDescent="0.2">
      <c r="B15" t="s">
        <v>70</v>
      </c>
      <c r="C15" s="12">
        <v>17</v>
      </c>
      <c r="D15" s="8">
        <v>24.64</v>
      </c>
      <c r="E15" s="12">
        <v>13</v>
      </c>
      <c r="F15" s="8">
        <v>35.14</v>
      </c>
      <c r="G15" s="12">
        <v>4</v>
      </c>
      <c r="H15" s="8">
        <v>13.33</v>
      </c>
      <c r="I15" s="12">
        <v>0</v>
      </c>
    </row>
    <row r="16" spans="2:9" ht="15" customHeight="1" x14ac:dyDescent="0.2">
      <c r="B16" t="s">
        <v>71</v>
      </c>
      <c r="C16" s="12">
        <v>8</v>
      </c>
      <c r="D16" s="8">
        <v>11.59</v>
      </c>
      <c r="E16" s="12">
        <v>7</v>
      </c>
      <c r="F16" s="8">
        <v>18.920000000000002</v>
      </c>
      <c r="G16" s="12">
        <v>1</v>
      </c>
      <c r="H16" s="8">
        <v>3.33</v>
      </c>
      <c r="I16" s="12">
        <v>0</v>
      </c>
    </row>
    <row r="17" spans="2:9" ht="15" customHeight="1" x14ac:dyDescent="0.2">
      <c r="B17" t="s">
        <v>72</v>
      </c>
      <c r="C17" s="12">
        <v>1</v>
      </c>
      <c r="D17" s="8">
        <v>1.45</v>
      </c>
      <c r="E17" s="12">
        <v>1</v>
      </c>
      <c r="F17" s="8">
        <v>2.7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1.45</v>
      </c>
      <c r="E18" s="12">
        <v>1</v>
      </c>
      <c r="F18" s="8">
        <v>2.7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7</v>
      </c>
      <c r="D19" s="8">
        <v>10.14</v>
      </c>
      <c r="E19" s="12">
        <v>1</v>
      </c>
      <c r="F19" s="8">
        <v>2.7</v>
      </c>
      <c r="G19" s="12">
        <v>5</v>
      </c>
      <c r="H19" s="8">
        <v>16.670000000000002</v>
      </c>
      <c r="I19" s="12">
        <v>0</v>
      </c>
    </row>
    <row r="20" spans="2:9" ht="15" customHeight="1" x14ac:dyDescent="0.2">
      <c r="B20" s="9" t="s">
        <v>337</v>
      </c>
      <c r="C20" s="12">
        <f>SUM(LTBL_07407[総数／事業所数])</f>
        <v>69</v>
      </c>
      <c r="E20" s="12">
        <f>SUBTOTAL(109,LTBL_07407[個人／事業所数])</f>
        <v>37</v>
      </c>
      <c r="G20" s="12">
        <f>SUBTOTAL(109,LTBL_07407[法人／事業所数])</f>
        <v>30</v>
      </c>
      <c r="I20" s="12">
        <f>SUBTOTAL(109,LTBL_07407[法人以外の団体／事業所数])</f>
        <v>0</v>
      </c>
    </row>
    <row r="21" spans="2:9" ht="15" customHeight="1" x14ac:dyDescent="0.2">
      <c r="E21" s="11">
        <f>LTBL_07407[[#Totals],[個人／事業所数]]/LTBL_07407[[#Totals],[総数／事業所数]]</f>
        <v>0.53623188405797106</v>
      </c>
      <c r="G21" s="11">
        <f>LTBL_07407[[#Totals],[法人／事業所数]]/LTBL_07407[[#Totals],[総数／事業所数]]</f>
        <v>0.43478260869565216</v>
      </c>
      <c r="I21" s="11">
        <f>LTBL_07407[[#Totals],[法人以外の団体／事業所数]]/LTBL_07407[[#Totals],[総数／事業所数]]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95</v>
      </c>
      <c r="C24" s="12">
        <v>11</v>
      </c>
      <c r="D24" s="8">
        <v>15.94</v>
      </c>
      <c r="E24" s="12">
        <v>8</v>
      </c>
      <c r="F24" s="8">
        <v>21.62</v>
      </c>
      <c r="G24" s="12">
        <v>3</v>
      </c>
      <c r="H24" s="8">
        <v>10</v>
      </c>
      <c r="I24" s="12">
        <v>0</v>
      </c>
    </row>
    <row r="25" spans="2:9" ht="15" customHeight="1" x14ac:dyDescent="0.2">
      <c r="B25" t="s">
        <v>97</v>
      </c>
      <c r="C25" s="12">
        <v>7</v>
      </c>
      <c r="D25" s="8">
        <v>10.14</v>
      </c>
      <c r="E25" s="12">
        <v>7</v>
      </c>
      <c r="F25" s="8">
        <v>18.920000000000002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96</v>
      </c>
      <c r="C26" s="12">
        <v>6</v>
      </c>
      <c r="D26" s="8">
        <v>8.6999999999999993</v>
      </c>
      <c r="E26" s="12">
        <v>5</v>
      </c>
      <c r="F26" s="8">
        <v>13.51</v>
      </c>
      <c r="G26" s="12">
        <v>1</v>
      </c>
      <c r="H26" s="8">
        <v>3.33</v>
      </c>
      <c r="I26" s="12">
        <v>0</v>
      </c>
    </row>
    <row r="27" spans="2:9" ht="15" customHeight="1" x14ac:dyDescent="0.2">
      <c r="B27" t="s">
        <v>85</v>
      </c>
      <c r="C27" s="12">
        <v>5</v>
      </c>
      <c r="D27" s="8">
        <v>7.25</v>
      </c>
      <c r="E27" s="12">
        <v>4</v>
      </c>
      <c r="F27" s="8">
        <v>10.81</v>
      </c>
      <c r="G27" s="12">
        <v>1</v>
      </c>
      <c r="H27" s="8">
        <v>3.33</v>
      </c>
      <c r="I27" s="12">
        <v>0</v>
      </c>
    </row>
    <row r="28" spans="2:9" ht="15" customHeight="1" x14ac:dyDescent="0.2">
      <c r="B28" t="s">
        <v>91</v>
      </c>
      <c r="C28" s="12">
        <v>3</v>
      </c>
      <c r="D28" s="8">
        <v>4.3499999999999996</v>
      </c>
      <c r="E28" s="12">
        <v>1</v>
      </c>
      <c r="F28" s="8">
        <v>2.7</v>
      </c>
      <c r="G28" s="12">
        <v>2</v>
      </c>
      <c r="H28" s="8">
        <v>6.67</v>
      </c>
      <c r="I28" s="12">
        <v>0</v>
      </c>
    </row>
    <row r="29" spans="2:9" ht="15" customHeight="1" x14ac:dyDescent="0.2">
      <c r="B29" t="s">
        <v>120</v>
      </c>
      <c r="C29" s="12">
        <v>3</v>
      </c>
      <c r="D29" s="8">
        <v>4.3499999999999996</v>
      </c>
      <c r="E29" s="12">
        <v>1</v>
      </c>
      <c r="F29" s="8">
        <v>2.7</v>
      </c>
      <c r="G29" s="12">
        <v>1</v>
      </c>
      <c r="H29" s="8">
        <v>3.33</v>
      </c>
      <c r="I29" s="12">
        <v>0</v>
      </c>
    </row>
    <row r="30" spans="2:9" ht="15" customHeight="1" x14ac:dyDescent="0.2">
      <c r="B30" t="s">
        <v>146</v>
      </c>
      <c r="C30" s="12">
        <v>3</v>
      </c>
      <c r="D30" s="8">
        <v>4.3499999999999996</v>
      </c>
      <c r="E30" s="12">
        <v>0</v>
      </c>
      <c r="F30" s="8">
        <v>0</v>
      </c>
      <c r="G30" s="12">
        <v>3</v>
      </c>
      <c r="H30" s="8">
        <v>10</v>
      </c>
      <c r="I30" s="12">
        <v>0</v>
      </c>
    </row>
    <row r="31" spans="2:9" ht="15" customHeight="1" x14ac:dyDescent="0.2">
      <c r="B31" t="s">
        <v>83</v>
      </c>
      <c r="C31" s="12">
        <v>2</v>
      </c>
      <c r="D31" s="8">
        <v>2.9</v>
      </c>
      <c r="E31" s="12">
        <v>1</v>
      </c>
      <c r="F31" s="8">
        <v>2.7</v>
      </c>
      <c r="G31" s="12">
        <v>1</v>
      </c>
      <c r="H31" s="8">
        <v>3.33</v>
      </c>
      <c r="I31" s="12">
        <v>0</v>
      </c>
    </row>
    <row r="32" spans="2:9" ht="15" customHeight="1" x14ac:dyDescent="0.2">
      <c r="B32" t="s">
        <v>84</v>
      </c>
      <c r="C32" s="12">
        <v>2</v>
      </c>
      <c r="D32" s="8">
        <v>2.9</v>
      </c>
      <c r="E32" s="12">
        <v>1</v>
      </c>
      <c r="F32" s="8">
        <v>2.7</v>
      </c>
      <c r="G32" s="12">
        <v>1</v>
      </c>
      <c r="H32" s="8">
        <v>3.33</v>
      </c>
      <c r="I32" s="12">
        <v>0</v>
      </c>
    </row>
    <row r="33" spans="2:9" ht="15" customHeight="1" x14ac:dyDescent="0.2">
      <c r="B33" t="s">
        <v>110</v>
      </c>
      <c r="C33" s="12">
        <v>2</v>
      </c>
      <c r="D33" s="8">
        <v>2.9</v>
      </c>
      <c r="E33" s="12">
        <v>1</v>
      </c>
      <c r="F33" s="8">
        <v>2.7</v>
      </c>
      <c r="G33" s="12">
        <v>1</v>
      </c>
      <c r="H33" s="8">
        <v>3.33</v>
      </c>
      <c r="I33" s="12">
        <v>0</v>
      </c>
    </row>
    <row r="34" spans="2:9" ht="15" customHeight="1" x14ac:dyDescent="0.2">
      <c r="B34" t="s">
        <v>132</v>
      </c>
      <c r="C34" s="12">
        <v>2</v>
      </c>
      <c r="D34" s="8">
        <v>2.9</v>
      </c>
      <c r="E34" s="12">
        <v>0</v>
      </c>
      <c r="F34" s="8">
        <v>0</v>
      </c>
      <c r="G34" s="12">
        <v>2</v>
      </c>
      <c r="H34" s="8">
        <v>6.67</v>
      </c>
      <c r="I34" s="12">
        <v>0</v>
      </c>
    </row>
    <row r="35" spans="2:9" ht="15" customHeight="1" x14ac:dyDescent="0.2">
      <c r="B35" t="s">
        <v>116</v>
      </c>
      <c r="C35" s="12">
        <v>2</v>
      </c>
      <c r="D35" s="8">
        <v>2.9</v>
      </c>
      <c r="E35" s="12">
        <v>0</v>
      </c>
      <c r="F35" s="8">
        <v>0</v>
      </c>
      <c r="G35" s="12">
        <v>2</v>
      </c>
      <c r="H35" s="8">
        <v>6.67</v>
      </c>
      <c r="I35" s="12">
        <v>0</v>
      </c>
    </row>
    <row r="36" spans="2:9" ht="15" customHeight="1" x14ac:dyDescent="0.2">
      <c r="B36" t="s">
        <v>126</v>
      </c>
      <c r="C36" s="12">
        <v>2</v>
      </c>
      <c r="D36" s="8">
        <v>2.9</v>
      </c>
      <c r="E36" s="12">
        <v>0</v>
      </c>
      <c r="F36" s="8">
        <v>0</v>
      </c>
      <c r="G36" s="12">
        <v>2</v>
      </c>
      <c r="H36" s="8">
        <v>6.67</v>
      </c>
      <c r="I36" s="12">
        <v>0</v>
      </c>
    </row>
    <row r="37" spans="2:9" ht="15" customHeight="1" x14ac:dyDescent="0.2">
      <c r="B37" t="s">
        <v>89</v>
      </c>
      <c r="C37" s="12">
        <v>2</v>
      </c>
      <c r="D37" s="8">
        <v>2.9</v>
      </c>
      <c r="E37" s="12">
        <v>2</v>
      </c>
      <c r="F37" s="8">
        <v>5.41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90</v>
      </c>
      <c r="C38" s="12">
        <v>2</v>
      </c>
      <c r="D38" s="8">
        <v>2.9</v>
      </c>
      <c r="E38" s="12">
        <v>1</v>
      </c>
      <c r="F38" s="8">
        <v>2.7</v>
      </c>
      <c r="G38" s="12">
        <v>1</v>
      </c>
      <c r="H38" s="8">
        <v>3.33</v>
      </c>
      <c r="I38" s="12">
        <v>0</v>
      </c>
    </row>
    <row r="39" spans="2:9" ht="15" customHeight="1" x14ac:dyDescent="0.2">
      <c r="B39" t="s">
        <v>124</v>
      </c>
      <c r="C39" s="12">
        <v>1</v>
      </c>
      <c r="D39" s="8">
        <v>1.45</v>
      </c>
      <c r="E39" s="12">
        <v>0</v>
      </c>
      <c r="F39" s="8">
        <v>0</v>
      </c>
      <c r="G39" s="12">
        <v>1</v>
      </c>
      <c r="H39" s="8">
        <v>3.33</v>
      </c>
      <c r="I39" s="12">
        <v>0</v>
      </c>
    </row>
    <row r="40" spans="2:9" ht="15" customHeight="1" x14ac:dyDescent="0.2">
      <c r="B40" t="s">
        <v>143</v>
      </c>
      <c r="C40" s="12">
        <v>1</v>
      </c>
      <c r="D40" s="8">
        <v>1.45</v>
      </c>
      <c r="E40" s="12">
        <v>0</v>
      </c>
      <c r="F40" s="8">
        <v>0</v>
      </c>
      <c r="G40" s="12">
        <v>1</v>
      </c>
      <c r="H40" s="8">
        <v>3.33</v>
      </c>
      <c r="I40" s="12">
        <v>0</v>
      </c>
    </row>
    <row r="41" spans="2:9" ht="15" customHeight="1" x14ac:dyDescent="0.2">
      <c r="B41" t="s">
        <v>114</v>
      </c>
      <c r="C41" s="12">
        <v>1</v>
      </c>
      <c r="D41" s="8">
        <v>1.45</v>
      </c>
      <c r="E41" s="12">
        <v>0</v>
      </c>
      <c r="F41" s="8">
        <v>0</v>
      </c>
      <c r="G41" s="12">
        <v>1</v>
      </c>
      <c r="H41" s="8">
        <v>3.33</v>
      </c>
      <c r="I41" s="12">
        <v>0</v>
      </c>
    </row>
    <row r="42" spans="2:9" ht="15" customHeight="1" x14ac:dyDescent="0.2">
      <c r="B42" t="s">
        <v>142</v>
      </c>
      <c r="C42" s="12">
        <v>1</v>
      </c>
      <c r="D42" s="8">
        <v>1.45</v>
      </c>
      <c r="E42" s="12">
        <v>0</v>
      </c>
      <c r="F42" s="8">
        <v>0</v>
      </c>
      <c r="G42" s="12">
        <v>1</v>
      </c>
      <c r="H42" s="8">
        <v>3.33</v>
      </c>
      <c r="I42" s="12">
        <v>0</v>
      </c>
    </row>
    <row r="43" spans="2:9" ht="15" customHeight="1" x14ac:dyDescent="0.2">
      <c r="B43" t="s">
        <v>145</v>
      </c>
      <c r="C43" s="12">
        <v>1</v>
      </c>
      <c r="D43" s="8">
        <v>1.45</v>
      </c>
      <c r="E43" s="12">
        <v>1</v>
      </c>
      <c r="F43" s="8">
        <v>2.7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127</v>
      </c>
      <c r="C44" s="12">
        <v>1</v>
      </c>
      <c r="D44" s="8">
        <v>1.45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136</v>
      </c>
      <c r="C45" s="12">
        <v>1</v>
      </c>
      <c r="D45" s="8">
        <v>1.45</v>
      </c>
      <c r="E45" s="12">
        <v>0</v>
      </c>
      <c r="F45" s="8">
        <v>0</v>
      </c>
      <c r="G45" s="12">
        <v>1</v>
      </c>
      <c r="H45" s="8">
        <v>3.33</v>
      </c>
      <c r="I45" s="12">
        <v>0</v>
      </c>
    </row>
    <row r="46" spans="2:9" ht="15" customHeight="1" x14ac:dyDescent="0.2">
      <c r="B46" t="s">
        <v>88</v>
      </c>
      <c r="C46" s="12">
        <v>1</v>
      </c>
      <c r="D46" s="8">
        <v>1.45</v>
      </c>
      <c r="E46" s="12">
        <v>1</v>
      </c>
      <c r="F46" s="8">
        <v>2.7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103</v>
      </c>
      <c r="C47" s="12">
        <v>1</v>
      </c>
      <c r="D47" s="8">
        <v>1.45</v>
      </c>
      <c r="E47" s="12">
        <v>0</v>
      </c>
      <c r="F47" s="8">
        <v>0</v>
      </c>
      <c r="G47" s="12">
        <v>1</v>
      </c>
      <c r="H47" s="8">
        <v>3.33</v>
      </c>
      <c r="I47" s="12">
        <v>0</v>
      </c>
    </row>
    <row r="48" spans="2:9" ht="15" customHeight="1" x14ac:dyDescent="0.2">
      <c r="B48" t="s">
        <v>93</v>
      </c>
      <c r="C48" s="12">
        <v>1</v>
      </c>
      <c r="D48" s="8">
        <v>1.45</v>
      </c>
      <c r="E48" s="12">
        <v>1</v>
      </c>
      <c r="F48" s="8">
        <v>2.7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94</v>
      </c>
      <c r="C49" s="12">
        <v>1</v>
      </c>
      <c r="D49" s="8">
        <v>1.45</v>
      </c>
      <c r="E49" s="12">
        <v>0</v>
      </c>
      <c r="F49" s="8">
        <v>0</v>
      </c>
      <c r="G49" s="12">
        <v>1</v>
      </c>
      <c r="H49" s="8">
        <v>3.33</v>
      </c>
      <c r="I49" s="12">
        <v>0</v>
      </c>
    </row>
    <row r="50" spans="2:9" ht="15" customHeight="1" x14ac:dyDescent="0.2">
      <c r="B50" t="s">
        <v>129</v>
      </c>
      <c r="C50" s="12">
        <v>1</v>
      </c>
      <c r="D50" s="8">
        <v>1.45</v>
      </c>
      <c r="E50" s="12">
        <v>0</v>
      </c>
      <c r="F50" s="8">
        <v>0</v>
      </c>
      <c r="G50" s="12">
        <v>1</v>
      </c>
      <c r="H50" s="8">
        <v>3.33</v>
      </c>
      <c r="I50" s="12">
        <v>0</v>
      </c>
    </row>
    <row r="51" spans="2:9" ht="15" customHeight="1" x14ac:dyDescent="0.2">
      <c r="B51" t="s">
        <v>99</v>
      </c>
      <c r="C51" s="12">
        <v>1</v>
      </c>
      <c r="D51" s="8">
        <v>1.45</v>
      </c>
      <c r="E51" s="12">
        <v>1</v>
      </c>
      <c r="F51" s="8">
        <v>2.7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100</v>
      </c>
      <c r="C52" s="12">
        <v>1</v>
      </c>
      <c r="D52" s="8">
        <v>1.45</v>
      </c>
      <c r="E52" s="12">
        <v>1</v>
      </c>
      <c r="F52" s="8">
        <v>2.7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123</v>
      </c>
      <c r="C53" s="12">
        <v>1</v>
      </c>
      <c r="D53" s="8">
        <v>1.45</v>
      </c>
      <c r="E53" s="12">
        <v>0</v>
      </c>
      <c r="F53" s="8">
        <v>0</v>
      </c>
      <c r="G53" s="12">
        <v>1</v>
      </c>
      <c r="H53" s="8">
        <v>3.33</v>
      </c>
      <c r="I53" s="12">
        <v>0</v>
      </c>
    </row>
    <row r="56" spans="2:9" ht="33" customHeight="1" x14ac:dyDescent="0.2">
      <c r="B56" t="s">
        <v>339</v>
      </c>
      <c r="C56" s="10" t="s">
        <v>76</v>
      </c>
      <c r="D56" s="10" t="s">
        <v>77</v>
      </c>
      <c r="E56" s="10" t="s">
        <v>78</v>
      </c>
      <c r="F56" s="10" t="s">
        <v>79</v>
      </c>
      <c r="G56" s="10" t="s">
        <v>80</v>
      </c>
      <c r="H56" s="10" t="s">
        <v>81</v>
      </c>
      <c r="I56" s="10" t="s">
        <v>82</v>
      </c>
    </row>
    <row r="57" spans="2:9" ht="15" customHeight="1" x14ac:dyDescent="0.2">
      <c r="B57" t="s">
        <v>215</v>
      </c>
      <c r="C57" s="12">
        <v>11</v>
      </c>
      <c r="D57" s="8">
        <v>15.94</v>
      </c>
      <c r="E57" s="12">
        <v>8</v>
      </c>
      <c r="F57" s="8">
        <v>21.62</v>
      </c>
      <c r="G57" s="12">
        <v>3</v>
      </c>
      <c r="H57" s="8">
        <v>10</v>
      </c>
      <c r="I57" s="12">
        <v>0</v>
      </c>
    </row>
    <row r="58" spans="2:9" ht="15" customHeight="1" x14ac:dyDescent="0.2">
      <c r="B58" t="s">
        <v>161</v>
      </c>
      <c r="C58" s="12">
        <v>3</v>
      </c>
      <c r="D58" s="8">
        <v>4.3499999999999996</v>
      </c>
      <c r="E58" s="12">
        <v>2</v>
      </c>
      <c r="F58" s="8">
        <v>5.41</v>
      </c>
      <c r="G58" s="12">
        <v>1</v>
      </c>
      <c r="H58" s="8">
        <v>3.33</v>
      </c>
      <c r="I58" s="12">
        <v>0</v>
      </c>
    </row>
    <row r="59" spans="2:9" ht="15" customHeight="1" x14ac:dyDescent="0.2">
      <c r="B59" t="s">
        <v>173</v>
      </c>
      <c r="C59" s="12">
        <v>3</v>
      </c>
      <c r="D59" s="8">
        <v>4.3499999999999996</v>
      </c>
      <c r="E59" s="12">
        <v>3</v>
      </c>
      <c r="F59" s="8">
        <v>8.11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3</v>
      </c>
      <c r="D60" s="8">
        <v>4.3499999999999996</v>
      </c>
      <c r="E60" s="12">
        <v>3</v>
      </c>
      <c r="F60" s="8">
        <v>8.11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206</v>
      </c>
      <c r="C61" s="12">
        <v>3</v>
      </c>
      <c r="D61" s="8">
        <v>4.3499999999999996</v>
      </c>
      <c r="E61" s="12">
        <v>1</v>
      </c>
      <c r="F61" s="8">
        <v>2.7</v>
      </c>
      <c r="G61" s="12">
        <v>1</v>
      </c>
      <c r="H61" s="8">
        <v>3.33</v>
      </c>
      <c r="I61" s="12">
        <v>0</v>
      </c>
    </row>
    <row r="62" spans="2:9" ht="15" customHeight="1" x14ac:dyDescent="0.2">
      <c r="B62" t="s">
        <v>260</v>
      </c>
      <c r="C62" s="12">
        <v>3</v>
      </c>
      <c r="D62" s="8">
        <v>4.3499999999999996</v>
      </c>
      <c r="E62" s="12">
        <v>0</v>
      </c>
      <c r="F62" s="8">
        <v>0</v>
      </c>
      <c r="G62" s="12">
        <v>3</v>
      </c>
      <c r="H62" s="8">
        <v>10</v>
      </c>
      <c r="I62" s="12">
        <v>0</v>
      </c>
    </row>
    <row r="63" spans="2:9" ht="15" customHeight="1" x14ac:dyDescent="0.2">
      <c r="B63" t="s">
        <v>195</v>
      </c>
      <c r="C63" s="12">
        <v>2</v>
      </c>
      <c r="D63" s="8">
        <v>2.9</v>
      </c>
      <c r="E63" s="12">
        <v>1</v>
      </c>
      <c r="F63" s="8">
        <v>2.7</v>
      </c>
      <c r="G63" s="12">
        <v>1</v>
      </c>
      <c r="H63" s="8">
        <v>3.33</v>
      </c>
      <c r="I63" s="12">
        <v>0</v>
      </c>
    </row>
    <row r="64" spans="2:9" ht="15" customHeight="1" x14ac:dyDescent="0.2">
      <c r="B64" t="s">
        <v>162</v>
      </c>
      <c r="C64" s="12">
        <v>2</v>
      </c>
      <c r="D64" s="8">
        <v>2.9</v>
      </c>
      <c r="E64" s="12">
        <v>2</v>
      </c>
      <c r="F64" s="8">
        <v>5.41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191</v>
      </c>
      <c r="C65" s="12">
        <v>2</v>
      </c>
      <c r="D65" s="8">
        <v>2.9</v>
      </c>
      <c r="E65" s="12">
        <v>2</v>
      </c>
      <c r="F65" s="8">
        <v>5.41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164</v>
      </c>
      <c r="C66" s="12">
        <v>2</v>
      </c>
      <c r="D66" s="8">
        <v>2.9</v>
      </c>
      <c r="E66" s="12">
        <v>1</v>
      </c>
      <c r="F66" s="8">
        <v>2.7</v>
      </c>
      <c r="G66" s="12">
        <v>1</v>
      </c>
      <c r="H66" s="8">
        <v>3.33</v>
      </c>
      <c r="I66" s="12">
        <v>0</v>
      </c>
    </row>
    <row r="67" spans="2:9" ht="15" customHeight="1" x14ac:dyDescent="0.2">
      <c r="B67" t="s">
        <v>181</v>
      </c>
      <c r="C67" s="12">
        <v>2</v>
      </c>
      <c r="D67" s="8">
        <v>2.9</v>
      </c>
      <c r="E67" s="12">
        <v>2</v>
      </c>
      <c r="F67" s="8">
        <v>5.41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170</v>
      </c>
      <c r="C68" s="12">
        <v>2</v>
      </c>
      <c r="D68" s="8">
        <v>2.9</v>
      </c>
      <c r="E68" s="12">
        <v>1</v>
      </c>
      <c r="F68" s="8">
        <v>2.7</v>
      </c>
      <c r="G68" s="12">
        <v>1</v>
      </c>
      <c r="H68" s="8">
        <v>3.33</v>
      </c>
      <c r="I68" s="12">
        <v>0</v>
      </c>
    </row>
    <row r="69" spans="2:9" ht="15" customHeight="1" x14ac:dyDescent="0.2">
      <c r="B69" t="s">
        <v>158</v>
      </c>
      <c r="C69" s="12">
        <v>1</v>
      </c>
      <c r="D69" s="8">
        <v>1.45</v>
      </c>
      <c r="E69" s="12">
        <v>0</v>
      </c>
      <c r="F69" s="8">
        <v>0</v>
      </c>
      <c r="G69" s="12">
        <v>1</v>
      </c>
      <c r="H69" s="8">
        <v>3.33</v>
      </c>
      <c r="I69" s="12">
        <v>0</v>
      </c>
    </row>
    <row r="70" spans="2:9" ht="15" customHeight="1" x14ac:dyDescent="0.2">
      <c r="B70" t="s">
        <v>160</v>
      </c>
      <c r="C70" s="12">
        <v>1</v>
      </c>
      <c r="D70" s="8">
        <v>1.45</v>
      </c>
      <c r="E70" s="12">
        <v>1</v>
      </c>
      <c r="F70" s="8">
        <v>2.7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237</v>
      </c>
      <c r="C71" s="12">
        <v>1</v>
      </c>
      <c r="D71" s="8">
        <v>1.45</v>
      </c>
      <c r="E71" s="12">
        <v>0</v>
      </c>
      <c r="F71" s="8">
        <v>0</v>
      </c>
      <c r="G71" s="12">
        <v>1</v>
      </c>
      <c r="H71" s="8">
        <v>3.33</v>
      </c>
      <c r="I71" s="12">
        <v>0</v>
      </c>
    </row>
    <row r="72" spans="2:9" ht="15" customHeight="1" x14ac:dyDescent="0.2">
      <c r="B72" t="s">
        <v>244</v>
      </c>
      <c r="C72" s="12">
        <v>1</v>
      </c>
      <c r="D72" s="8">
        <v>1.45</v>
      </c>
      <c r="E72" s="12">
        <v>1</v>
      </c>
      <c r="F72" s="8">
        <v>2.7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245</v>
      </c>
      <c r="C73" s="12">
        <v>1</v>
      </c>
      <c r="D73" s="8">
        <v>1.45</v>
      </c>
      <c r="E73" s="12">
        <v>0</v>
      </c>
      <c r="F73" s="8">
        <v>0</v>
      </c>
      <c r="G73" s="12">
        <v>1</v>
      </c>
      <c r="H73" s="8">
        <v>3.33</v>
      </c>
      <c r="I73" s="12">
        <v>0</v>
      </c>
    </row>
    <row r="74" spans="2:9" ht="15" customHeight="1" x14ac:dyDescent="0.2">
      <c r="B74" t="s">
        <v>246</v>
      </c>
      <c r="C74" s="12">
        <v>1</v>
      </c>
      <c r="D74" s="8">
        <v>1.45</v>
      </c>
      <c r="E74" s="12">
        <v>0</v>
      </c>
      <c r="F74" s="8">
        <v>0</v>
      </c>
      <c r="G74" s="12">
        <v>1</v>
      </c>
      <c r="H74" s="8">
        <v>3.33</v>
      </c>
      <c r="I74" s="12">
        <v>0</v>
      </c>
    </row>
    <row r="75" spans="2:9" ht="15" customHeight="1" x14ac:dyDescent="0.2">
      <c r="B75" t="s">
        <v>247</v>
      </c>
      <c r="C75" s="12">
        <v>1</v>
      </c>
      <c r="D75" s="8">
        <v>1.45</v>
      </c>
      <c r="E75" s="12">
        <v>0</v>
      </c>
      <c r="F75" s="8">
        <v>0</v>
      </c>
      <c r="G75" s="12">
        <v>1</v>
      </c>
      <c r="H75" s="8">
        <v>3.33</v>
      </c>
      <c r="I75" s="12">
        <v>0</v>
      </c>
    </row>
    <row r="76" spans="2:9" ht="15" customHeight="1" x14ac:dyDescent="0.2">
      <c r="B76" t="s">
        <v>248</v>
      </c>
      <c r="C76" s="12">
        <v>1</v>
      </c>
      <c r="D76" s="8">
        <v>1.45</v>
      </c>
      <c r="E76" s="12">
        <v>0</v>
      </c>
      <c r="F76" s="8">
        <v>0</v>
      </c>
      <c r="G76" s="12">
        <v>1</v>
      </c>
      <c r="H76" s="8">
        <v>3.33</v>
      </c>
      <c r="I76" s="12">
        <v>0</v>
      </c>
    </row>
    <row r="77" spans="2:9" ht="15" customHeight="1" x14ac:dyDescent="0.2">
      <c r="B77" t="s">
        <v>249</v>
      </c>
      <c r="C77" s="12">
        <v>1</v>
      </c>
      <c r="D77" s="8">
        <v>1.45</v>
      </c>
      <c r="E77" s="12">
        <v>0</v>
      </c>
      <c r="F77" s="8">
        <v>0</v>
      </c>
      <c r="G77" s="12">
        <v>1</v>
      </c>
      <c r="H77" s="8">
        <v>3.33</v>
      </c>
      <c r="I77" s="12">
        <v>0</v>
      </c>
    </row>
    <row r="78" spans="2:9" ht="15" customHeight="1" x14ac:dyDescent="0.2">
      <c r="B78" t="s">
        <v>250</v>
      </c>
      <c r="C78" s="12">
        <v>1</v>
      </c>
      <c r="D78" s="8">
        <v>1.45</v>
      </c>
      <c r="E78" s="12">
        <v>0</v>
      </c>
      <c r="F78" s="8">
        <v>0</v>
      </c>
      <c r="G78" s="12">
        <v>1</v>
      </c>
      <c r="H78" s="8">
        <v>3.33</v>
      </c>
      <c r="I78" s="12">
        <v>0</v>
      </c>
    </row>
    <row r="79" spans="2:9" ht="15" customHeight="1" x14ac:dyDescent="0.2">
      <c r="B79" t="s">
        <v>251</v>
      </c>
      <c r="C79" s="12">
        <v>1</v>
      </c>
      <c r="D79" s="8">
        <v>1.45</v>
      </c>
      <c r="E79" s="12">
        <v>0</v>
      </c>
      <c r="F79" s="8">
        <v>0</v>
      </c>
      <c r="G79" s="12">
        <v>1</v>
      </c>
      <c r="H79" s="8">
        <v>3.33</v>
      </c>
      <c r="I79" s="12">
        <v>0</v>
      </c>
    </row>
    <row r="80" spans="2:9" ht="15" customHeight="1" x14ac:dyDescent="0.2">
      <c r="B80" t="s">
        <v>238</v>
      </c>
      <c r="C80" s="12">
        <v>1</v>
      </c>
      <c r="D80" s="8">
        <v>1.45</v>
      </c>
      <c r="E80" s="12">
        <v>0</v>
      </c>
      <c r="F80" s="8">
        <v>0</v>
      </c>
      <c r="G80" s="12">
        <v>1</v>
      </c>
      <c r="H80" s="8">
        <v>3.33</v>
      </c>
      <c r="I80" s="12">
        <v>0</v>
      </c>
    </row>
    <row r="81" spans="2:9" ht="15" customHeight="1" x14ac:dyDescent="0.2">
      <c r="B81" t="s">
        <v>252</v>
      </c>
      <c r="C81" s="12">
        <v>1</v>
      </c>
      <c r="D81" s="8">
        <v>1.45</v>
      </c>
      <c r="E81" s="12">
        <v>0</v>
      </c>
      <c r="F81" s="8">
        <v>0</v>
      </c>
      <c r="G81" s="12">
        <v>1</v>
      </c>
      <c r="H81" s="8">
        <v>3.33</v>
      </c>
      <c r="I81" s="12">
        <v>0</v>
      </c>
    </row>
    <row r="82" spans="2:9" ht="15" customHeight="1" x14ac:dyDescent="0.2">
      <c r="B82" t="s">
        <v>253</v>
      </c>
      <c r="C82" s="12">
        <v>1</v>
      </c>
      <c r="D82" s="8">
        <v>1.45</v>
      </c>
      <c r="E82" s="12">
        <v>0</v>
      </c>
      <c r="F82" s="8">
        <v>0</v>
      </c>
      <c r="G82" s="12">
        <v>1</v>
      </c>
      <c r="H82" s="8">
        <v>3.33</v>
      </c>
      <c r="I82" s="12">
        <v>0</v>
      </c>
    </row>
    <row r="83" spans="2:9" ht="15" customHeight="1" x14ac:dyDescent="0.2">
      <c r="B83" t="s">
        <v>254</v>
      </c>
      <c r="C83" s="12">
        <v>1</v>
      </c>
      <c r="D83" s="8">
        <v>1.45</v>
      </c>
      <c r="E83" s="12">
        <v>1</v>
      </c>
      <c r="F83" s="8">
        <v>2.7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255</v>
      </c>
      <c r="C84" s="12">
        <v>1</v>
      </c>
      <c r="D84" s="8">
        <v>1.45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256</v>
      </c>
      <c r="C85" s="12">
        <v>1</v>
      </c>
      <c r="D85" s="8">
        <v>1.45</v>
      </c>
      <c r="E85" s="12">
        <v>0</v>
      </c>
      <c r="F85" s="8">
        <v>0</v>
      </c>
      <c r="G85" s="12">
        <v>1</v>
      </c>
      <c r="H85" s="8">
        <v>3.33</v>
      </c>
      <c r="I85" s="12">
        <v>0</v>
      </c>
    </row>
    <row r="86" spans="2:9" ht="15" customHeight="1" x14ac:dyDescent="0.2">
      <c r="B86" t="s">
        <v>257</v>
      </c>
      <c r="C86" s="12">
        <v>1</v>
      </c>
      <c r="D86" s="8">
        <v>1.45</v>
      </c>
      <c r="E86" s="12">
        <v>1</v>
      </c>
      <c r="F86" s="8">
        <v>2.7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165</v>
      </c>
      <c r="C87" s="12">
        <v>1</v>
      </c>
      <c r="D87" s="8">
        <v>1.45</v>
      </c>
      <c r="E87" s="12">
        <v>0</v>
      </c>
      <c r="F87" s="8">
        <v>0</v>
      </c>
      <c r="G87" s="12">
        <v>1</v>
      </c>
      <c r="H87" s="8">
        <v>3.33</v>
      </c>
      <c r="I87" s="12">
        <v>0</v>
      </c>
    </row>
    <row r="88" spans="2:9" ht="15" customHeight="1" x14ac:dyDescent="0.2">
      <c r="B88" t="s">
        <v>208</v>
      </c>
      <c r="C88" s="12">
        <v>1</v>
      </c>
      <c r="D88" s="8">
        <v>1.45</v>
      </c>
      <c r="E88" s="12">
        <v>0</v>
      </c>
      <c r="F88" s="8">
        <v>0</v>
      </c>
      <c r="G88" s="12">
        <v>1</v>
      </c>
      <c r="H88" s="8">
        <v>3.33</v>
      </c>
      <c r="I88" s="12">
        <v>0</v>
      </c>
    </row>
    <row r="89" spans="2:9" ht="15" customHeight="1" x14ac:dyDescent="0.2">
      <c r="B89" t="s">
        <v>166</v>
      </c>
      <c r="C89" s="12">
        <v>1</v>
      </c>
      <c r="D89" s="8">
        <v>1.45</v>
      </c>
      <c r="E89" s="12">
        <v>1</v>
      </c>
      <c r="F89" s="8">
        <v>2.7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258</v>
      </c>
      <c r="C90" s="12">
        <v>1</v>
      </c>
      <c r="D90" s="8">
        <v>1.45</v>
      </c>
      <c r="E90" s="12">
        <v>0</v>
      </c>
      <c r="F90" s="8">
        <v>0</v>
      </c>
      <c r="G90" s="12">
        <v>1</v>
      </c>
      <c r="H90" s="8">
        <v>3.33</v>
      </c>
      <c r="I90" s="12">
        <v>0</v>
      </c>
    </row>
    <row r="91" spans="2:9" ht="15" customHeight="1" x14ac:dyDescent="0.2">
      <c r="B91" t="s">
        <v>259</v>
      </c>
      <c r="C91" s="12">
        <v>1</v>
      </c>
      <c r="D91" s="8">
        <v>1.45</v>
      </c>
      <c r="E91" s="12">
        <v>1</v>
      </c>
      <c r="F91" s="8">
        <v>2.7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169</v>
      </c>
      <c r="C92" s="12">
        <v>1</v>
      </c>
      <c r="D92" s="8">
        <v>1.45</v>
      </c>
      <c r="E92" s="12">
        <v>0</v>
      </c>
      <c r="F92" s="8">
        <v>0</v>
      </c>
      <c r="G92" s="12">
        <v>1</v>
      </c>
      <c r="H92" s="8">
        <v>3.33</v>
      </c>
      <c r="I92" s="12">
        <v>0</v>
      </c>
    </row>
    <row r="93" spans="2:9" ht="15" customHeight="1" x14ac:dyDescent="0.2">
      <c r="B93" t="s">
        <v>216</v>
      </c>
      <c r="C93" s="12">
        <v>1</v>
      </c>
      <c r="D93" s="8">
        <v>1.45</v>
      </c>
      <c r="E93" s="12">
        <v>1</v>
      </c>
      <c r="F93" s="8">
        <v>2.7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171</v>
      </c>
      <c r="C94" s="12">
        <v>1</v>
      </c>
      <c r="D94" s="8">
        <v>1.45</v>
      </c>
      <c r="E94" s="12">
        <v>1</v>
      </c>
      <c r="F94" s="8">
        <v>2.7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182</v>
      </c>
      <c r="C95" s="12">
        <v>1</v>
      </c>
      <c r="D95" s="8">
        <v>1.45</v>
      </c>
      <c r="E95" s="12">
        <v>1</v>
      </c>
      <c r="F95" s="8">
        <v>2.7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228</v>
      </c>
      <c r="C96" s="12">
        <v>1</v>
      </c>
      <c r="D96" s="8">
        <v>1.45</v>
      </c>
      <c r="E96" s="12">
        <v>0</v>
      </c>
      <c r="F96" s="8">
        <v>0</v>
      </c>
      <c r="G96" s="12">
        <v>1</v>
      </c>
      <c r="H96" s="8">
        <v>3.33</v>
      </c>
      <c r="I96" s="12">
        <v>0</v>
      </c>
    </row>
    <row r="97" spans="2:9" ht="15" customHeight="1" x14ac:dyDescent="0.2">
      <c r="B97" t="s">
        <v>175</v>
      </c>
      <c r="C97" s="12">
        <v>1</v>
      </c>
      <c r="D97" s="8">
        <v>1.45</v>
      </c>
      <c r="E97" s="12">
        <v>1</v>
      </c>
      <c r="F97" s="8">
        <v>2.7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176</v>
      </c>
      <c r="C98" s="12">
        <v>1</v>
      </c>
      <c r="D98" s="8">
        <v>1.45</v>
      </c>
      <c r="E98" s="12">
        <v>1</v>
      </c>
      <c r="F98" s="8">
        <v>2.7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261</v>
      </c>
      <c r="C99" s="12">
        <v>1</v>
      </c>
      <c r="D99" s="8">
        <v>1.45</v>
      </c>
      <c r="E99" s="12">
        <v>0</v>
      </c>
      <c r="F99" s="8">
        <v>0</v>
      </c>
      <c r="G99" s="12">
        <v>1</v>
      </c>
      <c r="H99" s="8">
        <v>3.33</v>
      </c>
      <c r="I99" s="12">
        <v>0</v>
      </c>
    </row>
    <row r="101" spans="2:9" ht="15" customHeight="1" x14ac:dyDescent="0.2">
      <c r="B101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8C80-8019-47D2-A360-F3111DB7565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0.21</v>
      </c>
      <c r="E5" s="12">
        <v>0</v>
      </c>
      <c r="F5" s="8">
        <v>0</v>
      </c>
      <c r="G5" s="12">
        <v>1</v>
      </c>
      <c r="H5" s="8">
        <v>0.48</v>
      </c>
      <c r="I5" s="12">
        <v>0</v>
      </c>
    </row>
    <row r="6" spans="2:9" ht="15" customHeight="1" x14ac:dyDescent="0.2">
      <c r="B6" t="s">
        <v>61</v>
      </c>
      <c r="C6" s="12">
        <v>75</v>
      </c>
      <c r="D6" s="8">
        <v>15.69</v>
      </c>
      <c r="E6" s="12">
        <v>35</v>
      </c>
      <c r="F6" s="8">
        <v>13.31</v>
      </c>
      <c r="G6" s="12">
        <v>40</v>
      </c>
      <c r="H6" s="8">
        <v>19.23</v>
      </c>
      <c r="I6" s="12">
        <v>0</v>
      </c>
    </row>
    <row r="7" spans="2:9" ht="15" customHeight="1" x14ac:dyDescent="0.2">
      <c r="B7" t="s">
        <v>62</v>
      </c>
      <c r="C7" s="12">
        <v>38</v>
      </c>
      <c r="D7" s="8">
        <v>7.95</v>
      </c>
      <c r="E7" s="12">
        <v>10</v>
      </c>
      <c r="F7" s="8">
        <v>3.8</v>
      </c>
      <c r="G7" s="12">
        <v>27</v>
      </c>
      <c r="H7" s="8">
        <v>12.98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0.21</v>
      </c>
      <c r="E8" s="12">
        <v>0</v>
      </c>
      <c r="F8" s="8">
        <v>0</v>
      </c>
      <c r="G8" s="12">
        <v>1</v>
      </c>
      <c r="H8" s="8">
        <v>0.48</v>
      </c>
      <c r="I8" s="12">
        <v>0</v>
      </c>
    </row>
    <row r="9" spans="2:9" ht="15" customHeight="1" x14ac:dyDescent="0.2">
      <c r="B9" t="s">
        <v>64</v>
      </c>
      <c r="C9" s="12">
        <v>4</v>
      </c>
      <c r="D9" s="8">
        <v>0.84</v>
      </c>
      <c r="E9" s="12">
        <v>0</v>
      </c>
      <c r="F9" s="8">
        <v>0</v>
      </c>
      <c r="G9" s="12">
        <v>4</v>
      </c>
      <c r="H9" s="8">
        <v>1.92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0.63</v>
      </c>
      <c r="E10" s="12">
        <v>2</v>
      </c>
      <c r="F10" s="8">
        <v>0.76</v>
      </c>
      <c r="G10" s="12">
        <v>1</v>
      </c>
      <c r="H10" s="8">
        <v>0.48</v>
      </c>
      <c r="I10" s="12">
        <v>0</v>
      </c>
    </row>
    <row r="11" spans="2:9" ht="15" customHeight="1" x14ac:dyDescent="0.2">
      <c r="B11" t="s">
        <v>66</v>
      </c>
      <c r="C11" s="12">
        <v>92</v>
      </c>
      <c r="D11" s="8">
        <v>19.25</v>
      </c>
      <c r="E11" s="12">
        <v>47</v>
      </c>
      <c r="F11" s="8">
        <v>17.87</v>
      </c>
      <c r="G11" s="12">
        <v>45</v>
      </c>
      <c r="H11" s="8">
        <v>21.63</v>
      </c>
      <c r="I11" s="12">
        <v>0</v>
      </c>
    </row>
    <row r="12" spans="2:9" ht="15" customHeight="1" x14ac:dyDescent="0.2">
      <c r="B12" t="s">
        <v>67</v>
      </c>
      <c r="C12" s="12">
        <v>1</v>
      </c>
      <c r="D12" s="8">
        <v>0.21</v>
      </c>
      <c r="E12" s="12">
        <v>0</v>
      </c>
      <c r="F12" s="8">
        <v>0</v>
      </c>
      <c r="G12" s="12">
        <v>1</v>
      </c>
      <c r="H12" s="8">
        <v>0.48</v>
      </c>
      <c r="I12" s="12">
        <v>0</v>
      </c>
    </row>
    <row r="13" spans="2:9" ht="15" customHeight="1" x14ac:dyDescent="0.2">
      <c r="B13" t="s">
        <v>68</v>
      </c>
      <c r="C13" s="12">
        <v>24</v>
      </c>
      <c r="D13" s="8">
        <v>5.0199999999999996</v>
      </c>
      <c r="E13" s="12">
        <v>7</v>
      </c>
      <c r="F13" s="8">
        <v>2.66</v>
      </c>
      <c r="G13" s="12">
        <v>17</v>
      </c>
      <c r="H13" s="8">
        <v>8.17</v>
      </c>
      <c r="I13" s="12">
        <v>0</v>
      </c>
    </row>
    <row r="14" spans="2:9" ht="15" customHeight="1" x14ac:dyDescent="0.2">
      <c r="B14" t="s">
        <v>69</v>
      </c>
      <c r="C14" s="12">
        <v>10</v>
      </c>
      <c r="D14" s="8">
        <v>2.09</v>
      </c>
      <c r="E14" s="12">
        <v>6</v>
      </c>
      <c r="F14" s="8">
        <v>2.2799999999999998</v>
      </c>
      <c r="G14" s="12">
        <v>4</v>
      </c>
      <c r="H14" s="8">
        <v>1.92</v>
      </c>
      <c r="I14" s="12">
        <v>0</v>
      </c>
    </row>
    <row r="15" spans="2:9" ht="15" customHeight="1" x14ac:dyDescent="0.2">
      <c r="B15" t="s">
        <v>70</v>
      </c>
      <c r="C15" s="12">
        <v>106</v>
      </c>
      <c r="D15" s="8">
        <v>22.18</v>
      </c>
      <c r="E15" s="12">
        <v>75</v>
      </c>
      <c r="F15" s="8">
        <v>28.52</v>
      </c>
      <c r="G15" s="12">
        <v>31</v>
      </c>
      <c r="H15" s="8">
        <v>14.9</v>
      </c>
      <c r="I15" s="12">
        <v>0</v>
      </c>
    </row>
    <row r="16" spans="2:9" ht="15" customHeight="1" x14ac:dyDescent="0.2">
      <c r="B16" t="s">
        <v>71</v>
      </c>
      <c r="C16" s="12">
        <v>61</v>
      </c>
      <c r="D16" s="8">
        <v>12.76</v>
      </c>
      <c r="E16" s="12">
        <v>47</v>
      </c>
      <c r="F16" s="8">
        <v>17.87</v>
      </c>
      <c r="G16" s="12">
        <v>13</v>
      </c>
      <c r="H16" s="8">
        <v>6.25</v>
      </c>
      <c r="I16" s="12">
        <v>0</v>
      </c>
    </row>
    <row r="17" spans="2:9" ht="15" customHeight="1" x14ac:dyDescent="0.2">
      <c r="B17" t="s">
        <v>72</v>
      </c>
      <c r="C17" s="12">
        <v>23</v>
      </c>
      <c r="D17" s="8">
        <v>4.8099999999999996</v>
      </c>
      <c r="E17" s="12">
        <v>15</v>
      </c>
      <c r="F17" s="8">
        <v>5.7</v>
      </c>
      <c r="G17" s="12">
        <v>8</v>
      </c>
      <c r="H17" s="8">
        <v>3.85</v>
      </c>
      <c r="I17" s="12">
        <v>0</v>
      </c>
    </row>
    <row r="18" spans="2:9" ht="15" customHeight="1" x14ac:dyDescent="0.2">
      <c r="B18" t="s">
        <v>73</v>
      </c>
      <c r="C18" s="12">
        <v>23</v>
      </c>
      <c r="D18" s="8">
        <v>4.8099999999999996</v>
      </c>
      <c r="E18" s="12">
        <v>13</v>
      </c>
      <c r="F18" s="8">
        <v>4.9400000000000004</v>
      </c>
      <c r="G18" s="12">
        <v>5</v>
      </c>
      <c r="H18" s="8">
        <v>2.4</v>
      </c>
      <c r="I18" s="12">
        <v>0</v>
      </c>
    </row>
    <row r="19" spans="2:9" ht="15" customHeight="1" x14ac:dyDescent="0.2">
      <c r="B19" t="s">
        <v>74</v>
      </c>
      <c r="C19" s="12">
        <v>16</v>
      </c>
      <c r="D19" s="8">
        <v>3.35</v>
      </c>
      <c r="E19" s="12">
        <v>6</v>
      </c>
      <c r="F19" s="8">
        <v>2.2799999999999998</v>
      </c>
      <c r="G19" s="12">
        <v>10</v>
      </c>
      <c r="H19" s="8">
        <v>4.8099999999999996</v>
      </c>
      <c r="I19" s="12">
        <v>0</v>
      </c>
    </row>
    <row r="20" spans="2:9" ht="15" customHeight="1" x14ac:dyDescent="0.2">
      <c r="B20" s="9" t="s">
        <v>337</v>
      </c>
      <c r="C20" s="12">
        <f>SUM(LTBL_07408[総数／事業所数])</f>
        <v>478</v>
      </c>
      <c r="E20" s="12">
        <f>SUBTOTAL(109,LTBL_07408[個人／事業所数])</f>
        <v>263</v>
      </c>
      <c r="G20" s="12">
        <f>SUBTOTAL(109,LTBL_07408[法人／事業所数])</f>
        <v>208</v>
      </c>
      <c r="I20" s="12">
        <f>SUBTOTAL(109,LTBL_07408[法人以外の団体／事業所数])</f>
        <v>0</v>
      </c>
    </row>
    <row r="21" spans="2:9" ht="15" customHeight="1" x14ac:dyDescent="0.2">
      <c r="E21" s="11">
        <f>LTBL_07408[[#Totals],[個人／事業所数]]/LTBL_07408[[#Totals],[総数／事業所数]]</f>
        <v>0.55020920502092052</v>
      </c>
      <c r="G21" s="11">
        <f>LTBL_07408[[#Totals],[法人／事業所数]]/LTBL_07408[[#Totals],[総数／事業所数]]</f>
        <v>0.43514644351464438</v>
      </c>
      <c r="I21" s="11">
        <f>LTBL_07408[[#Totals],[法人以外の団体／事業所数]]/LTBL_07408[[#Totals],[総数／事業所数]]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95</v>
      </c>
      <c r="C24" s="12">
        <v>50</v>
      </c>
      <c r="D24" s="8">
        <v>10.46</v>
      </c>
      <c r="E24" s="12">
        <v>36</v>
      </c>
      <c r="F24" s="8">
        <v>13.69</v>
      </c>
      <c r="G24" s="12">
        <v>14</v>
      </c>
      <c r="H24" s="8">
        <v>6.73</v>
      </c>
      <c r="I24" s="12">
        <v>0</v>
      </c>
    </row>
    <row r="25" spans="2:9" ht="15" customHeight="1" x14ac:dyDescent="0.2">
      <c r="B25" t="s">
        <v>96</v>
      </c>
      <c r="C25" s="12">
        <v>48</v>
      </c>
      <c r="D25" s="8">
        <v>10.039999999999999</v>
      </c>
      <c r="E25" s="12">
        <v>38</v>
      </c>
      <c r="F25" s="8">
        <v>14.45</v>
      </c>
      <c r="G25" s="12">
        <v>10</v>
      </c>
      <c r="H25" s="8">
        <v>4.8099999999999996</v>
      </c>
      <c r="I25" s="12">
        <v>0</v>
      </c>
    </row>
    <row r="26" spans="2:9" ht="15" customHeight="1" x14ac:dyDescent="0.2">
      <c r="B26" t="s">
        <v>97</v>
      </c>
      <c r="C26" s="12">
        <v>46</v>
      </c>
      <c r="D26" s="8">
        <v>9.6199999999999992</v>
      </c>
      <c r="E26" s="12">
        <v>42</v>
      </c>
      <c r="F26" s="8">
        <v>15.97</v>
      </c>
      <c r="G26" s="12">
        <v>4</v>
      </c>
      <c r="H26" s="8">
        <v>1.92</v>
      </c>
      <c r="I26" s="12">
        <v>0</v>
      </c>
    </row>
    <row r="27" spans="2:9" ht="15" customHeight="1" x14ac:dyDescent="0.2">
      <c r="B27" t="s">
        <v>83</v>
      </c>
      <c r="C27" s="12">
        <v>36</v>
      </c>
      <c r="D27" s="8">
        <v>7.53</v>
      </c>
      <c r="E27" s="12">
        <v>13</v>
      </c>
      <c r="F27" s="8">
        <v>4.9400000000000004</v>
      </c>
      <c r="G27" s="12">
        <v>23</v>
      </c>
      <c r="H27" s="8">
        <v>11.06</v>
      </c>
      <c r="I27" s="12">
        <v>0</v>
      </c>
    </row>
    <row r="28" spans="2:9" ht="15" customHeight="1" x14ac:dyDescent="0.2">
      <c r="B28" t="s">
        <v>89</v>
      </c>
      <c r="C28" s="12">
        <v>28</v>
      </c>
      <c r="D28" s="8">
        <v>5.86</v>
      </c>
      <c r="E28" s="12">
        <v>19</v>
      </c>
      <c r="F28" s="8">
        <v>7.22</v>
      </c>
      <c r="G28" s="12">
        <v>9</v>
      </c>
      <c r="H28" s="8">
        <v>4.33</v>
      </c>
      <c r="I28" s="12">
        <v>0</v>
      </c>
    </row>
    <row r="29" spans="2:9" ht="15" customHeight="1" x14ac:dyDescent="0.2">
      <c r="B29" t="s">
        <v>91</v>
      </c>
      <c r="C29" s="12">
        <v>28</v>
      </c>
      <c r="D29" s="8">
        <v>5.86</v>
      </c>
      <c r="E29" s="12">
        <v>8</v>
      </c>
      <c r="F29" s="8">
        <v>3.04</v>
      </c>
      <c r="G29" s="12">
        <v>20</v>
      </c>
      <c r="H29" s="8">
        <v>9.6199999999999992</v>
      </c>
      <c r="I29" s="12">
        <v>0</v>
      </c>
    </row>
    <row r="30" spans="2:9" ht="15" customHeight="1" x14ac:dyDescent="0.2">
      <c r="B30" t="s">
        <v>84</v>
      </c>
      <c r="C30" s="12">
        <v>23</v>
      </c>
      <c r="D30" s="8">
        <v>4.8099999999999996</v>
      </c>
      <c r="E30" s="12">
        <v>17</v>
      </c>
      <c r="F30" s="8">
        <v>6.46</v>
      </c>
      <c r="G30" s="12">
        <v>6</v>
      </c>
      <c r="H30" s="8">
        <v>2.88</v>
      </c>
      <c r="I30" s="12">
        <v>0</v>
      </c>
    </row>
    <row r="31" spans="2:9" ht="15" customHeight="1" x14ac:dyDescent="0.2">
      <c r="B31" t="s">
        <v>99</v>
      </c>
      <c r="C31" s="12">
        <v>23</v>
      </c>
      <c r="D31" s="8">
        <v>4.8099999999999996</v>
      </c>
      <c r="E31" s="12">
        <v>15</v>
      </c>
      <c r="F31" s="8">
        <v>5.7</v>
      </c>
      <c r="G31" s="12">
        <v>8</v>
      </c>
      <c r="H31" s="8">
        <v>3.85</v>
      </c>
      <c r="I31" s="12">
        <v>0</v>
      </c>
    </row>
    <row r="32" spans="2:9" ht="15" customHeight="1" x14ac:dyDescent="0.2">
      <c r="B32" t="s">
        <v>92</v>
      </c>
      <c r="C32" s="12">
        <v>17</v>
      </c>
      <c r="D32" s="8">
        <v>3.56</v>
      </c>
      <c r="E32" s="12">
        <v>4</v>
      </c>
      <c r="F32" s="8">
        <v>1.52</v>
      </c>
      <c r="G32" s="12">
        <v>13</v>
      </c>
      <c r="H32" s="8">
        <v>6.25</v>
      </c>
      <c r="I32" s="12">
        <v>0</v>
      </c>
    </row>
    <row r="33" spans="2:9" ht="15" customHeight="1" x14ac:dyDescent="0.2">
      <c r="B33" t="s">
        <v>85</v>
      </c>
      <c r="C33" s="12">
        <v>16</v>
      </c>
      <c r="D33" s="8">
        <v>3.35</v>
      </c>
      <c r="E33" s="12">
        <v>5</v>
      </c>
      <c r="F33" s="8">
        <v>1.9</v>
      </c>
      <c r="G33" s="12">
        <v>11</v>
      </c>
      <c r="H33" s="8">
        <v>5.29</v>
      </c>
      <c r="I33" s="12">
        <v>0</v>
      </c>
    </row>
    <row r="34" spans="2:9" ht="15" customHeight="1" x14ac:dyDescent="0.2">
      <c r="B34" t="s">
        <v>100</v>
      </c>
      <c r="C34" s="12">
        <v>13</v>
      </c>
      <c r="D34" s="8">
        <v>2.72</v>
      </c>
      <c r="E34" s="12">
        <v>13</v>
      </c>
      <c r="F34" s="8">
        <v>4.9400000000000004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88</v>
      </c>
      <c r="C35" s="12">
        <v>12</v>
      </c>
      <c r="D35" s="8">
        <v>2.5099999999999998</v>
      </c>
      <c r="E35" s="12">
        <v>8</v>
      </c>
      <c r="F35" s="8">
        <v>3.04</v>
      </c>
      <c r="G35" s="12">
        <v>4</v>
      </c>
      <c r="H35" s="8">
        <v>1.92</v>
      </c>
      <c r="I35" s="12">
        <v>0</v>
      </c>
    </row>
    <row r="36" spans="2:9" ht="15" customHeight="1" x14ac:dyDescent="0.2">
      <c r="B36" t="s">
        <v>110</v>
      </c>
      <c r="C36" s="12">
        <v>11</v>
      </c>
      <c r="D36" s="8">
        <v>2.2999999999999998</v>
      </c>
      <c r="E36" s="12">
        <v>2</v>
      </c>
      <c r="F36" s="8">
        <v>0.76</v>
      </c>
      <c r="G36" s="12">
        <v>9</v>
      </c>
      <c r="H36" s="8">
        <v>4.33</v>
      </c>
      <c r="I36" s="12">
        <v>0</v>
      </c>
    </row>
    <row r="37" spans="2:9" ht="15" customHeight="1" x14ac:dyDescent="0.2">
      <c r="B37" t="s">
        <v>101</v>
      </c>
      <c r="C37" s="12">
        <v>10</v>
      </c>
      <c r="D37" s="8">
        <v>2.09</v>
      </c>
      <c r="E37" s="12">
        <v>0</v>
      </c>
      <c r="F37" s="8">
        <v>0</v>
      </c>
      <c r="G37" s="12">
        <v>5</v>
      </c>
      <c r="H37" s="8">
        <v>2.4</v>
      </c>
      <c r="I37" s="12">
        <v>0</v>
      </c>
    </row>
    <row r="38" spans="2:9" ht="15" customHeight="1" x14ac:dyDescent="0.2">
      <c r="B38" t="s">
        <v>90</v>
      </c>
      <c r="C38" s="12">
        <v>8</v>
      </c>
      <c r="D38" s="8">
        <v>1.67</v>
      </c>
      <c r="E38" s="12">
        <v>5</v>
      </c>
      <c r="F38" s="8">
        <v>1.9</v>
      </c>
      <c r="G38" s="12">
        <v>3</v>
      </c>
      <c r="H38" s="8">
        <v>1.44</v>
      </c>
      <c r="I38" s="12">
        <v>0</v>
      </c>
    </row>
    <row r="39" spans="2:9" ht="15" customHeight="1" x14ac:dyDescent="0.2">
      <c r="B39" t="s">
        <v>113</v>
      </c>
      <c r="C39" s="12">
        <v>8</v>
      </c>
      <c r="D39" s="8">
        <v>1.67</v>
      </c>
      <c r="E39" s="12">
        <v>1</v>
      </c>
      <c r="F39" s="8">
        <v>0.38</v>
      </c>
      <c r="G39" s="12">
        <v>7</v>
      </c>
      <c r="H39" s="8">
        <v>3.37</v>
      </c>
      <c r="I39" s="12">
        <v>0</v>
      </c>
    </row>
    <row r="40" spans="2:9" ht="15" customHeight="1" x14ac:dyDescent="0.2">
      <c r="B40" t="s">
        <v>129</v>
      </c>
      <c r="C40" s="12">
        <v>8</v>
      </c>
      <c r="D40" s="8">
        <v>1.67</v>
      </c>
      <c r="E40" s="12">
        <v>2</v>
      </c>
      <c r="F40" s="8">
        <v>0.76</v>
      </c>
      <c r="G40" s="12">
        <v>5</v>
      </c>
      <c r="H40" s="8">
        <v>2.4</v>
      </c>
      <c r="I40" s="12">
        <v>0</v>
      </c>
    </row>
    <row r="41" spans="2:9" ht="15" customHeight="1" x14ac:dyDescent="0.2">
      <c r="B41" t="s">
        <v>102</v>
      </c>
      <c r="C41" s="12">
        <v>8</v>
      </c>
      <c r="D41" s="8">
        <v>1.67</v>
      </c>
      <c r="E41" s="12">
        <v>4</v>
      </c>
      <c r="F41" s="8">
        <v>1.52</v>
      </c>
      <c r="G41" s="12">
        <v>4</v>
      </c>
      <c r="H41" s="8">
        <v>1.92</v>
      </c>
      <c r="I41" s="12">
        <v>0</v>
      </c>
    </row>
    <row r="42" spans="2:9" ht="15" customHeight="1" x14ac:dyDescent="0.2">
      <c r="B42" t="s">
        <v>98</v>
      </c>
      <c r="C42" s="12">
        <v>7</v>
      </c>
      <c r="D42" s="8">
        <v>1.46</v>
      </c>
      <c r="E42" s="12">
        <v>3</v>
      </c>
      <c r="F42" s="8">
        <v>1.1399999999999999</v>
      </c>
      <c r="G42" s="12">
        <v>4</v>
      </c>
      <c r="H42" s="8">
        <v>1.92</v>
      </c>
      <c r="I42" s="12">
        <v>0</v>
      </c>
    </row>
    <row r="43" spans="2:9" ht="15" customHeight="1" x14ac:dyDescent="0.2">
      <c r="B43" t="s">
        <v>121</v>
      </c>
      <c r="C43" s="12">
        <v>6</v>
      </c>
      <c r="D43" s="8">
        <v>1.26</v>
      </c>
      <c r="E43" s="12">
        <v>2</v>
      </c>
      <c r="F43" s="8">
        <v>0.76</v>
      </c>
      <c r="G43" s="12">
        <v>4</v>
      </c>
      <c r="H43" s="8">
        <v>1.92</v>
      </c>
      <c r="I43" s="12">
        <v>0</v>
      </c>
    </row>
    <row r="44" spans="2:9" ht="15" customHeight="1" x14ac:dyDescent="0.2">
      <c r="B44" t="s">
        <v>94</v>
      </c>
      <c r="C44" s="12">
        <v>6</v>
      </c>
      <c r="D44" s="8">
        <v>1.26</v>
      </c>
      <c r="E44" s="12">
        <v>4</v>
      </c>
      <c r="F44" s="8">
        <v>1.52</v>
      </c>
      <c r="G44" s="12">
        <v>2</v>
      </c>
      <c r="H44" s="8">
        <v>0.96</v>
      </c>
      <c r="I44" s="12">
        <v>0</v>
      </c>
    </row>
    <row r="45" spans="2:9" ht="15" customHeight="1" x14ac:dyDescent="0.2">
      <c r="B45" t="s">
        <v>108</v>
      </c>
      <c r="C45" s="12">
        <v>6</v>
      </c>
      <c r="D45" s="8">
        <v>1.26</v>
      </c>
      <c r="E45" s="12">
        <v>2</v>
      </c>
      <c r="F45" s="8">
        <v>0.76</v>
      </c>
      <c r="G45" s="12">
        <v>4</v>
      </c>
      <c r="H45" s="8">
        <v>1.92</v>
      </c>
      <c r="I45" s="12">
        <v>0</v>
      </c>
    </row>
    <row r="48" spans="2:9" ht="33" customHeight="1" x14ac:dyDescent="0.2">
      <c r="B48" t="s">
        <v>339</v>
      </c>
      <c r="C48" s="10" t="s">
        <v>76</v>
      </c>
      <c r="D48" s="10" t="s">
        <v>77</v>
      </c>
      <c r="E48" s="10" t="s">
        <v>78</v>
      </c>
      <c r="F48" s="10" t="s">
        <v>79</v>
      </c>
      <c r="G48" s="10" t="s">
        <v>80</v>
      </c>
      <c r="H48" s="10" t="s">
        <v>81</v>
      </c>
      <c r="I48" s="10" t="s">
        <v>82</v>
      </c>
    </row>
    <row r="49" spans="2:9" ht="15" customHeight="1" x14ac:dyDescent="0.2">
      <c r="B49" t="s">
        <v>215</v>
      </c>
      <c r="C49" s="12">
        <v>40</v>
      </c>
      <c r="D49" s="8">
        <v>8.3699999999999992</v>
      </c>
      <c r="E49" s="12">
        <v>31</v>
      </c>
      <c r="F49" s="8">
        <v>11.79</v>
      </c>
      <c r="G49" s="12">
        <v>9</v>
      </c>
      <c r="H49" s="8">
        <v>4.33</v>
      </c>
      <c r="I49" s="12">
        <v>0</v>
      </c>
    </row>
    <row r="50" spans="2:9" ht="15" customHeight="1" x14ac:dyDescent="0.2">
      <c r="B50" t="s">
        <v>174</v>
      </c>
      <c r="C50" s="12">
        <v>22</v>
      </c>
      <c r="D50" s="8">
        <v>4.5999999999999996</v>
      </c>
      <c r="E50" s="12">
        <v>22</v>
      </c>
      <c r="F50" s="8">
        <v>8.3699999999999992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173</v>
      </c>
      <c r="C51" s="12">
        <v>17</v>
      </c>
      <c r="D51" s="8">
        <v>3.56</v>
      </c>
      <c r="E51" s="12">
        <v>16</v>
      </c>
      <c r="F51" s="8">
        <v>6.08</v>
      </c>
      <c r="G51" s="12">
        <v>1</v>
      </c>
      <c r="H51" s="8">
        <v>0.48</v>
      </c>
      <c r="I51" s="12">
        <v>0</v>
      </c>
    </row>
    <row r="52" spans="2:9" ht="15" customHeight="1" x14ac:dyDescent="0.2">
      <c r="B52" t="s">
        <v>159</v>
      </c>
      <c r="C52" s="12">
        <v>14</v>
      </c>
      <c r="D52" s="8">
        <v>2.93</v>
      </c>
      <c r="E52" s="12">
        <v>5</v>
      </c>
      <c r="F52" s="8">
        <v>1.9</v>
      </c>
      <c r="G52" s="12">
        <v>9</v>
      </c>
      <c r="H52" s="8">
        <v>4.33</v>
      </c>
      <c r="I52" s="12">
        <v>0</v>
      </c>
    </row>
    <row r="53" spans="2:9" ht="15" customHeight="1" x14ac:dyDescent="0.2">
      <c r="B53" t="s">
        <v>175</v>
      </c>
      <c r="C53" s="12">
        <v>14</v>
      </c>
      <c r="D53" s="8">
        <v>2.93</v>
      </c>
      <c r="E53" s="12">
        <v>11</v>
      </c>
      <c r="F53" s="8">
        <v>4.18</v>
      </c>
      <c r="G53" s="12">
        <v>3</v>
      </c>
      <c r="H53" s="8">
        <v>1.44</v>
      </c>
      <c r="I53" s="12">
        <v>0</v>
      </c>
    </row>
    <row r="54" spans="2:9" ht="15" customHeight="1" x14ac:dyDescent="0.2">
      <c r="B54" t="s">
        <v>170</v>
      </c>
      <c r="C54" s="12">
        <v>13</v>
      </c>
      <c r="D54" s="8">
        <v>2.72</v>
      </c>
      <c r="E54" s="12">
        <v>8</v>
      </c>
      <c r="F54" s="8">
        <v>3.04</v>
      </c>
      <c r="G54" s="12">
        <v>5</v>
      </c>
      <c r="H54" s="8">
        <v>2.4</v>
      </c>
      <c r="I54" s="12">
        <v>0</v>
      </c>
    </row>
    <row r="55" spans="2:9" ht="15" customHeight="1" x14ac:dyDescent="0.2">
      <c r="B55" t="s">
        <v>158</v>
      </c>
      <c r="C55" s="12">
        <v>12</v>
      </c>
      <c r="D55" s="8">
        <v>2.5099999999999998</v>
      </c>
      <c r="E55" s="12">
        <v>2</v>
      </c>
      <c r="F55" s="8">
        <v>0.76</v>
      </c>
      <c r="G55" s="12">
        <v>10</v>
      </c>
      <c r="H55" s="8">
        <v>4.8099999999999996</v>
      </c>
      <c r="I55" s="12">
        <v>0</v>
      </c>
    </row>
    <row r="56" spans="2:9" ht="15" customHeight="1" x14ac:dyDescent="0.2">
      <c r="B56" t="s">
        <v>181</v>
      </c>
      <c r="C56" s="12">
        <v>12</v>
      </c>
      <c r="D56" s="8">
        <v>2.5099999999999998</v>
      </c>
      <c r="E56" s="12">
        <v>11</v>
      </c>
      <c r="F56" s="8">
        <v>4.18</v>
      </c>
      <c r="G56" s="12">
        <v>1</v>
      </c>
      <c r="H56" s="8">
        <v>0.48</v>
      </c>
      <c r="I56" s="12">
        <v>0</v>
      </c>
    </row>
    <row r="57" spans="2:9" ht="15" customHeight="1" x14ac:dyDescent="0.2">
      <c r="B57" t="s">
        <v>185</v>
      </c>
      <c r="C57" s="12">
        <v>11</v>
      </c>
      <c r="D57" s="8">
        <v>2.2999999999999998</v>
      </c>
      <c r="E57" s="12">
        <v>0</v>
      </c>
      <c r="F57" s="8">
        <v>0</v>
      </c>
      <c r="G57" s="12">
        <v>11</v>
      </c>
      <c r="H57" s="8">
        <v>5.29</v>
      </c>
      <c r="I57" s="12">
        <v>0</v>
      </c>
    </row>
    <row r="58" spans="2:9" ht="15" customHeight="1" x14ac:dyDescent="0.2">
      <c r="B58" t="s">
        <v>216</v>
      </c>
      <c r="C58" s="12">
        <v>10</v>
      </c>
      <c r="D58" s="8">
        <v>2.09</v>
      </c>
      <c r="E58" s="12">
        <v>6</v>
      </c>
      <c r="F58" s="8">
        <v>2.2799999999999998</v>
      </c>
      <c r="G58" s="12">
        <v>4</v>
      </c>
      <c r="H58" s="8">
        <v>1.92</v>
      </c>
      <c r="I58" s="12">
        <v>0</v>
      </c>
    </row>
    <row r="59" spans="2:9" ht="15" customHeight="1" x14ac:dyDescent="0.2">
      <c r="B59" t="s">
        <v>163</v>
      </c>
      <c r="C59" s="12">
        <v>9</v>
      </c>
      <c r="D59" s="8">
        <v>1.88</v>
      </c>
      <c r="E59" s="12">
        <v>6</v>
      </c>
      <c r="F59" s="8">
        <v>2.2799999999999998</v>
      </c>
      <c r="G59" s="12">
        <v>3</v>
      </c>
      <c r="H59" s="8">
        <v>1.44</v>
      </c>
      <c r="I59" s="12">
        <v>0</v>
      </c>
    </row>
    <row r="60" spans="2:9" ht="15" customHeight="1" x14ac:dyDescent="0.2">
      <c r="B60" t="s">
        <v>176</v>
      </c>
      <c r="C60" s="12">
        <v>9</v>
      </c>
      <c r="D60" s="8">
        <v>1.88</v>
      </c>
      <c r="E60" s="12">
        <v>9</v>
      </c>
      <c r="F60" s="8">
        <v>3.42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162</v>
      </c>
      <c r="C61" s="12">
        <v>8</v>
      </c>
      <c r="D61" s="8">
        <v>1.67</v>
      </c>
      <c r="E61" s="12">
        <v>2</v>
      </c>
      <c r="F61" s="8">
        <v>0.76</v>
      </c>
      <c r="G61" s="12">
        <v>6</v>
      </c>
      <c r="H61" s="8">
        <v>2.88</v>
      </c>
      <c r="I61" s="12">
        <v>0</v>
      </c>
    </row>
    <row r="62" spans="2:9" ht="15" customHeight="1" x14ac:dyDescent="0.2">
      <c r="B62" t="s">
        <v>190</v>
      </c>
      <c r="C62" s="12">
        <v>8</v>
      </c>
      <c r="D62" s="8">
        <v>1.67</v>
      </c>
      <c r="E62" s="12">
        <v>5</v>
      </c>
      <c r="F62" s="8">
        <v>1.9</v>
      </c>
      <c r="G62" s="12">
        <v>3</v>
      </c>
      <c r="H62" s="8">
        <v>1.44</v>
      </c>
      <c r="I62" s="12">
        <v>0</v>
      </c>
    </row>
    <row r="63" spans="2:9" ht="15" customHeight="1" x14ac:dyDescent="0.2">
      <c r="B63" t="s">
        <v>191</v>
      </c>
      <c r="C63" s="12">
        <v>8</v>
      </c>
      <c r="D63" s="8">
        <v>1.67</v>
      </c>
      <c r="E63" s="12">
        <v>6</v>
      </c>
      <c r="F63" s="8">
        <v>2.2799999999999998</v>
      </c>
      <c r="G63" s="12">
        <v>2</v>
      </c>
      <c r="H63" s="8">
        <v>0.96</v>
      </c>
      <c r="I63" s="12">
        <v>0</v>
      </c>
    </row>
    <row r="64" spans="2:9" ht="15" customHeight="1" x14ac:dyDescent="0.2">
      <c r="B64" t="s">
        <v>177</v>
      </c>
      <c r="C64" s="12">
        <v>8</v>
      </c>
      <c r="D64" s="8">
        <v>1.67</v>
      </c>
      <c r="E64" s="12">
        <v>4</v>
      </c>
      <c r="F64" s="8">
        <v>1.52</v>
      </c>
      <c r="G64" s="12">
        <v>4</v>
      </c>
      <c r="H64" s="8">
        <v>1.92</v>
      </c>
      <c r="I64" s="12">
        <v>0</v>
      </c>
    </row>
    <row r="65" spans="2:9" ht="15" customHeight="1" x14ac:dyDescent="0.2">
      <c r="B65" t="s">
        <v>161</v>
      </c>
      <c r="C65" s="12">
        <v>7</v>
      </c>
      <c r="D65" s="8">
        <v>1.46</v>
      </c>
      <c r="E65" s="12">
        <v>2</v>
      </c>
      <c r="F65" s="8">
        <v>0.76</v>
      </c>
      <c r="G65" s="12">
        <v>5</v>
      </c>
      <c r="H65" s="8">
        <v>2.4</v>
      </c>
      <c r="I65" s="12">
        <v>0</v>
      </c>
    </row>
    <row r="66" spans="2:9" ht="15" customHeight="1" x14ac:dyDescent="0.2">
      <c r="B66" t="s">
        <v>205</v>
      </c>
      <c r="C66" s="12">
        <v>7</v>
      </c>
      <c r="D66" s="8">
        <v>1.46</v>
      </c>
      <c r="E66" s="12">
        <v>0</v>
      </c>
      <c r="F66" s="8">
        <v>0</v>
      </c>
      <c r="G66" s="12">
        <v>7</v>
      </c>
      <c r="H66" s="8">
        <v>3.37</v>
      </c>
      <c r="I66" s="12">
        <v>0</v>
      </c>
    </row>
    <row r="67" spans="2:9" ht="15" customHeight="1" x14ac:dyDescent="0.2">
      <c r="B67" t="s">
        <v>186</v>
      </c>
      <c r="C67" s="12">
        <v>7</v>
      </c>
      <c r="D67" s="8">
        <v>1.46</v>
      </c>
      <c r="E67" s="12">
        <v>0</v>
      </c>
      <c r="F67" s="8">
        <v>0</v>
      </c>
      <c r="G67" s="12">
        <v>7</v>
      </c>
      <c r="H67" s="8">
        <v>3.37</v>
      </c>
      <c r="I67" s="12">
        <v>0</v>
      </c>
    </row>
    <row r="68" spans="2:9" ht="15" customHeight="1" x14ac:dyDescent="0.2">
      <c r="B68" t="s">
        <v>197</v>
      </c>
      <c r="C68" s="12">
        <v>7</v>
      </c>
      <c r="D68" s="8">
        <v>1.46</v>
      </c>
      <c r="E68" s="12">
        <v>0</v>
      </c>
      <c r="F68" s="8">
        <v>0</v>
      </c>
      <c r="G68" s="12">
        <v>2</v>
      </c>
      <c r="H68" s="8">
        <v>0.96</v>
      </c>
      <c r="I68" s="12">
        <v>0</v>
      </c>
    </row>
    <row r="70" spans="2:9" ht="15" customHeight="1" x14ac:dyDescent="0.2">
      <c r="B70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4EB0E-D10E-45AA-B11D-8C99A58E19A2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0.2</v>
      </c>
      <c r="E5" s="12">
        <v>0</v>
      </c>
      <c r="F5" s="8">
        <v>0</v>
      </c>
      <c r="G5" s="12">
        <v>1</v>
      </c>
      <c r="H5" s="8">
        <v>0.6</v>
      </c>
      <c r="I5" s="12">
        <v>0</v>
      </c>
    </row>
    <row r="6" spans="2:9" ht="15" customHeight="1" x14ac:dyDescent="0.2">
      <c r="B6" t="s">
        <v>61</v>
      </c>
      <c r="C6" s="12">
        <v>80</v>
      </c>
      <c r="D6" s="8">
        <v>15.84</v>
      </c>
      <c r="E6" s="12">
        <v>44</v>
      </c>
      <c r="F6" s="8">
        <v>13.33</v>
      </c>
      <c r="G6" s="12">
        <v>36</v>
      </c>
      <c r="H6" s="8">
        <v>21.69</v>
      </c>
      <c r="I6" s="12">
        <v>0</v>
      </c>
    </row>
    <row r="7" spans="2:9" ht="15" customHeight="1" x14ac:dyDescent="0.2">
      <c r="B7" t="s">
        <v>62</v>
      </c>
      <c r="C7" s="12">
        <v>34</v>
      </c>
      <c r="D7" s="8">
        <v>6.73</v>
      </c>
      <c r="E7" s="12">
        <v>12</v>
      </c>
      <c r="F7" s="8">
        <v>3.64</v>
      </c>
      <c r="G7" s="12">
        <v>22</v>
      </c>
      <c r="H7" s="8">
        <v>13.25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4</v>
      </c>
      <c r="D9" s="8">
        <v>0.79</v>
      </c>
      <c r="E9" s="12">
        <v>1</v>
      </c>
      <c r="F9" s="8">
        <v>0.3</v>
      </c>
      <c r="G9" s="12">
        <v>3</v>
      </c>
      <c r="H9" s="8">
        <v>1.81</v>
      </c>
      <c r="I9" s="12">
        <v>0</v>
      </c>
    </row>
    <row r="10" spans="2:9" ht="15" customHeight="1" x14ac:dyDescent="0.2">
      <c r="B10" t="s">
        <v>65</v>
      </c>
      <c r="C10" s="12">
        <v>5</v>
      </c>
      <c r="D10" s="8">
        <v>0.99</v>
      </c>
      <c r="E10" s="12">
        <v>5</v>
      </c>
      <c r="F10" s="8">
        <v>1.52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143</v>
      </c>
      <c r="D11" s="8">
        <v>28.32</v>
      </c>
      <c r="E11" s="12">
        <v>94</v>
      </c>
      <c r="F11" s="8">
        <v>28.48</v>
      </c>
      <c r="G11" s="12">
        <v>49</v>
      </c>
      <c r="H11" s="8">
        <v>29.52</v>
      </c>
      <c r="I11" s="12">
        <v>0</v>
      </c>
    </row>
    <row r="12" spans="2:9" ht="15" customHeight="1" x14ac:dyDescent="0.2">
      <c r="B12" t="s">
        <v>67</v>
      </c>
      <c r="C12" s="12">
        <v>3</v>
      </c>
      <c r="D12" s="8">
        <v>0.59</v>
      </c>
      <c r="E12" s="12">
        <v>1</v>
      </c>
      <c r="F12" s="8">
        <v>0.3</v>
      </c>
      <c r="G12" s="12">
        <v>2</v>
      </c>
      <c r="H12" s="8">
        <v>1.2</v>
      </c>
      <c r="I12" s="12">
        <v>0</v>
      </c>
    </row>
    <row r="13" spans="2:9" ht="15" customHeight="1" x14ac:dyDescent="0.2">
      <c r="B13" t="s">
        <v>68</v>
      </c>
      <c r="C13" s="12">
        <v>38</v>
      </c>
      <c r="D13" s="8">
        <v>7.52</v>
      </c>
      <c r="E13" s="12">
        <v>25</v>
      </c>
      <c r="F13" s="8">
        <v>7.58</v>
      </c>
      <c r="G13" s="12">
        <v>13</v>
      </c>
      <c r="H13" s="8">
        <v>7.83</v>
      </c>
      <c r="I13" s="12">
        <v>0</v>
      </c>
    </row>
    <row r="14" spans="2:9" ht="15" customHeight="1" x14ac:dyDescent="0.2">
      <c r="B14" t="s">
        <v>69</v>
      </c>
      <c r="C14" s="12">
        <v>18</v>
      </c>
      <c r="D14" s="8">
        <v>3.56</v>
      </c>
      <c r="E14" s="12">
        <v>9</v>
      </c>
      <c r="F14" s="8">
        <v>2.73</v>
      </c>
      <c r="G14" s="12">
        <v>8</v>
      </c>
      <c r="H14" s="8">
        <v>4.82</v>
      </c>
      <c r="I14" s="12">
        <v>0</v>
      </c>
    </row>
    <row r="15" spans="2:9" ht="15" customHeight="1" x14ac:dyDescent="0.2">
      <c r="B15" t="s">
        <v>70</v>
      </c>
      <c r="C15" s="12">
        <v>71</v>
      </c>
      <c r="D15" s="8">
        <v>14.06</v>
      </c>
      <c r="E15" s="12">
        <v>63</v>
      </c>
      <c r="F15" s="8">
        <v>19.09</v>
      </c>
      <c r="G15" s="12">
        <v>7</v>
      </c>
      <c r="H15" s="8">
        <v>4.22</v>
      </c>
      <c r="I15" s="12">
        <v>0</v>
      </c>
    </row>
    <row r="16" spans="2:9" ht="15" customHeight="1" x14ac:dyDescent="0.2">
      <c r="B16" t="s">
        <v>71</v>
      </c>
      <c r="C16" s="12">
        <v>63</v>
      </c>
      <c r="D16" s="8">
        <v>12.48</v>
      </c>
      <c r="E16" s="12">
        <v>53</v>
      </c>
      <c r="F16" s="8">
        <v>16.059999999999999</v>
      </c>
      <c r="G16" s="12">
        <v>10</v>
      </c>
      <c r="H16" s="8">
        <v>6.02</v>
      </c>
      <c r="I16" s="12">
        <v>0</v>
      </c>
    </row>
    <row r="17" spans="2:9" ht="15" customHeight="1" x14ac:dyDescent="0.2">
      <c r="B17" t="s">
        <v>72</v>
      </c>
      <c r="C17" s="12">
        <v>12</v>
      </c>
      <c r="D17" s="8">
        <v>2.38</v>
      </c>
      <c r="E17" s="12">
        <v>7</v>
      </c>
      <c r="F17" s="8">
        <v>2.12</v>
      </c>
      <c r="G17" s="12">
        <v>5</v>
      </c>
      <c r="H17" s="8">
        <v>3.01</v>
      </c>
      <c r="I17" s="12">
        <v>0</v>
      </c>
    </row>
    <row r="18" spans="2:9" ht="15" customHeight="1" x14ac:dyDescent="0.2">
      <c r="B18" t="s">
        <v>73</v>
      </c>
      <c r="C18" s="12">
        <v>15</v>
      </c>
      <c r="D18" s="8">
        <v>2.97</v>
      </c>
      <c r="E18" s="12">
        <v>9</v>
      </c>
      <c r="F18" s="8">
        <v>2.73</v>
      </c>
      <c r="G18" s="12">
        <v>6</v>
      </c>
      <c r="H18" s="8">
        <v>3.61</v>
      </c>
      <c r="I18" s="12">
        <v>0</v>
      </c>
    </row>
    <row r="19" spans="2:9" ht="15" customHeight="1" x14ac:dyDescent="0.2">
      <c r="B19" t="s">
        <v>74</v>
      </c>
      <c r="C19" s="12">
        <v>18</v>
      </c>
      <c r="D19" s="8">
        <v>3.56</v>
      </c>
      <c r="E19" s="12">
        <v>7</v>
      </c>
      <c r="F19" s="8">
        <v>2.12</v>
      </c>
      <c r="G19" s="12">
        <v>4</v>
      </c>
      <c r="H19" s="8">
        <v>2.41</v>
      </c>
      <c r="I19" s="12">
        <v>0</v>
      </c>
    </row>
    <row r="20" spans="2:9" ht="15" customHeight="1" x14ac:dyDescent="0.2">
      <c r="B20" s="9" t="s">
        <v>337</v>
      </c>
      <c r="C20" s="12">
        <f>SUM(LTBL_07421[総数／事業所数])</f>
        <v>505</v>
      </c>
      <c r="E20" s="12">
        <f>SUBTOTAL(109,LTBL_07421[個人／事業所数])</f>
        <v>330</v>
      </c>
      <c r="G20" s="12">
        <f>SUBTOTAL(109,LTBL_07421[法人／事業所数])</f>
        <v>166</v>
      </c>
      <c r="I20" s="12">
        <f>SUBTOTAL(109,LTBL_07421[法人以外の団体／事業所数])</f>
        <v>0</v>
      </c>
    </row>
    <row r="21" spans="2:9" ht="15" customHeight="1" x14ac:dyDescent="0.2">
      <c r="E21" s="11">
        <f>LTBL_07421[[#Totals],[個人／事業所数]]/LTBL_07421[[#Totals],[総数／事業所数]]</f>
        <v>0.65346534653465349</v>
      </c>
      <c r="G21" s="11">
        <f>LTBL_07421[[#Totals],[法人／事業所数]]/LTBL_07421[[#Totals],[総数／事業所数]]</f>
        <v>0.32871287128712873</v>
      </c>
      <c r="I21" s="11">
        <f>LTBL_07421[[#Totals],[法人以外の団体／事業所数]]/LTBL_07421[[#Totals],[総数／事業所数]]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64</v>
      </c>
      <c r="D24" s="8">
        <v>12.67</v>
      </c>
      <c r="E24" s="12">
        <v>61</v>
      </c>
      <c r="F24" s="8">
        <v>18.48</v>
      </c>
      <c r="G24" s="12">
        <v>3</v>
      </c>
      <c r="H24" s="8">
        <v>1.81</v>
      </c>
      <c r="I24" s="12">
        <v>0</v>
      </c>
    </row>
    <row r="25" spans="2:9" ht="15" customHeight="1" x14ac:dyDescent="0.2">
      <c r="B25" t="s">
        <v>97</v>
      </c>
      <c r="C25" s="12">
        <v>59</v>
      </c>
      <c r="D25" s="8">
        <v>11.68</v>
      </c>
      <c r="E25" s="12">
        <v>51</v>
      </c>
      <c r="F25" s="8">
        <v>15.45</v>
      </c>
      <c r="G25" s="12">
        <v>8</v>
      </c>
      <c r="H25" s="8">
        <v>4.82</v>
      </c>
      <c r="I25" s="12">
        <v>0</v>
      </c>
    </row>
    <row r="26" spans="2:9" ht="15" customHeight="1" x14ac:dyDescent="0.2">
      <c r="B26" t="s">
        <v>91</v>
      </c>
      <c r="C26" s="12">
        <v>54</v>
      </c>
      <c r="D26" s="8">
        <v>10.69</v>
      </c>
      <c r="E26" s="12">
        <v>35</v>
      </c>
      <c r="F26" s="8">
        <v>10.61</v>
      </c>
      <c r="G26" s="12">
        <v>19</v>
      </c>
      <c r="H26" s="8">
        <v>11.45</v>
      </c>
      <c r="I26" s="12">
        <v>0</v>
      </c>
    </row>
    <row r="27" spans="2:9" ht="15" customHeight="1" x14ac:dyDescent="0.2">
      <c r="B27" t="s">
        <v>89</v>
      </c>
      <c r="C27" s="12">
        <v>39</v>
      </c>
      <c r="D27" s="8">
        <v>7.72</v>
      </c>
      <c r="E27" s="12">
        <v>32</v>
      </c>
      <c r="F27" s="8">
        <v>9.6999999999999993</v>
      </c>
      <c r="G27" s="12">
        <v>7</v>
      </c>
      <c r="H27" s="8">
        <v>4.22</v>
      </c>
      <c r="I27" s="12">
        <v>0</v>
      </c>
    </row>
    <row r="28" spans="2:9" ht="15" customHeight="1" x14ac:dyDescent="0.2">
      <c r="B28" t="s">
        <v>83</v>
      </c>
      <c r="C28" s="12">
        <v>35</v>
      </c>
      <c r="D28" s="8">
        <v>6.93</v>
      </c>
      <c r="E28" s="12">
        <v>15</v>
      </c>
      <c r="F28" s="8">
        <v>4.55</v>
      </c>
      <c r="G28" s="12">
        <v>20</v>
      </c>
      <c r="H28" s="8">
        <v>12.05</v>
      </c>
      <c r="I28" s="12">
        <v>0</v>
      </c>
    </row>
    <row r="29" spans="2:9" ht="15" customHeight="1" x14ac:dyDescent="0.2">
      <c r="B29" t="s">
        <v>92</v>
      </c>
      <c r="C29" s="12">
        <v>35</v>
      </c>
      <c r="D29" s="8">
        <v>6.93</v>
      </c>
      <c r="E29" s="12">
        <v>25</v>
      </c>
      <c r="F29" s="8">
        <v>7.58</v>
      </c>
      <c r="G29" s="12">
        <v>10</v>
      </c>
      <c r="H29" s="8">
        <v>6.02</v>
      </c>
      <c r="I29" s="12">
        <v>0</v>
      </c>
    </row>
    <row r="30" spans="2:9" ht="15" customHeight="1" x14ac:dyDescent="0.2">
      <c r="B30" t="s">
        <v>84</v>
      </c>
      <c r="C30" s="12">
        <v>32</v>
      </c>
      <c r="D30" s="8">
        <v>6.34</v>
      </c>
      <c r="E30" s="12">
        <v>24</v>
      </c>
      <c r="F30" s="8">
        <v>7.27</v>
      </c>
      <c r="G30" s="12">
        <v>8</v>
      </c>
      <c r="H30" s="8">
        <v>4.82</v>
      </c>
      <c r="I30" s="12">
        <v>0</v>
      </c>
    </row>
    <row r="31" spans="2:9" ht="15" customHeight="1" x14ac:dyDescent="0.2">
      <c r="B31" t="s">
        <v>90</v>
      </c>
      <c r="C31" s="12">
        <v>17</v>
      </c>
      <c r="D31" s="8">
        <v>3.37</v>
      </c>
      <c r="E31" s="12">
        <v>10</v>
      </c>
      <c r="F31" s="8">
        <v>3.03</v>
      </c>
      <c r="G31" s="12">
        <v>7</v>
      </c>
      <c r="H31" s="8">
        <v>4.22</v>
      </c>
      <c r="I31" s="12">
        <v>0</v>
      </c>
    </row>
    <row r="32" spans="2:9" ht="15" customHeight="1" x14ac:dyDescent="0.2">
      <c r="B32" t="s">
        <v>88</v>
      </c>
      <c r="C32" s="12">
        <v>14</v>
      </c>
      <c r="D32" s="8">
        <v>2.77</v>
      </c>
      <c r="E32" s="12">
        <v>12</v>
      </c>
      <c r="F32" s="8">
        <v>3.64</v>
      </c>
      <c r="G32" s="12">
        <v>2</v>
      </c>
      <c r="H32" s="8">
        <v>1.2</v>
      </c>
      <c r="I32" s="12">
        <v>0</v>
      </c>
    </row>
    <row r="33" spans="2:9" ht="15" customHeight="1" x14ac:dyDescent="0.2">
      <c r="B33" t="s">
        <v>85</v>
      </c>
      <c r="C33" s="12">
        <v>13</v>
      </c>
      <c r="D33" s="8">
        <v>2.57</v>
      </c>
      <c r="E33" s="12">
        <v>5</v>
      </c>
      <c r="F33" s="8">
        <v>1.52</v>
      </c>
      <c r="G33" s="12">
        <v>8</v>
      </c>
      <c r="H33" s="8">
        <v>4.82</v>
      </c>
      <c r="I33" s="12">
        <v>0</v>
      </c>
    </row>
    <row r="34" spans="2:9" ht="15" customHeight="1" x14ac:dyDescent="0.2">
      <c r="B34" t="s">
        <v>99</v>
      </c>
      <c r="C34" s="12">
        <v>12</v>
      </c>
      <c r="D34" s="8">
        <v>2.38</v>
      </c>
      <c r="E34" s="12">
        <v>7</v>
      </c>
      <c r="F34" s="8">
        <v>2.12</v>
      </c>
      <c r="G34" s="12">
        <v>5</v>
      </c>
      <c r="H34" s="8">
        <v>3.01</v>
      </c>
      <c r="I34" s="12">
        <v>0</v>
      </c>
    </row>
    <row r="35" spans="2:9" ht="15" customHeight="1" x14ac:dyDescent="0.2">
      <c r="B35" t="s">
        <v>93</v>
      </c>
      <c r="C35" s="12">
        <v>9</v>
      </c>
      <c r="D35" s="8">
        <v>1.78</v>
      </c>
      <c r="E35" s="12">
        <v>5</v>
      </c>
      <c r="F35" s="8">
        <v>1.52</v>
      </c>
      <c r="G35" s="12">
        <v>4</v>
      </c>
      <c r="H35" s="8">
        <v>2.41</v>
      </c>
      <c r="I35" s="12">
        <v>0</v>
      </c>
    </row>
    <row r="36" spans="2:9" ht="15" customHeight="1" x14ac:dyDescent="0.2">
      <c r="B36" t="s">
        <v>100</v>
      </c>
      <c r="C36" s="12">
        <v>9</v>
      </c>
      <c r="D36" s="8">
        <v>1.78</v>
      </c>
      <c r="E36" s="12">
        <v>9</v>
      </c>
      <c r="F36" s="8">
        <v>2.73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110</v>
      </c>
      <c r="C37" s="12">
        <v>8</v>
      </c>
      <c r="D37" s="8">
        <v>1.58</v>
      </c>
      <c r="E37" s="12">
        <v>4</v>
      </c>
      <c r="F37" s="8">
        <v>1.21</v>
      </c>
      <c r="G37" s="12">
        <v>4</v>
      </c>
      <c r="H37" s="8">
        <v>2.41</v>
      </c>
      <c r="I37" s="12">
        <v>0</v>
      </c>
    </row>
    <row r="38" spans="2:9" ht="15" customHeight="1" x14ac:dyDescent="0.2">
      <c r="B38" t="s">
        <v>94</v>
      </c>
      <c r="C38" s="12">
        <v>8</v>
      </c>
      <c r="D38" s="8">
        <v>1.58</v>
      </c>
      <c r="E38" s="12">
        <v>4</v>
      </c>
      <c r="F38" s="8">
        <v>1.21</v>
      </c>
      <c r="G38" s="12">
        <v>4</v>
      </c>
      <c r="H38" s="8">
        <v>2.41</v>
      </c>
      <c r="I38" s="12">
        <v>0</v>
      </c>
    </row>
    <row r="39" spans="2:9" ht="15" customHeight="1" x14ac:dyDescent="0.2">
      <c r="B39" t="s">
        <v>140</v>
      </c>
      <c r="C39" s="12">
        <v>8</v>
      </c>
      <c r="D39" s="8">
        <v>1.58</v>
      </c>
      <c r="E39" s="12">
        <v>0</v>
      </c>
      <c r="F39" s="8">
        <v>0</v>
      </c>
      <c r="G39" s="12">
        <v>1</v>
      </c>
      <c r="H39" s="8">
        <v>0.6</v>
      </c>
      <c r="I39" s="12">
        <v>0</v>
      </c>
    </row>
    <row r="40" spans="2:9" ht="15" customHeight="1" x14ac:dyDescent="0.2">
      <c r="B40" t="s">
        <v>113</v>
      </c>
      <c r="C40" s="12">
        <v>7</v>
      </c>
      <c r="D40" s="8">
        <v>1.39</v>
      </c>
      <c r="E40" s="12">
        <v>2</v>
      </c>
      <c r="F40" s="8">
        <v>0.61</v>
      </c>
      <c r="G40" s="12">
        <v>4</v>
      </c>
      <c r="H40" s="8">
        <v>2.41</v>
      </c>
      <c r="I40" s="12">
        <v>0</v>
      </c>
    </row>
    <row r="41" spans="2:9" ht="15" customHeight="1" x14ac:dyDescent="0.2">
      <c r="B41" t="s">
        <v>106</v>
      </c>
      <c r="C41" s="12">
        <v>6</v>
      </c>
      <c r="D41" s="8">
        <v>1.19</v>
      </c>
      <c r="E41" s="12">
        <v>0</v>
      </c>
      <c r="F41" s="8">
        <v>0</v>
      </c>
      <c r="G41" s="12">
        <v>6</v>
      </c>
      <c r="H41" s="8">
        <v>3.61</v>
      </c>
      <c r="I41" s="12">
        <v>0</v>
      </c>
    </row>
    <row r="42" spans="2:9" ht="15" customHeight="1" x14ac:dyDescent="0.2">
      <c r="B42" t="s">
        <v>101</v>
      </c>
      <c r="C42" s="12">
        <v>6</v>
      </c>
      <c r="D42" s="8">
        <v>1.19</v>
      </c>
      <c r="E42" s="12">
        <v>0</v>
      </c>
      <c r="F42" s="8">
        <v>0</v>
      </c>
      <c r="G42" s="12">
        <v>6</v>
      </c>
      <c r="H42" s="8">
        <v>3.61</v>
      </c>
      <c r="I42" s="12">
        <v>0</v>
      </c>
    </row>
    <row r="43" spans="2:9" ht="15" customHeight="1" x14ac:dyDescent="0.2">
      <c r="B43" t="s">
        <v>86</v>
      </c>
      <c r="C43" s="12">
        <v>5</v>
      </c>
      <c r="D43" s="8">
        <v>0.99</v>
      </c>
      <c r="E43" s="12">
        <v>1</v>
      </c>
      <c r="F43" s="8">
        <v>0.3</v>
      </c>
      <c r="G43" s="12">
        <v>4</v>
      </c>
      <c r="H43" s="8">
        <v>2.41</v>
      </c>
      <c r="I43" s="12">
        <v>0</v>
      </c>
    </row>
    <row r="44" spans="2:9" ht="15" customHeight="1" x14ac:dyDescent="0.2">
      <c r="B44" t="s">
        <v>87</v>
      </c>
      <c r="C44" s="12">
        <v>5</v>
      </c>
      <c r="D44" s="8">
        <v>0.99</v>
      </c>
      <c r="E44" s="12">
        <v>1</v>
      </c>
      <c r="F44" s="8">
        <v>0.3</v>
      </c>
      <c r="G44" s="12">
        <v>4</v>
      </c>
      <c r="H44" s="8">
        <v>2.41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174</v>
      </c>
      <c r="C48" s="12">
        <v>26</v>
      </c>
      <c r="D48" s="8">
        <v>5.15</v>
      </c>
      <c r="E48" s="12">
        <v>24</v>
      </c>
      <c r="F48" s="8">
        <v>7.27</v>
      </c>
      <c r="G48" s="12">
        <v>2</v>
      </c>
      <c r="H48" s="8">
        <v>1.2</v>
      </c>
      <c r="I48" s="12">
        <v>0</v>
      </c>
    </row>
    <row r="49" spans="2:9" ht="15" customHeight="1" x14ac:dyDescent="0.2">
      <c r="B49" t="s">
        <v>173</v>
      </c>
      <c r="C49" s="12">
        <v>22</v>
      </c>
      <c r="D49" s="8">
        <v>4.3600000000000003</v>
      </c>
      <c r="E49" s="12">
        <v>22</v>
      </c>
      <c r="F49" s="8">
        <v>6.67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172</v>
      </c>
      <c r="C50" s="12">
        <v>20</v>
      </c>
      <c r="D50" s="8">
        <v>3.96</v>
      </c>
      <c r="E50" s="12">
        <v>19</v>
      </c>
      <c r="F50" s="8">
        <v>5.76</v>
      </c>
      <c r="G50" s="12">
        <v>1</v>
      </c>
      <c r="H50" s="8">
        <v>0.6</v>
      </c>
      <c r="I50" s="12">
        <v>0</v>
      </c>
    </row>
    <row r="51" spans="2:9" ht="15" customHeight="1" x14ac:dyDescent="0.2">
      <c r="B51" t="s">
        <v>168</v>
      </c>
      <c r="C51" s="12">
        <v>19</v>
      </c>
      <c r="D51" s="8">
        <v>3.76</v>
      </c>
      <c r="E51" s="12">
        <v>18</v>
      </c>
      <c r="F51" s="8">
        <v>5.45</v>
      </c>
      <c r="G51" s="12">
        <v>1</v>
      </c>
      <c r="H51" s="8">
        <v>0.6</v>
      </c>
      <c r="I51" s="12">
        <v>0</v>
      </c>
    </row>
    <row r="52" spans="2:9" ht="15" customHeight="1" x14ac:dyDescent="0.2">
      <c r="B52" t="s">
        <v>171</v>
      </c>
      <c r="C52" s="12">
        <v>16</v>
      </c>
      <c r="D52" s="8">
        <v>3.17</v>
      </c>
      <c r="E52" s="12">
        <v>15</v>
      </c>
      <c r="F52" s="8">
        <v>4.55</v>
      </c>
      <c r="G52" s="12">
        <v>1</v>
      </c>
      <c r="H52" s="8">
        <v>0.6</v>
      </c>
      <c r="I52" s="12">
        <v>0</v>
      </c>
    </row>
    <row r="53" spans="2:9" ht="15" customHeight="1" x14ac:dyDescent="0.2">
      <c r="B53" t="s">
        <v>158</v>
      </c>
      <c r="C53" s="12">
        <v>15</v>
      </c>
      <c r="D53" s="8">
        <v>2.97</v>
      </c>
      <c r="E53" s="12">
        <v>4</v>
      </c>
      <c r="F53" s="8">
        <v>1.21</v>
      </c>
      <c r="G53" s="12">
        <v>11</v>
      </c>
      <c r="H53" s="8">
        <v>6.63</v>
      </c>
      <c r="I53" s="12">
        <v>0</v>
      </c>
    </row>
    <row r="54" spans="2:9" ht="15" customHeight="1" x14ac:dyDescent="0.2">
      <c r="B54" t="s">
        <v>166</v>
      </c>
      <c r="C54" s="12">
        <v>13</v>
      </c>
      <c r="D54" s="8">
        <v>2.57</v>
      </c>
      <c r="E54" s="12">
        <v>12</v>
      </c>
      <c r="F54" s="8">
        <v>3.64</v>
      </c>
      <c r="G54" s="12">
        <v>1</v>
      </c>
      <c r="H54" s="8">
        <v>0.6</v>
      </c>
      <c r="I54" s="12">
        <v>0</v>
      </c>
    </row>
    <row r="55" spans="2:9" ht="15" customHeight="1" x14ac:dyDescent="0.2">
      <c r="B55" t="s">
        <v>170</v>
      </c>
      <c r="C55" s="12">
        <v>13</v>
      </c>
      <c r="D55" s="8">
        <v>2.57</v>
      </c>
      <c r="E55" s="12">
        <v>12</v>
      </c>
      <c r="F55" s="8">
        <v>3.64</v>
      </c>
      <c r="G55" s="12">
        <v>1</v>
      </c>
      <c r="H55" s="8">
        <v>0.6</v>
      </c>
      <c r="I55" s="12">
        <v>0</v>
      </c>
    </row>
    <row r="56" spans="2:9" ht="15" customHeight="1" x14ac:dyDescent="0.2">
      <c r="B56" t="s">
        <v>163</v>
      </c>
      <c r="C56" s="12">
        <v>11</v>
      </c>
      <c r="D56" s="8">
        <v>2.1800000000000002</v>
      </c>
      <c r="E56" s="12">
        <v>7</v>
      </c>
      <c r="F56" s="8">
        <v>2.12</v>
      </c>
      <c r="G56" s="12">
        <v>4</v>
      </c>
      <c r="H56" s="8">
        <v>2.41</v>
      </c>
      <c r="I56" s="12">
        <v>0</v>
      </c>
    </row>
    <row r="57" spans="2:9" ht="15" customHeight="1" x14ac:dyDescent="0.2">
      <c r="B57" t="s">
        <v>201</v>
      </c>
      <c r="C57" s="12">
        <v>10</v>
      </c>
      <c r="D57" s="8">
        <v>1.98</v>
      </c>
      <c r="E57" s="12">
        <v>8</v>
      </c>
      <c r="F57" s="8">
        <v>2.42</v>
      </c>
      <c r="G57" s="12">
        <v>2</v>
      </c>
      <c r="H57" s="8">
        <v>1.2</v>
      </c>
      <c r="I57" s="12">
        <v>0</v>
      </c>
    </row>
    <row r="58" spans="2:9" ht="15" customHeight="1" x14ac:dyDescent="0.2">
      <c r="B58" t="s">
        <v>210</v>
      </c>
      <c r="C58" s="12">
        <v>10</v>
      </c>
      <c r="D58" s="8">
        <v>1.98</v>
      </c>
      <c r="E58" s="12">
        <v>8</v>
      </c>
      <c r="F58" s="8">
        <v>2.42</v>
      </c>
      <c r="G58" s="12">
        <v>2</v>
      </c>
      <c r="H58" s="8">
        <v>1.2</v>
      </c>
      <c r="I58" s="12">
        <v>0</v>
      </c>
    </row>
    <row r="59" spans="2:9" ht="15" customHeight="1" x14ac:dyDescent="0.2">
      <c r="B59" t="s">
        <v>185</v>
      </c>
      <c r="C59" s="12">
        <v>10</v>
      </c>
      <c r="D59" s="8">
        <v>1.98</v>
      </c>
      <c r="E59" s="12">
        <v>2</v>
      </c>
      <c r="F59" s="8">
        <v>0.61</v>
      </c>
      <c r="G59" s="12">
        <v>8</v>
      </c>
      <c r="H59" s="8">
        <v>4.82</v>
      </c>
      <c r="I59" s="12">
        <v>0</v>
      </c>
    </row>
    <row r="60" spans="2:9" ht="15" customHeight="1" x14ac:dyDescent="0.2">
      <c r="B60" t="s">
        <v>167</v>
      </c>
      <c r="C60" s="12">
        <v>10</v>
      </c>
      <c r="D60" s="8">
        <v>1.98</v>
      </c>
      <c r="E60" s="12">
        <v>4</v>
      </c>
      <c r="F60" s="8">
        <v>1.21</v>
      </c>
      <c r="G60" s="12">
        <v>6</v>
      </c>
      <c r="H60" s="8">
        <v>3.61</v>
      </c>
      <c r="I60" s="12">
        <v>0</v>
      </c>
    </row>
    <row r="61" spans="2:9" ht="15" customHeight="1" x14ac:dyDescent="0.2">
      <c r="B61" t="s">
        <v>160</v>
      </c>
      <c r="C61" s="12">
        <v>9</v>
      </c>
      <c r="D61" s="8">
        <v>1.78</v>
      </c>
      <c r="E61" s="12">
        <v>6</v>
      </c>
      <c r="F61" s="8">
        <v>1.82</v>
      </c>
      <c r="G61" s="12">
        <v>3</v>
      </c>
      <c r="H61" s="8">
        <v>1.81</v>
      </c>
      <c r="I61" s="12">
        <v>0</v>
      </c>
    </row>
    <row r="62" spans="2:9" ht="15" customHeight="1" x14ac:dyDescent="0.2">
      <c r="B62" t="s">
        <v>178</v>
      </c>
      <c r="C62" s="12">
        <v>9</v>
      </c>
      <c r="D62" s="8">
        <v>1.78</v>
      </c>
      <c r="E62" s="12">
        <v>9</v>
      </c>
      <c r="F62" s="8">
        <v>2.73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161</v>
      </c>
      <c r="C63" s="12">
        <v>8</v>
      </c>
      <c r="D63" s="8">
        <v>1.58</v>
      </c>
      <c r="E63" s="12">
        <v>3</v>
      </c>
      <c r="F63" s="8">
        <v>0.91</v>
      </c>
      <c r="G63" s="12">
        <v>5</v>
      </c>
      <c r="H63" s="8">
        <v>3.01</v>
      </c>
      <c r="I63" s="12">
        <v>0</v>
      </c>
    </row>
    <row r="64" spans="2:9" ht="15" customHeight="1" x14ac:dyDescent="0.2">
      <c r="B64" t="s">
        <v>190</v>
      </c>
      <c r="C64" s="12">
        <v>8</v>
      </c>
      <c r="D64" s="8">
        <v>1.58</v>
      </c>
      <c r="E64" s="12">
        <v>8</v>
      </c>
      <c r="F64" s="8">
        <v>2.42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182</v>
      </c>
      <c r="C65" s="12">
        <v>8</v>
      </c>
      <c r="D65" s="8">
        <v>1.58</v>
      </c>
      <c r="E65" s="12">
        <v>3</v>
      </c>
      <c r="F65" s="8">
        <v>0.91</v>
      </c>
      <c r="G65" s="12">
        <v>5</v>
      </c>
      <c r="H65" s="8">
        <v>3.01</v>
      </c>
      <c r="I65" s="12">
        <v>0</v>
      </c>
    </row>
    <row r="66" spans="2:9" ht="15" customHeight="1" x14ac:dyDescent="0.2">
      <c r="B66" t="s">
        <v>240</v>
      </c>
      <c r="C66" s="12">
        <v>8</v>
      </c>
      <c r="D66" s="8">
        <v>1.58</v>
      </c>
      <c r="E66" s="12">
        <v>0</v>
      </c>
      <c r="F66" s="8">
        <v>0</v>
      </c>
      <c r="G66" s="12">
        <v>1</v>
      </c>
      <c r="H66" s="8">
        <v>0.6</v>
      </c>
      <c r="I66" s="12">
        <v>0</v>
      </c>
    </row>
    <row r="67" spans="2:9" ht="15" customHeight="1" x14ac:dyDescent="0.2">
      <c r="B67" t="s">
        <v>159</v>
      </c>
      <c r="C67" s="12">
        <v>7</v>
      </c>
      <c r="D67" s="8">
        <v>1.39</v>
      </c>
      <c r="E67" s="12">
        <v>3</v>
      </c>
      <c r="F67" s="8">
        <v>0.91</v>
      </c>
      <c r="G67" s="12">
        <v>4</v>
      </c>
      <c r="H67" s="8">
        <v>2.41</v>
      </c>
      <c r="I67" s="12">
        <v>0</v>
      </c>
    </row>
    <row r="68" spans="2:9" ht="15" customHeight="1" x14ac:dyDescent="0.2">
      <c r="B68" t="s">
        <v>191</v>
      </c>
      <c r="C68" s="12">
        <v>7</v>
      </c>
      <c r="D68" s="8">
        <v>1.39</v>
      </c>
      <c r="E68" s="12">
        <v>6</v>
      </c>
      <c r="F68" s="8">
        <v>1.82</v>
      </c>
      <c r="G68" s="12">
        <v>1</v>
      </c>
      <c r="H68" s="8">
        <v>0.6</v>
      </c>
      <c r="I68" s="12">
        <v>0</v>
      </c>
    </row>
    <row r="69" spans="2:9" ht="15" customHeight="1" x14ac:dyDescent="0.2">
      <c r="B69" t="s">
        <v>164</v>
      </c>
      <c r="C69" s="12">
        <v>7</v>
      </c>
      <c r="D69" s="8">
        <v>1.39</v>
      </c>
      <c r="E69" s="12">
        <v>4</v>
      </c>
      <c r="F69" s="8">
        <v>1.21</v>
      </c>
      <c r="G69" s="12">
        <v>3</v>
      </c>
      <c r="H69" s="8">
        <v>1.81</v>
      </c>
      <c r="I69" s="12">
        <v>0</v>
      </c>
    </row>
    <row r="70" spans="2:9" ht="15" customHeight="1" x14ac:dyDescent="0.2">
      <c r="B70" t="s">
        <v>193</v>
      </c>
      <c r="C70" s="12">
        <v>7</v>
      </c>
      <c r="D70" s="8">
        <v>1.39</v>
      </c>
      <c r="E70" s="12">
        <v>3</v>
      </c>
      <c r="F70" s="8">
        <v>0.91</v>
      </c>
      <c r="G70" s="12">
        <v>4</v>
      </c>
      <c r="H70" s="8">
        <v>2.41</v>
      </c>
      <c r="I70" s="12">
        <v>0</v>
      </c>
    </row>
    <row r="71" spans="2:9" ht="15" customHeight="1" x14ac:dyDescent="0.2">
      <c r="B71" t="s">
        <v>176</v>
      </c>
      <c r="C71" s="12">
        <v>7</v>
      </c>
      <c r="D71" s="8">
        <v>1.39</v>
      </c>
      <c r="E71" s="12">
        <v>7</v>
      </c>
      <c r="F71" s="8">
        <v>2.12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012D5-F7C0-4A01-B7A1-528B267AA47E}">
  <sheetPr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13</v>
      </c>
      <c r="D6" s="8">
        <v>22.41</v>
      </c>
      <c r="E6" s="12">
        <v>3</v>
      </c>
      <c r="F6" s="8">
        <v>11.11</v>
      </c>
      <c r="G6" s="12">
        <v>10</v>
      </c>
      <c r="H6" s="8">
        <v>34.479999999999997</v>
      </c>
      <c r="I6" s="12">
        <v>0</v>
      </c>
    </row>
    <row r="7" spans="2:9" ht="15" customHeight="1" x14ac:dyDescent="0.2">
      <c r="B7" t="s">
        <v>62</v>
      </c>
      <c r="C7" s="12">
        <v>6</v>
      </c>
      <c r="D7" s="8">
        <v>10.34</v>
      </c>
      <c r="E7" s="12">
        <v>2</v>
      </c>
      <c r="F7" s="8">
        <v>7.41</v>
      </c>
      <c r="G7" s="12">
        <v>4</v>
      </c>
      <c r="H7" s="8">
        <v>13.79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1.72</v>
      </c>
      <c r="E9" s="12">
        <v>0</v>
      </c>
      <c r="F9" s="8">
        <v>0</v>
      </c>
      <c r="G9" s="12">
        <v>1</v>
      </c>
      <c r="H9" s="8">
        <v>3.45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18</v>
      </c>
      <c r="D11" s="8">
        <v>31.03</v>
      </c>
      <c r="E11" s="12">
        <v>8</v>
      </c>
      <c r="F11" s="8">
        <v>29.63</v>
      </c>
      <c r="G11" s="12">
        <v>9</v>
      </c>
      <c r="H11" s="8">
        <v>31.03</v>
      </c>
      <c r="I11" s="12">
        <v>1</v>
      </c>
    </row>
    <row r="12" spans="2:9" ht="15" customHeight="1" x14ac:dyDescent="0.2">
      <c r="B12" t="s">
        <v>67</v>
      </c>
      <c r="C12" s="12">
        <v>1</v>
      </c>
      <c r="D12" s="8">
        <v>1.72</v>
      </c>
      <c r="E12" s="12">
        <v>0</v>
      </c>
      <c r="F12" s="8">
        <v>0</v>
      </c>
      <c r="G12" s="12">
        <v>1</v>
      </c>
      <c r="H12" s="8">
        <v>3.45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1.72</v>
      </c>
      <c r="E14" s="12">
        <v>0</v>
      </c>
      <c r="F14" s="8">
        <v>0</v>
      </c>
      <c r="G14" s="12">
        <v>1</v>
      </c>
      <c r="H14" s="8">
        <v>3.45</v>
      </c>
      <c r="I14" s="12">
        <v>0</v>
      </c>
    </row>
    <row r="15" spans="2:9" ht="15" customHeight="1" x14ac:dyDescent="0.2">
      <c r="B15" t="s">
        <v>70</v>
      </c>
      <c r="C15" s="12">
        <v>4</v>
      </c>
      <c r="D15" s="8">
        <v>6.9</v>
      </c>
      <c r="E15" s="12">
        <v>2</v>
      </c>
      <c r="F15" s="8">
        <v>7.41</v>
      </c>
      <c r="G15" s="12">
        <v>2</v>
      </c>
      <c r="H15" s="8">
        <v>6.9</v>
      </c>
      <c r="I15" s="12">
        <v>0</v>
      </c>
    </row>
    <row r="16" spans="2:9" ht="15" customHeight="1" x14ac:dyDescent="0.2">
      <c r="B16" t="s">
        <v>71</v>
      </c>
      <c r="C16" s="12">
        <v>5</v>
      </c>
      <c r="D16" s="8">
        <v>8.6199999999999992</v>
      </c>
      <c r="E16" s="12">
        <v>5</v>
      </c>
      <c r="F16" s="8">
        <v>18.52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3</v>
      </c>
      <c r="D17" s="8">
        <v>5.17</v>
      </c>
      <c r="E17" s="12">
        <v>3</v>
      </c>
      <c r="F17" s="8">
        <v>11.11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2</v>
      </c>
      <c r="D18" s="8">
        <v>3.45</v>
      </c>
      <c r="E18" s="12">
        <v>1</v>
      </c>
      <c r="F18" s="8">
        <v>3.7</v>
      </c>
      <c r="G18" s="12">
        <v>1</v>
      </c>
      <c r="H18" s="8">
        <v>3.45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6.9</v>
      </c>
      <c r="E19" s="12">
        <v>3</v>
      </c>
      <c r="F19" s="8">
        <v>11.11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SUM(LTBL_07422[総数／事業所数])</f>
        <v>58</v>
      </c>
      <c r="E20" s="12">
        <f>SUBTOTAL(109,LTBL_07422[個人／事業所数])</f>
        <v>27</v>
      </c>
      <c r="G20" s="12">
        <f>SUBTOTAL(109,LTBL_07422[法人／事業所数])</f>
        <v>29</v>
      </c>
      <c r="I20" s="12">
        <f>SUBTOTAL(109,LTBL_07422[法人以外の団体／事業所数])</f>
        <v>1</v>
      </c>
    </row>
    <row r="21" spans="2:9" ht="15" customHeight="1" x14ac:dyDescent="0.2">
      <c r="E21" s="11">
        <f>LTBL_07422[[#Totals],[個人／事業所数]]/LTBL_07422[[#Totals],[総数／事業所数]]</f>
        <v>0.46551724137931033</v>
      </c>
      <c r="G21" s="11">
        <f>LTBL_07422[[#Totals],[法人／事業所数]]/LTBL_07422[[#Totals],[総数／事業所数]]</f>
        <v>0.5</v>
      </c>
      <c r="I21" s="11">
        <f>LTBL_07422[[#Totals],[法人以外の団体／事業所数]]/LTBL_07422[[#Totals],[総数／事業所数]]</f>
        <v>1.7241379310344827E-2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7</v>
      </c>
      <c r="D24" s="8">
        <v>12.07</v>
      </c>
      <c r="E24" s="12">
        <v>1</v>
      </c>
      <c r="F24" s="8">
        <v>3.7</v>
      </c>
      <c r="G24" s="12">
        <v>6</v>
      </c>
      <c r="H24" s="8">
        <v>20.69</v>
      </c>
      <c r="I24" s="12">
        <v>0</v>
      </c>
    </row>
    <row r="25" spans="2:9" ht="15" customHeight="1" x14ac:dyDescent="0.2">
      <c r="B25" t="s">
        <v>89</v>
      </c>
      <c r="C25" s="12">
        <v>6</v>
      </c>
      <c r="D25" s="8">
        <v>10.34</v>
      </c>
      <c r="E25" s="12">
        <v>4</v>
      </c>
      <c r="F25" s="8">
        <v>14.81</v>
      </c>
      <c r="G25" s="12">
        <v>1</v>
      </c>
      <c r="H25" s="8">
        <v>3.45</v>
      </c>
      <c r="I25" s="12">
        <v>1</v>
      </c>
    </row>
    <row r="26" spans="2:9" ht="15" customHeight="1" x14ac:dyDescent="0.2">
      <c r="B26" t="s">
        <v>85</v>
      </c>
      <c r="C26" s="12">
        <v>4</v>
      </c>
      <c r="D26" s="8">
        <v>6.9</v>
      </c>
      <c r="E26" s="12">
        <v>1</v>
      </c>
      <c r="F26" s="8">
        <v>3.7</v>
      </c>
      <c r="G26" s="12">
        <v>3</v>
      </c>
      <c r="H26" s="8">
        <v>10.34</v>
      </c>
      <c r="I26" s="12">
        <v>0</v>
      </c>
    </row>
    <row r="27" spans="2:9" ht="15" customHeight="1" x14ac:dyDescent="0.2">
      <c r="B27" t="s">
        <v>106</v>
      </c>
      <c r="C27" s="12">
        <v>4</v>
      </c>
      <c r="D27" s="8">
        <v>6.9</v>
      </c>
      <c r="E27" s="12">
        <v>1</v>
      </c>
      <c r="F27" s="8">
        <v>3.7</v>
      </c>
      <c r="G27" s="12">
        <v>3</v>
      </c>
      <c r="H27" s="8">
        <v>10.34</v>
      </c>
      <c r="I27" s="12">
        <v>0</v>
      </c>
    </row>
    <row r="28" spans="2:9" ht="15" customHeight="1" x14ac:dyDescent="0.2">
      <c r="B28" t="s">
        <v>91</v>
      </c>
      <c r="C28" s="12">
        <v>4</v>
      </c>
      <c r="D28" s="8">
        <v>6.9</v>
      </c>
      <c r="E28" s="12">
        <v>2</v>
      </c>
      <c r="F28" s="8">
        <v>7.41</v>
      </c>
      <c r="G28" s="12">
        <v>2</v>
      </c>
      <c r="H28" s="8">
        <v>6.9</v>
      </c>
      <c r="I28" s="12">
        <v>0</v>
      </c>
    </row>
    <row r="29" spans="2:9" ht="15" customHeight="1" x14ac:dyDescent="0.2">
      <c r="B29" t="s">
        <v>97</v>
      </c>
      <c r="C29" s="12">
        <v>4</v>
      </c>
      <c r="D29" s="8">
        <v>6.9</v>
      </c>
      <c r="E29" s="12">
        <v>4</v>
      </c>
      <c r="F29" s="8">
        <v>14.81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90</v>
      </c>
      <c r="C30" s="12">
        <v>3</v>
      </c>
      <c r="D30" s="8">
        <v>5.17</v>
      </c>
      <c r="E30" s="12">
        <v>1</v>
      </c>
      <c r="F30" s="8">
        <v>3.7</v>
      </c>
      <c r="G30" s="12">
        <v>2</v>
      </c>
      <c r="H30" s="8">
        <v>6.9</v>
      </c>
      <c r="I30" s="12">
        <v>0</v>
      </c>
    </row>
    <row r="31" spans="2:9" ht="15" customHeight="1" x14ac:dyDescent="0.2">
      <c r="B31" t="s">
        <v>96</v>
      </c>
      <c r="C31" s="12">
        <v>3</v>
      </c>
      <c r="D31" s="8">
        <v>5.17</v>
      </c>
      <c r="E31" s="12">
        <v>2</v>
      </c>
      <c r="F31" s="8">
        <v>7.41</v>
      </c>
      <c r="G31" s="12">
        <v>1</v>
      </c>
      <c r="H31" s="8">
        <v>3.45</v>
      </c>
      <c r="I31" s="12">
        <v>0</v>
      </c>
    </row>
    <row r="32" spans="2:9" ht="15" customHeight="1" x14ac:dyDescent="0.2">
      <c r="B32" t="s">
        <v>99</v>
      </c>
      <c r="C32" s="12">
        <v>3</v>
      </c>
      <c r="D32" s="8">
        <v>5.17</v>
      </c>
      <c r="E32" s="12">
        <v>3</v>
      </c>
      <c r="F32" s="8">
        <v>11.11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84</v>
      </c>
      <c r="C33" s="12">
        <v>2</v>
      </c>
      <c r="D33" s="8">
        <v>3.45</v>
      </c>
      <c r="E33" s="12">
        <v>1</v>
      </c>
      <c r="F33" s="8">
        <v>3.7</v>
      </c>
      <c r="G33" s="12">
        <v>1</v>
      </c>
      <c r="H33" s="8">
        <v>3.45</v>
      </c>
      <c r="I33" s="12">
        <v>0</v>
      </c>
    </row>
    <row r="34" spans="2:9" ht="15" customHeight="1" x14ac:dyDescent="0.2">
      <c r="B34" t="s">
        <v>130</v>
      </c>
      <c r="C34" s="12">
        <v>2</v>
      </c>
      <c r="D34" s="8">
        <v>3.45</v>
      </c>
      <c r="E34" s="12">
        <v>1</v>
      </c>
      <c r="F34" s="8">
        <v>3.7</v>
      </c>
      <c r="G34" s="12">
        <v>1</v>
      </c>
      <c r="H34" s="8">
        <v>3.45</v>
      </c>
      <c r="I34" s="12">
        <v>0</v>
      </c>
    </row>
    <row r="35" spans="2:9" ht="15" customHeight="1" x14ac:dyDescent="0.2">
      <c r="B35" t="s">
        <v>102</v>
      </c>
      <c r="C35" s="12">
        <v>2</v>
      </c>
      <c r="D35" s="8">
        <v>3.45</v>
      </c>
      <c r="E35" s="12">
        <v>2</v>
      </c>
      <c r="F35" s="8">
        <v>7.41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110</v>
      </c>
      <c r="C36" s="12">
        <v>1</v>
      </c>
      <c r="D36" s="8">
        <v>1.72</v>
      </c>
      <c r="E36" s="12">
        <v>0</v>
      </c>
      <c r="F36" s="8">
        <v>0</v>
      </c>
      <c r="G36" s="12">
        <v>1</v>
      </c>
      <c r="H36" s="8">
        <v>3.45</v>
      </c>
      <c r="I36" s="12">
        <v>0</v>
      </c>
    </row>
    <row r="37" spans="2:9" ht="15" customHeight="1" x14ac:dyDescent="0.2">
      <c r="B37" t="s">
        <v>124</v>
      </c>
      <c r="C37" s="12">
        <v>1</v>
      </c>
      <c r="D37" s="8">
        <v>1.72</v>
      </c>
      <c r="E37" s="12">
        <v>0</v>
      </c>
      <c r="F37" s="8">
        <v>0</v>
      </c>
      <c r="G37" s="12">
        <v>1</v>
      </c>
      <c r="H37" s="8">
        <v>3.45</v>
      </c>
      <c r="I37" s="12">
        <v>0</v>
      </c>
    </row>
    <row r="38" spans="2:9" ht="15" customHeight="1" x14ac:dyDescent="0.2">
      <c r="B38" t="s">
        <v>114</v>
      </c>
      <c r="C38" s="12">
        <v>1</v>
      </c>
      <c r="D38" s="8">
        <v>1.72</v>
      </c>
      <c r="E38" s="12">
        <v>1</v>
      </c>
      <c r="F38" s="8">
        <v>3.7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105</v>
      </c>
      <c r="C39" s="12">
        <v>1</v>
      </c>
      <c r="D39" s="8">
        <v>1.72</v>
      </c>
      <c r="E39" s="12">
        <v>0</v>
      </c>
      <c r="F39" s="8">
        <v>0</v>
      </c>
      <c r="G39" s="12">
        <v>1</v>
      </c>
      <c r="H39" s="8">
        <v>3.45</v>
      </c>
      <c r="I39" s="12">
        <v>0</v>
      </c>
    </row>
    <row r="40" spans="2:9" ht="15" customHeight="1" x14ac:dyDescent="0.2">
      <c r="B40" t="s">
        <v>128</v>
      </c>
      <c r="C40" s="12">
        <v>1</v>
      </c>
      <c r="D40" s="8">
        <v>1.72</v>
      </c>
      <c r="E40" s="12">
        <v>0</v>
      </c>
      <c r="F40" s="8">
        <v>0</v>
      </c>
      <c r="G40" s="12">
        <v>1</v>
      </c>
      <c r="H40" s="8">
        <v>3.45</v>
      </c>
      <c r="I40" s="12">
        <v>0</v>
      </c>
    </row>
    <row r="41" spans="2:9" ht="15" customHeight="1" x14ac:dyDescent="0.2">
      <c r="B41" t="s">
        <v>107</v>
      </c>
      <c r="C41" s="12">
        <v>1</v>
      </c>
      <c r="D41" s="8">
        <v>1.72</v>
      </c>
      <c r="E41" s="12">
        <v>0</v>
      </c>
      <c r="F41" s="8">
        <v>0</v>
      </c>
      <c r="G41" s="12">
        <v>1</v>
      </c>
      <c r="H41" s="8">
        <v>3.45</v>
      </c>
      <c r="I41" s="12">
        <v>0</v>
      </c>
    </row>
    <row r="42" spans="2:9" ht="15" customHeight="1" x14ac:dyDescent="0.2">
      <c r="B42" t="s">
        <v>109</v>
      </c>
      <c r="C42" s="12">
        <v>1</v>
      </c>
      <c r="D42" s="8">
        <v>1.72</v>
      </c>
      <c r="E42" s="12">
        <v>0</v>
      </c>
      <c r="F42" s="8">
        <v>0</v>
      </c>
      <c r="G42" s="12">
        <v>1</v>
      </c>
      <c r="H42" s="8">
        <v>3.45</v>
      </c>
      <c r="I42" s="12">
        <v>0</v>
      </c>
    </row>
    <row r="43" spans="2:9" ht="15" customHeight="1" x14ac:dyDescent="0.2">
      <c r="B43" t="s">
        <v>94</v>
      </c>
      <c r="C43" s="12">
        <v>1</v>
      </c>
      <c r="D43" s="8">
        <v>1.72</v>
      </c>
      <c r="E43" s="12">
        <v>0</v>
      </c>
      <c r="F43" s="8">
        <v>0</v>
      </c>
      <c r="G43" s="12">
        <v>1</v>
      </c>
      <c r="H43" s="8">
        <v>3.45</v>
      </c>
      <c r="I43" s="12">
        <v>0</v>
      </c>
    </row>
    <row r="44" spans="2:9" ht="15" customHeight="1" x14ac:dyDescent="0.2">
      <c r="B44" t="s">
        <v>113</v>
      </c>
      <c r="C44" s="12">
        <v>1</v>
      </c>
      <c r="D44" s="8">
        <v>1.72</v>
      </c>
      <c r="E44" s="12">
        <v>0</v>
      </c>
      <c r="F44" s="8">
        <v>0</v>
      </c>
      <c r="G44" s="12">
        <v>1</v>
      </c>
      <c r="H44" s="8">
        <v>3.45</v>
      </c>
      <c r="I44" s="12">
        <v>0</v>
      </c>
    </row>
    <row r="45" spans="2:9" ht="15" customHeight="1" x14ac:dyDescent="0.2">
      <c r="B45" t="s">
        <v>98</v>
      </c>
      <c r="C45" s="12">
        <v>1</v>
      </c>
      <c r="D45" s="8">
        <v>1.72</v>
      </c>
      <c r="E45" s="12">
        <v>1</v>
      </c>
      <c r="F45" s="8">
        <v>3.7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100</v>
      </c>
      <c r="C46" s="12">
        <v>1</v>
      </c>
      <c r="D46" s="8">
        <v>1.72</v>
      </c>
      <c r="E46" s="12">
        <v>1</v>
      </c>
      <c r="F46" s="8">
        <v>3.7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101</v>
      </c>
      <c r="C47" s="12">
        <v>1</v>
      </c>
      <c r="D47" s="8">
        <v>1.72</v>
      </c>
      <c r="E47" s="12">
        <v>0</v>
      </c>
      <c r="F47" s="8">
        <v>0</v>
      </c>
      <c r="G47" s="12">
        <v>1</v>
      </c>
      <c r="H47" s="8">
        <v>3.45</v>
      </c>
      <c r="I47" s="12">
        <v>0</v>
      </c>
    </row>
    <row r="48" spans="2:9" ht="15" customHeight="1" x14ac:dyDescent="0.2">
      <c r="B48" t="s">
        <v>120</v>
      </c>
      <c r="C48" s="12">
        <v>1</v>
      </c>
      <c r="D48" s="8">
        <v>1.72</v>
      </c>
      <c r="E48" s="12">
        <v>1</v>
      </c>
      <c r="F48" s="8">
        <v>3.7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140</v>
      </c>
      <c r="C49" s="12">
        <v>1</v>
      </c>
      <c r="D49" s="8">
        <v>1.72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339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2">
      <c r="B53" t="s">
        <v>225</v>
      </c>
      <c r="C53" s="12">
        <v>4</v>
      </c>
      <c r="D53" s="8">
        <v>6.9</v>
      </c>
      <c r="E53" s="12">
        <v>1</v>
      </c>
      <c r="F53" s="8">
        <v>3.7</v>
      </c>
      <c r="G53" s="12">
        <v>3</v>
      </c>
      <c r="H53" s="8">
        <v>10.34</v>
      </c>
      <c r="I53" s="12">
        <v>0</v>
      </c>
    </row>
    <row r="54" spans="2:9" ht="15" customHeight="1" x14ac:dyDescent="0.2">
      <c r="B54" t="s">
        <v>158</v>
      </c>
      <c r="C54" s="12">
        <v>3</v>
      </c>
      <c r="D54" s="8">
        <v>5.17</v>
      </c>
      <c r="E54" s="12">
        <v>0</v>
      </c>
      <c r="F54" s="8">
        <v>0</v>
      </c>
      <c r="G54" s="12">
        <v>3</v>
      </c>
      <c r="H54" s="8">
        <v>10.34</v>
      </c>
      <c r="I54" s="12">
        <v>0</v>
      </c>
    </row>
    <row r="55" spans="2:9" ht="15" customHeight="1" x14ac:dyDescent="0.2">
      <c r="B55" t="s">
        <v>162</v>
      </c>
      <c r="C55" s="12">
        <v>3</v>
      </c>
      <c r="D55" s="8">
        <v>5.17</v>
      </c>
      <c r="E55" s="12">
        <v>1</v>
      </c>
      <c r="F55" s="8">
        <v>3.7</v>
      </c>
      <c r="G55" s="12">
        <v>2</v>
      </c>
      <c r="H55" s="8">
        <v>6.9</v>
      </c>
      <c r="I55" s="12">
        <v>0</v>
      </c>
    </row>
    <row r="56" spans="2:9" ht="15" customHeight="1" x14ac:dyDescent="0.2">
      <c r="B56" t="s">
        <v>164</v>
      </c>
      <c r="C56" s="12">
        <v>3</v>
      </c>
      <c r="D56" s="8">
        <v>5.17</v>
      </c>
      <c r="E56" s="12">
        <v>1</v>
      </c>
      <c r="F56" s="8">
        <v>3.7</v>
      </c>
      <c r="G56" s="12">
        <v>2</v>
      </c>
      <c r="H56" s="8">
        <v>6.9</v>
      </c>
      <c r="I56" s="12">
        <v>0</v>
      </c>
    </row>
    <row r="57" spans="2:9" ht="15" customHeight="1" x14ac:dyDescent="0.2">
      <c r="B57" t="s">
        <v>175</v>
      </c>
      <c r="C57" s="12">
        <v>3</v>
      </c>
      <c r="D57" s="8">
        <v>5.17</v>
      </c>
      <c r="E57" s="12">
        <v>3</v>
      </c>
      <c r="F57" s="8">
        <v>11.11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159</v>
      </c>
      <c r="C58" s="12">
        <v>2</v>
      </c>
      <c r="D58" s="8">
        <v>3.45</v>
      </c>
      <c r="E58" s="12">
        <v>0</v>
      </c>
      <c r="F58" s="8">
        <v>0</v>
      </c>
      <c r="G58" s="12">
        <v>2</v>
      </c>
      <c r="H58" s="8">
        <v>6.9</v>
      </c>
      <c r="I58" s="12">
        <v>0</v>
      </c>
    </row>
    <row r="59" spans="2:9" ht="15" customHeight="1" x14ac:dyDescent="0.2">
      <c r="B59" t="s">
        <v>160</v>
      </c>
      <c r="C59" s="12">
        <v>2</v>
      </c>
      <c r="D59" s="8">
        <v>3.45</v>
      </c>
      <c r="E59" s="12">
        <v>1</v>
      </c>
      <c r="F59" s="8">
        <v>3.7</v>
      </c>
      <c r="G59" s="12">
        <v>1</v>
      </c>
      <c r="H59" s="8">
        <v>3.45</v>
      </c>
      <c r="I59" s="12">
        <v>0</v>
      </c>
    </row>
    <row r="60" spans="2:9" ht="15" customHeight="1" x14ac:dyDescent="0.2">
      <c r="B60" t="s">
        <v>221</v>
      </c>
      <c r="C60" s="12">
        <v>2</v>
      </c>
      <c r="D60" s="8">
        <v>3.45</v>
      </c>
      <c r="E60" s="12">
        <v>1</v>
      </c>
      <c r="F60" s="8">
        <v>3.7</v>
      </c>
      <c r="G60" s="12">
        <v>1</v>
      </c>
      <c r="H60" s="8">
        <v>3.45</v>
      </c>
      <c r="I60" s="12">
        <v>0</v>
      </c>
    </row>
    <row r="61" spans="2:9" ht="15" customHeight="1" x14ac:dyDescent="0.2">
      <c r="B61" t="s">
        <v>178</v>
      </c>
      <c r="C61" s="12">
        <v>2</v>
      </c>
      <c r="D61" s="8">
        <v>3.45</v>
      </c>
      <c r="E61" s="12">
        <v>2</v>
      </c>
      <c r="F61" s="8">
        <v>7.41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208</v>
      </c>
      <c r="C62" s="12">
        <v>2</v>
      </c>
      <c r="D62" s="8">
        <v>3.45</v>
      </c>
      <c r="E62" s="12">
        <v>1</v>
      </c>
      <c r="F62" s="8">
        <v>3.7</v>
      </c>
      <c r="G62" s="12">
        <v>1</v>
      </c>
      <c r="H62" s="8">
        <v>3.45</v>
      </c>
      <c r="I62" s="12">
        <v>0</v>
      </c>
    </row>
    <row r="63" spans="2:9" ht="15" customHeight="1" x14ac:dyDescent="0.2">
      <c r="B63" t="s">
        <v>181</v>
      </c>
      <c r="C63" s="12">
        <v>2</v>
      </c>
      <c r="D63" s="8">
        <v>3.45</v>
      </c>
      <c r="E63" s="12">
        <v>1</v>
      </c>
      <c r="F63" s="8">
        <v>3.7</v>
      </c>
      <c r="G63" s="12">
        <v>1</v>
      </c>
      <c r="H63" s="8">
        <v>3.45</v>
      </c>
      <c r="I63" s="12">
        <v>0</v>
      </c>
    </row>
    <row r="64" spans="2:9" ht="15" customHeight="1" x14ac:dyDescent="0.2">
      <c r="B64" t="s">
        <v>177</v>
      </c>
      <c r="C64" s="12">
        <v>2</v>
      </c>
      <c r="D64" s="8">
        <v>3.45</v>
      </c>
      <c r="E64" s="12">
        <v>2</v>
      </c>
      <c r="F64" s="8">
        <v>7.41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202</v>
      </c>
      <c r="C65" s="12">
        <v>1</v>
      </c>
      <c r="D65" s="8">
        <v>1.72</v>
      </c>
      <c r="E65" s="12">
        <v>0</v>
      </c>
      <c r="F65" s="8">
        <v>0</v>
      </c>
      <c r="G65" s="12">
        <v>1</v>
      </c>
      <c r="H65" s="8">
        <v>3.45</v>
      </c>
      <c r="I65" s="12">
        <v>0</v>
      </c>
    </row>
    <row r="66" spans="2:9" ht="15" customHeight="1" x14ac:dyDescent="0.2">
      <c r="B66" t="s">
        <v>187</v>
      </c>
      <c r="C66" s="12">
        <v>1</v>
      </c>
      <c r="D66" s="8">
        <v>1.72</v>
      </c>
      <c r="E66" s="12">
        <v>1</v>
      </c>
      <c r="F66" s="8">
        <v>3.7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161</v>
      </c>
      <c r="C67" s="12">
        <v>1</v>
      </c>
      <c r="D67" s="8">
        <v>1.72</v>
      </c>
      <c r="E67" s="12">
        <v>0</v>
      </c>
      <c r="F67" s="8">
        <v>0</v>
      </c>
      <c r="G67" s="12">
        <v>1</v>
      </c>
      <c r="H67" s="8">
        <v>3.45</v>
      </c>
      <c r="I67" s="12">
        <v>0</v>
      </c>
    </row>
    <row r="68" spans="2:9" ht="15" customHeight="1" x14ac:dyDescent="0.2">
      <c r="B68" t="s">
        <v>244</v>
      </c>
      <c r="C68" s="12">
        <v>1</v>
      </c>
      <c r="D68" s="8">
        <v>1.72</v>
      </c>
      <c r="E68" s="12">
        <v>0</v>
      </c>
      <c r="F68" s="8">
        <v>0</v>
      </c>
      <c r="G68" s="12">
        <v>1</v>
      </c>
      <c r="H68" s="8">
        <v>3.45</v>
      </c>
      <c r="I68" s="12">
        <v>0</v>
      </c>
    </row>
    <row r="69" spans="2:9" ht="15" customHeight="1" x14ac:dyDescent="0.2">
      <c r="B69" t="s">
        <v>262</v>
      </c>
      <c r="C69" s="12">
        <v>1</v>
      </c>
      <c r="D69" s="8">
        <v>1.72</v>
      </c>
      <c r="E69" s="12">
        <v>0</v>
      </c>
      <c r="F69" s="8">
        <v>0</v>
      </c>
      <c r="G69" s="12">
        <v>1</v>
      </c>
      <c r="H69" s="8">
        <v>3.45</v>
      </c>
      <c r="I69" s="12">
        <v>0</v>
      </c>
    </row>
    <row r="70" spans="2:9" ht="15" customHeight="1" x14ac:dyDescent="0.2">
      <c r="B70" t="s">
        <v>251</v>
      </c>
      <c r="C70" s="12">
        <v>1</v>
      </c>
      <c r="D70" s="8">
        <v>1.72</v>
      </c>
      <c r="E70" s="12">
        <v>1</v>
      </c>
      <c r="F70" s="8">
        <v>3.7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263</v>
      </c>
      <c r="C71" s="12">
        <v>1</v>
      </c>
      <c r="D71" s="8">
        <v>1.72</v>
      </c>
      <c r="E71" s="12">
        <v>0</v>
      </c>
      <c r="F71" s="8">
        <v>0</v>
      </c>
      <c r="G71" s="12">
        <v>1</v>
      </c>
      <c r="H71" s="8">
        <v>3.45</v>
      </c>
      <c r="I71" s="12">
        <v>0</v>
      </c>
    </row>
    <row r="72" spans="2:9" ht="15" customHeight="1" x14ac:dyDescent="0.2">
      <c r="B72" t="s">
        <v>224</v>
      </c>
      <c r="C72" s="12">
        <v>1</v>
      </c>
      <c r="D72" s="8">
        <v>1.72</v>
      </c>
      <c r="E72" s="12">
        <v>0</v>
      </c>
      <c r="F72" s="8">
        <v>0</v>
      </c>
      <c r="G72" s="12">
        <v>1</v>
      </c>
      <c r="H72" s="8">
        <v>3.45</v>
      </c>
      <c r="I72" s="12">
        <v>0</v>
      </c>
    </row>
    <row r="73" spans="2:9" ht="15" customHeight="1" x14ac:dyDescent="0.2">
      <c r="B73" t="s">
        <v>264</v>
      </c>
      <c r="C73" s="12">
        <v>1</v>
      </c>
      <c r="D73" s="8">
        <v>1.72</v>
      </c>
      <c r="E73" s="12">
        <v>0</v>
      </c>
      <c r="F73" s="8">
        <v>0</v>
      </c>
      <c r="G73" s="12">
        <v>1</v>
      </c>
      <c r="H73" s="8">
        <v>3.45</v>
      </c>
      <c r="I73" s="12">
        <v>0</v>
      </c>
    </row>
    <row r="74" spans="2:9" ht="15" customHeight="1" x14ac:dyDescent="0.2">
      <c r="B74" t="s">
        <v>265</v>
      </c>
      <c r="C74" s="12">
        <v>1</v>
      </c>
      <c r="D74" s="8">
        <v>1.72</v>
      </c>
      <c r="E74" s="12">
        <v>1</v>
      </c>
      <c r="F74" s="8">
        <v>3.7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266</v>
      </c>
      <c r="C75" s="12">
        <v>1</v>
      </c>
      <c r="D75" s="8">
        <v>1.72</v>
      </c>
      <c r="E75" s="12">
        <v>1</v>
      </c>
      <c r="F75" s="8">
        <v>3.7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191</v>
      </c>
      <c r="C76" s="12">
        <v>1</v>
      </c>
      <c r="D76" s="8">
        <v>1.72</v>
      </c>
      <c r="E76" s="12">
        <v>0</v>
      </c>
      <c r="F76" s="8">
        <v>0</v>
      </c>
      <c r="G76" s="12">
        <v>1</v>
      </c>
      <c r="H76" s="8">
        <v>3.45</v>
      </c>
      <c r="I76" s="12">
        <v>0</v>
      </c>
    </row>
    <row r="77" spans="2:9" ht="15" customHeight="1" x14ac:dyDescent="0.2">
      <c r="B77" t="s">
        <v>163</v>
      </c>
      <c r="C77" s="12">
        <v>1</v>
      </c>
      <c r="D77" s="8">
        <v>1.72</v>
      </c>
      <c r="E77" s="12">
        <v>0</v>
      </c>
      <c r="F77" s="8">
        <v>0</v>
      </c>
      <c r="G77" s="12">
        <v>0</v>
      </c>
      <c r="H77" s="8">
        <v>0</v>
      </c>
      <c r="I77" s="12">
        <v>1</v>
      </c>
    </row>
    <row r="78" spans="2:9" ht="15" customHeight="1" x14ac:dyDescent="0.2">
      <c r="B78" t="s">
        <v>210</v>
      </c>
      <c r="C78" s="12">
        <v>1</v>
      </c>
      <c r="D78" s="8">
        <v>1.72</v>
      </c>
      <c r="E78" s="12">
        <v>1</v>
      </c>
      <c r="F78" s="8">
        <v>3.7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185</v>
      </c>
      <c r="C79" s="12">
        <v>1</v>
      </c>
      <c r="D79" s="8">
        <v>1.72</v>
      </c>
      <c r="E79" s="12">
        <v>0</v>
      </c>
      <c r="F79" s="8">
        <v>0</v>
      </c>
      <c r="G79" s="12">
        <v>1</v>
      </c>
      <c r="H79" s="8">
        <v>3.45</v>
      </c>
      <c r="I79" s="12">
        <v>0</v>
      </c>
    </row>
    <row r="80" spans="2:9" ht="15" customHeight="1" x14ac:dyDescent="0.2">
      <c r="B80" t="s">
        <v>189</v>
      </c>
      <c r="C80" s="12">
        <v>1</v>
      </c>
      <c r="D80" s="8">
        <v>1.72</v>
      </c>
      <c r="E80" s="12">
        <v>0</v>
      </c>
      <c r="F80" s="8">
        <v>0</v>
      </c>
      <c r="G80" s="12">
        <v>1</v>
      </c>
      <c r="H80" s="8">
        <v>3.45</v>
      </c>
      <c r="I80" s="12">
        <v>0</v>
      </c>
    </row>
    <row r="81" spans="2:9" ht="15" customHeight="1" x14ac:dyDescent="0.2">
      <c r="B81" t="s">
        <v>267</v>
      </c>
      <c r="C81" s="12">
        <v>1</v>
      </c>
      <c r="D81" s="8">
        <v>1.72</v>
      </c>
      <c r="E81" s="12">
        <v>0</v>
      </c>
      <c r="F81" s="8">
        <v>0</v>
      </c>
      <c r="G81" s="12">
        <v>1</v>
      </c>
      <c r="H81" s="8">
        <v>3.45</v>
      </c>
      <c r="I81" s="12">
        <v>0</v>
      </c>
    </row>
    <row r="82" spans="2:9" ht="15" customHeight="1" x14ac:dyDescent="0.2">
      <c r="B82" t="s">
        <v>170</v>
      </c>
      <c r="C82" s="12">
        <v>1</v>
      </c>
      <c r="D82" s="8">
        <v>1.72</v>
      </c>
      <c r="E82" s="12">
        <v>1</v>
      </c>
      <c r="F82" s="8">
        <v>3.7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186</v>
      </c>
      <c r="C83" s="12">
        <v>1</v>
      </c>
      <c r="D83" s="8">
        <v>1.72</v>
      </c>
      <c r="E83" s="12">
        <v>0</v>
      </c>
      <c r="F83" s="8">
        <v>0</v>
      </c>
      <c r="G83" s="12">
        <v>1</v>
      </c>
      <c r="H83" s="8">
        <v>3.45</v>
      </c>
      <c r="I83" s="12">
        <v>0</v>
      </c>
    </row>
    <row r="84" spans="2:9" ht="15" customHeight="1" x14ac:dyDescent="0.2">
      <c r="B84" t="s">
        <v>182</v>
      </c>
      <c r="C84" s="12">
        <v>1</v>
      </c>
      <c r="D84" s="8">
        <v>1.72</v>
      </c>
      <c r="E84" s="12">
        <v>1</v>
      </c>
      <c r="F84" s="8">
        <v>3.7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173</v>
      </c>
      <c r="C85" s="12">
        <v>1</v>
      </c>
      <c r="D85" s="8">
        <v>1.72</v>
      </c>
      <c r="E85" s="12">
        <v>1</v>
      </c>
      <c r="F85" s="8">
        <v>3.7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174</v>
      </c>
      <c r="C86" s="12">
        <v>1</v>
      </c>
      <c r="D86" s="8">
        <v>1.72</v>
      </c>
      <c r="E86" s="12">
        <v>1</v>
      </c>
      <c r="F86" s="8">
        <v>3.7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268</v>
      </c>
      <c r="C87" s="12">
        <v>1</v>
      </c>
      <c r="D87" s="8">
        <v>1.72</v>
      </c>
      <c r="E87" s="12">
        <v>1</v>
      </c>
      <c r="F87" s="8">
        <v>3.7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269</v>
      </c>
      <c r="C88" s="12">
        <v>1</v>
      </c>
      <c r="D88" s="8">
        <v>1.72</v>
      </c>
      <c r="E88" s="12">
        <v>1</v>
      </c>
      <c r="F88" s="8">
        <v>3.7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176</v>
      </c>
      <c r="C89" s="12">
        <v>1</v>
      </c>
      <c r="D89" s="8">
        <v>1.72</v>
      </c>
      <c r="E89" s="12">
        <v>1</v>
      </c>
      <c r="F89" s="8">
        <v>3.7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270</v>
      </c>
      <c r="C90" s="12">
        <v>1</v>
      </c>
      <c r="D90" s="8">
        <v>1.72</v>
      </c>
      <c r="E90" s="12">
        <v>0</v>
      </c>
      <c r="F90" s="8">
        <v>0</v>
      </c>
      <c r="G90" s="12">
        <v>1</v>
      </c>
      <c r="H90" s="8">
        <v>3.45</v>
      </c>
      <c r="I90" s="12">
        <v>0</v>
      </c>
    </row>
    <row r="91" spans="2:9" ht="15" customHeight="1" x14ac:dyDescent="0.2">
      <c r="B91" t="s">
        <v>206</v>
      </c>
      <c r="C91" s="12">
        <v>1</v>
      </c>
      <c r="D91" s="8">
        <v>1.72</v>
      </c>
      <c r="E91" s="12">
        <v>1</v>
      </c>
      <c r="F91" s="8">
        <v>3.7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240</v>
      </c>
      <c r="C92" s="12">
        <v>1</v>
      </c>
      <c r="D92" s="8">
        <v>1.72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4" spans="2:9" ht="15" customHeight="1" x14ac:dyDescent="0.2">
      <c r="B94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FBE5F-FFF9-4483-AB80-5A55E54FAEFD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370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25</v>
      </c>
      <c r="D6" s="8">
        <v>20.83</v>
      </c>
      <c r="E6" s="12">
        <v>17</v>
      </c>
      <c r="F6" s="8">
        <v>20.99</v>
      </c>
      <c r="G6" s="12">
        <v>8</v>
      </c>
      <c r="H6" s="8">
        <v>21.05</v>
      </c>
      <c r="I6" s="12">
        <v>0</v>
      </c>
    </row>
    <row r="7" spans="2:9" ht="15" customHeight="1" x14ac:dyDescent="0.2">
      <c r="B7" t="s">
        <v>62</v>
      </c>
      <c r="C7" s="12">
        <v>4</v>
      </c>
      <c r="D7" s="8">
        <v>3.33</v>
      </c>
      <c r="E7" s="12">
        <v>2</v>
      </c>
      <c r="F7" s="8">
        <v>2.4700000000000002</v>
      </c>
      <c r="G7" s="12">
        <v>2</v>
      </c>
      <c r="H7" s="8">
        <v>5.26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0.83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0.83</v>
      </c>
      <c r="E10" s="12">
        <v>0</v>
      </c>
      <c r="F10" s="8">
        <v>0</v>
      </c>
      <c r="G10" s="12">
        <v>1</v>
      </c>
      <c r="H10" s="8">
        <v>2.63</v>
      </c>
      <c r="I10" s="12">
        <v>0</v>
      </c>
    </row>
    <row r="11" spans="2:9" ht="15" customHeight="1" x14ac:dyDescent="0.2">
      <c r="B11" t="s">
        <v>66</v>
      </c>
      <c r="C11" s="12">
        <v>36</v>
      </c>
      <c r="D11" s="8">
        <v>30</v>
      </c>
      <c r="E11" s="12">
        <v>25</v>
      </c>
      <c r="F11" s="8">
        <v>30.86</v>
      </c>
      <c r="G11" s="12">
        <v>11</v>
      </c>
      <c r="H11" s="8">
        <v>28.95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1.67</v>
      </c>
      <c r="E13" s="12">
        <v>1</v>
      </c>
      <c r="F13" s="8">
        <v>1.23</v>
      </c>
      <c r="G13" s="12">
        <v>1</v>
      </c>
      <c r="H13" s="8">
        <v>2.63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4.17</v>
      </c>
      <c r="E14" s="12">
        <v>5</v>
      </c>
      <c r="F14" s="8">
        <v>6.17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24</v>
      </c>
      <c r="D15" s="8">
        <v>20</v>
      </c>
      <c r="E15" s="12">
        <v>19</v>
      </c>
      <c r="F15" s="8">
        <v>23.46</v>
      </c>
      <c r="G15" s="12">
        <v>5</v>
      </c>
      <c r="H15" s="8">
        <v>13.16</v>
      </c>
      <c r="I15" s="12">
        <v>0</v>
      </c>
    </row>
    <row r="16" spans="2:9" ht="15" customHeight="1" x14ac:dyDescent="0.2">
      <c r="B16" t="s">
        <v>71</v>
      </c>
      <c r="C16" s="12">
        <v>16</v>
      </c>
      <c r="D16" s="8">
        <v>13.33</v>
      </c>
      <c r="E16" s="12">
        <v>12</v>
      </c>
      <c r="F16" s="8">
        <v>14.81</v>
      </c>
      <c r="G16" s="12">
        <v>4</v>
      </c>
      <c r="H16" s="8">
        <v>10.53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3</v>
      </c>
      <c r="D18" s="8">
        <v>2.5</v>
      </c>
      <c r="E18" s="12">
        <v>0</v>
      </c>
      <c r="F18" s="8">
        <v>0</v>
      </c>
      <c r="G18" s="12">
        <v>3</v>
      </c>
      <c r="H18" s="8">
        <v>7.89</v>
      </c>
      <c r="I18" s="12">
        <v>0</v>
      </c>
    </row>
    <row r="19" spans="2:9" ht="15" customHeight="1" x14ac:dyDescent="0.2">
      <c r="B19" t="s">
        <v>74</v>
      </c>
      <c r="C19" s="12">
        <v>3</v>
      </c>
      <c r="D19" s="8">
        <v>2.5</v>
      </c>
      <c r="E19" s="12">
        <v>0</v>
      </c>
      <c r="F19" s="8">
        <v>0</v>
      </c>
      <c r="G19" s="12">
        <v>3</v>
      </c>
      <c r="H19" s="8">
        <v>7.89</v>
      </c>
      <c r="I19" s="12">
        <v>0</v>
      </c>
    </row>
    <row r="20" spans="2:9" ht="15" customHeight="1" x14ac:dyDescent="0.2">
      <c r="B20" s="9" t="s">
        <v>337</v>
      </c>
      <c r="C20" s="12">
        <f>SUM(LTBL_07423[総数／事業所数])</f>
        <v>120</v>
      </c>
      <c r="E20" s="12">
        <f>SUBTOTAL(109,LTBL_07423[個人／事業所数])</f>
        <v>81</v>
      </c>
      <c r="G20" s="12">
        <f>SUBTOTAL(109,LTBL_07423[法人／事業所数])</f>
        <v>38</v>
      </c>
      <c r="I20" s="12">
        <f>SUBTOTAL(109,LTBL_07423[法人以外の団体／事業所数])</f>
        <v>0</v>
      </c>
    </row>
    <row r="21" spans="2:9" ht="15" customHeight="1" x14ac:dyDescent="0.2">
      <c r="E21" s="11">
        <f>LTBL_07423[[#Totals],[個人／事業所数]]/LTBL_07423[[#Totals],[総数／事業所数]]</f>
        <v>0.67500000000000004</v>
      </c>
      <c r="G21" s="11">
        <f>LTBL_07423[[#Totals],[法人／事業所数]]/LTBL_07423[[#Totals],[総数／事業所数]]</f>
        <v>0.31666666666666665</v>
      </c>
      <c r="I21" s="11">
        <f>LTBL_07423[[#Totals],[法人以外の団体／事業所数]]/LTBL_07423[[#Totals],[総数／事業所数]]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89</v>
      </c>
      <c r="C24" s="12">
        <v>18</v>
      </c>
      <c r="D24" s="8">
        <v>15</v>
      </c>
      <c r="E24" s="12">
        <v>14</v>
      </c>
      <c r="F24" s="8">
        <v>17.28</v>
      </c>
      <c r="G24" s="12">
        <v>4</v>
      </c>
      <c r="H24" s="8">
        <v>10.53</v>
      </c>
      <c r="I24" s="12">
        <v>0</v>
      </c>
    </row>
    <row r="25" spans="2:9" ht="15" customHeight="1" x14ac:dyDescent="0.2">
      <c r="B25" t="s">
        <v>83</v>
      </c>
      <c r="C25" s="12">
        <v>14</v>
      </c>
      <c r="D25" s="8">
        <v>11.67</v>
      </c>
      <c r="E25" s="12">
        <v>9</v>
      </c>
      <c r="F25" s="8">
        <v>11.11</v>
      </c>
      <c r="G25" s="12">
        <v>5</v>
      </c>
      <c r="H25" s="8">
        <v>13.16</v>
      </c>
      <c r="I25" s="12">
        <v>0</v>
      </c>
    </row>
    <row r="26" spans="2:9" ht="15" customHeight="1" x14ac:dyDescent="0.2">
      <c r="B26" t="s">
        <v>97</v>
      </c>
      <c r="C26" s="12">
        <v>12</v>
      </c>
      <c r="D26" s="8">
        <v>10</v>
      </c>
      <c r="E26" s="12">
        <v>12</v>
      </c>
      <c r="F26" s="8">
        <v>14.81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95</v>
      </c>
      <c r="C27" s="12">
        <v>11</v>
      </c>
      <c r="D27" s="8">
        <v>9.17</v>
      </c>
      <c r="E27" s="12">
        <v>8</v>
      </c>
      <c r="F27" s="8">
        <v>9.8800000000000008</v>
      </c>
      <c r="G27" s="12">
        <v>3</v>
      </c>
      <c r="H27" s="8">
        <v>7.89</v>
      </c>
      <c r="I27" s="12">
        <v>0</v>
      </c>
    </row>
    <row r="28" spans="2:9" ht="15" customHeight="1" x14ac:dyDescent="0.2">
      <c r="B28" t="s">
        <v>96</v>
      </c>
      <c r="C28" s="12">
        <v>11</v>
      </c>
      <c r="D28" s="8">
        <v>9.17</v>
      </c>
      <c r="E28" s="12">
        <v>10</v>
      </c>
      <c r="F28" s="8">
        <v>12.35</v>
      </c>
      <c r="G28" s="12">
        <v>1</v>
      </c>
      <c r="H28" s="8">
        <v>2.63</v>
      </c>
      <c r="I28" s="12">
        <v>0</v>
      </c>
    </row>
    <row r="29" spans="2:9" ht="15" customHeight="1" x14ac:dyDescent="0.2">
      <c r="B29" t="s">
        <v>91</v>
      </c>
      <c r="C29" s="12">
        <v>9</v>
      </c>
      <c r="D29" s="8">
        <v>7.5</v>
      </c>
      <c r="E29" s="12">
        <v>5</v>
      </c>
      <c r="F29" s="8">
        <v>6.17</v>
      </c>
      <c r="G29" s="12">
        <v>4</v>
      </c>
      <c r="H29" s="8">
        <v>10.53</v>
      </c>
      <c r="I29" s="12">
        <v>0</v>
      </c>
    </row>
    <row r="30" spans="2:9" ht="15" customHeight="1" x14ac:dyDescent="0.2">
      <c r="B30" t="s">
        <v>84</v>
      </c>
      <c r="C30" s="12">
        <v>7</v>
      </c>
      <c r="D30" s="8">
        <v>5.83</v>
      </c>
      <c r="E30" s="12">
        <v>6</v>
      </c>
      <c r="F30" s="8">
        <v>7.41</v>
      </c>
      <c r="G30" s="12">
        <v>1</v>
      </c>
      <c r="H30" s="8">
        <v>2.63</v>
      </c>
      <c r="I30" s="12">
        <v>0</v>
      </c>
    </row>
    <row r="31" spans="2:9" ht="15" customHeight="1" x14ac:dyDescent="0.2">
      <c r="B31" t="s">
        <v>85</v>
      </c>
      <c r="C31" s="12">
        <v>4</v>
      </c>
      <c r="D31" s="8">
        <v>3.33</v>
      </c>
      <c r="E31" s="12">
        <v>2</v>
      </c>
      <c r="F31" s="8">
        <v>2.4700000000000002</v>
      </c>
      <c r="G31" s="12">
        <v>2</v>
      </c>
      <c r="H31" s="8">
        <v>5.26</v>
      </c>
      <c r="I31" s="12">
        <v>0</v>
      </c>
    </row>
    <row r="32" spans="2:9" ht="15" customHeight="1" x14ac:dyDescent="0.2">
      <c r="B32" t="s">
        <v>90</v>
      </c>
      <c r="C32" s="12">
        <v>4</v>
      </c>
      <c r="D32" s="8">
        <v>3.33</v>
      </c>
      <c r="E32" s="12">
        <v>4</v>
      </c>
      <c r="F32" s="8">
        <v>4.9400000000000004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94</v>
      </c>
      <c r="C33" s="12">
        <v>4</v>
      </c>
      <c r="D33" s="8">
        <v>3.33</v>
      </c>
      <c r="E33" s="12">
        <v>4</v>
      </c>
      <c r="F33" s="8">
        <v>4.9400000000000004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88</v>
      </c>
      <c r="C34" s="12">
        <v>3</v>
      </c>
      <c r="D34" s="8">
        <v>2.5</v>
      </c>
      <c r="E34" s="12">
        <v>1</v>
      </c>
      <c r="F34" s="8">
        <v>1.23</v>
      </c>
      <c r="G34" s="12">
        <v>2</v>
      </c>
      <c r="H34" s="8">
        <v>5.26</v>
      </c>
      <c r="I34" s="12">
        <v>0</v>
      </c>
    </row>
    <row r="35" spans="2:9" ht="15" customHeight="1" x14ac:dyDescent="0.2">
      <c r="B35" t="s">
        <v>101</v>
      </c>
      <c r="C35" s="12">
        <v>3</v>
      </c>
      <c r="D35" s="8">
        <v>2.5</v>
      </c>
      <c r="E35" s="12">
        <v>0</v>
      </c>
      <c r="F35" s="8">
        <v>0</v>
      </c>
      <c r="G35" s="12">
        <v>3</v>
      </c>
      <c r="H35" s="8">
        <v>7.89</v>
      </c>
      <c r="I35" s="12">
        <v>0</v>
      </c>
    </row>
    <row r="36" spans="2:9" ht="15" customHeight="1" x14ac:dyDescent="0.2">
      <c r="B36" t="s">
        <v>113</v>
      </c>
      <c r="C36" s="12">
        <v>2</v>
      </c>
      <c r="D36" s="8">
        <v>1.67</v>
      </c>
      <c r="E36" s="12">
        <v>1</v>
      </c>
      <c r="F36" s="8">
        <v>1.23</v>
      </c>
      <c r="G36" s="12">
        <v>1</v>
      </c>
      <c r="H36" s="8">
        <v>2.63</v>
      </c>
      <c r="I36" s="12">
        <v>0</v>
      </c>
    </row>
    <row r="37" spans="2:9" ht="15" customHeight="1" x14ac:dyDescent="0.2">
      <c r="B37" t="s">
        <v>98</v>
      </c>
      <c r="C37" s="12">
        <v>2</v>
      </c>
      <c r="D37" s="8">
        <v>1.67</v>
      </c>
      <c r="E37" s="12">
        <v>0</v>
      </c>
      <c r="F37" s="8">
        <v>0</v>
      </c>
      <c r="G37" s="12">
        <v>2</v>
      </c>
      <c r="H37" s="8">
        <v>5.26</v>
      </c>
      <c r="I37" s="12">
        <v>0</v>
      </c>
    </row>
    <row r="38" spans="2:9" ht="15" customHeight="1" x14ac:dyDescent="0.2">
      <c r="B38" t="s">
        <v>129</v>
      </c>
      <c r="C38" s="12">
        <v>2</v>
      </c>
      <c r="D38" s="8">
        <v>1.67</v>
      </c>
      <c r="E38" s="12">
        <v>0</v>
      </c>
      <c r="F38" s="8">
        <v>0</v>
      </c>
      <c r="G38" s="12">
        <v>2</v>
      </c>
      <c r="H38" s="8">
        <v>5.26</v>
      </c>
      <c r="I38" s="12">
        <v>0</v>
      </c>
    </row>
    <row r="39" spans="2:9" ht="15" customHeight="1" x14ac:dyDescent="0.2">
      <c r="B39" t="s">
        <v>108</v>
      </c>
      <c r="C39" s="12">
        <v>2</v>
      </c>
      <c r="D39" s="8">
        <v>1.67</v>
      </c>
      <c r="E39" s="12">
        <v>0</v>
      </c>
      <c r="F39" s="8">
        <v>0</v>
      </c>
      <c r="G39" s="12">
        <v>2</v>
      </c>
      <c r="H39" s="8">
        <v>5.26</v>
      </c>
      <c r="I39" s="12">
        <v>0</v>
      </c>
    </row>
    <row r="40" spans="2:9" ht="15" customHeight="1" x14ac:dyDescent="0.2">
      <c r="B40" t="s">
        <v>124</v>
      </c>
      <c r="C40" s="12">
        <v>1</v>
      </c>
      <c r="D40" s="8">
        <v>0.83</v>
      </c>
      <c r="E40" s="12">
        <v>1</v>
      </c>
      <c r="F40" s="8">
        <v>1.23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114</v>
      </c>
      <c r="C41" s="12">
        <v>1</v>
      </c>
      <c r="D41" s="8">
        <v>0.83</v>
      </c>
      <c r="E41" s="12">
        <v>0</v>
      </c>
      <c r="F41" s="8">
        <v>0</v>
      </c>
      <c r="G41" s="12">
        <v>1</v>
      </c>
      <c r="H41" s="8">
        <v>2.63</v>
      </c>
      <c r="I41" s="12">
        <v>0</v>
      </c>
    </row>
    <row r="42" spans="2:9" ht="15" customHeight="1" x14ac:dyDescent="0.2">
      <c r="B42" t="s">
        <v>142</v>
      </c>
      <c r="C42" s="12">
        <v>1</v>
      </c>
      <c r="D42" s="8">
        <v>0.83</v>
      </c>
      <c r="E42" s="12">
        <v>0</v>
      </c>
      <c r="F42" s="8">
        <v>0</v>
      </c>
      <c r="G42" s="12">
        <v>1</v>
      </c>
      <c r="H42" s="8">
        <v>2.63</v>
      </c>
      <c r="I42" s="12">
        <v>0</v>
      </c>
    </row>
    <row r="43" spans="2:9" ht="15" customHeight="1" x14ac:dyDescent="0.2">
      <c r="B43" t="s">
        <v>105</v>
      </c>
      <c r="C43" s="12">
        <v>1</v>
      </c>
      <c r="D43" s="8">
        <v>0.83</v>
      </c>
      <c r="E43" s="12">
        <v>1</v>
      </c>
      <c r="F43" s="8">
        <v>1.23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127</v>
      </c>
      <c r="C44" s="12">
        <v>1</v>
      </c>
      <c r="D44" s="8">
        <v>0.83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147</v>
      </c>
      <c r="C45" s="12">
        <v>1</v>
      </c>
      <c r="D45" s="8">
        <v>0.83</v>
      </c>
      <c r="E45" s="12">
        <v>0</v>
      </c>
      <c r="F45" s="8">
        <v>0</v>
      </c>
      <c r="G45" s="12">
        <v>1</v>
      </c>
      <c r="H45" s="8">
        <v>2.63</v>
      </c>
      <c r="I45" s="12">
        <v>0</v>
      </c>
    </row>
    <row r="46" spans="2:9" ht="15" customHeight="1" x14ac:dyDescent="0.2">
      <c r="B46" t="s">
        <v>106</v>
      </c>
      <c r="C46" s="12">
        <v>1</v>
      </c>
      <c r="D46" s="8">
        <v>0.83</v>
      </c>
      <c r="E46" s="12">
        <v>0</v>
      </c>
      <c r="F46" s="8">
        <v>0</v>
      </c>
      <c r="G46" s="12">
        <v>1</v>
      </c>
      <c r="H46" s="8">
        <v>2.63</v>
      </c>
      <c r="I46" s="12">
        <v>0</v>
      </c>
    </row>
    <row r="47" spans="2:9" ht="15" customHeight="1" x14ac:dyDescent="0.2">
      <c r="B47" t="s">
        <v>148</v>
      </c>
      <c r="C47" s="12">
        <v>1</v>
      </c>
      <c r="D47" s="8">
        <v>0.83</v>
      </c>
      <c r="E47" s="12">
        <v>1</v>
      </c>
      <c r="F47" s="8">
        <v>1.23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92</v>
      </c>
      <c r="C48" s="12">
        <v>1</v>
      </c>
      <c r="D48" s="8">
        <v>0.83</v>
      </c>
      <c r="E48" s="12">
        <v>1</v>
      </c>
      <c r="F48" s="8">
        <v>1.23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139</v>
      </c>
      <c r="C49" s="12">
        <v>1</v>
      </c>
      <c r="D49" s="8">
        <v>0.83</v>
      </c>
      <c r="E49" s="12">
        <v>0</v>
      </c>
      <c r="F49" s="8">
        <v>0</v>
      </c>
      <c r="G49" s="12">
        <v>1</v>
      </c>
      <c r="H49" s="8">
        <v>2.63</v>
      </c>
      <c r="I49" s="12">
        <v>0</v>
      </c>
    </row>
    <row r="50" spans="2:9" ht="15" customHeight="1" x14ac:dyDescent="0.2">
      <c r="B50" t="s">
        <v>93</v>
      </c>
      <c r="C50" s="12">
        <v>1</v>
      </c>
      <c r="D50" s="8">
        <v>0.83</v>
      </c>
      <c r="E50" s="12">
        <v>1</v>
      </c>
      <c r="F50" s="8">
        <v>1.23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123</v>
      </c>
      <c r="C51" s="12">
        <v>1</v>
      </c>
      <c r="D51" s="8">
        <v>0.83</v>
      </c>
      <c r="E51" s="12">
        <v>0</v>
      </c>
      <c r="F51" s="8">
        <v>0</v>
      </c>
      <c r="G51" s="12">
        <v>1</v>
      </c>
      <c r="H51" s="8">
        <v>2.63</v>
      </c>
      <c r="I51" s="12">
        <v>0</v>
      </c>
    </row>
    <row r="54" spans="2:9" ht="33" customHeight="1" x14ac:dyDescent="0.2">
      <c r="B54" t="s">
        <v>339</v>
      </c>
      <c r="C54" s="10" t="s">
        <v>76</v>
      </c>
      <c r="D54" s="10" t="s">
        <v>77</v>
      </c>
      <c r="E54" s="10" t="s">
        <v>78</v>
      </c>
      <c r="F54" s="10" t="s">
        <v>79</v>
      </c>
      <c r="G54" s="10" t="s">
        <v>80</v>
      </c>
      <c r="H54" s="10" t="s">
        <v>81</v>
      </c>
      <c r="I54" s="10" t="s">
        <v>82</v>
      </c>
    </row>
    <row r="55" spans="2:9" ht="15" customHeight="1" x14ac:dyDescent="0.2">
      <c r="B55" t="s">
        <v>215</v>
      </c>
      <c r="C55" s="12">
        <v>11</v>
      </c>
      <c r="D55" s="8">
        <v>9.17</v>
      </c>
      <c r="E55" s="12">
        <v>8</v>
      </c>
      <c r="F55" s="8">
        <v>9.8800000000000008</v>
      </c>
      <c r="G55" s="12">
        <v>3</v>
      </c>
      <c r="H55" s="8">
        <v>7.89</v>
      </c>
      <c r="I55" s="12">
        <v>0</v>
      </c>
    </row>
    <row r="56" spans="2:9" ht="15" customHeight="1" x14ac:dyDescent="0.2">
      <c r="B56" t="s">
        <v>178</v>
      </c>
      <c r="C56" s="12">
        <v>9</v>
      </c>
      <c r="D56" s="8">
        <v>7.5</v>
      </c>
      <c r="E56" s="12">
        <v>7</v>
      </c>
      <c r="F56" s="8">
        <v>8.64</v>
      </c>
      <c r="G56" s="12">
        <v>2</v>
      </c>
      <c r="H56" s="8">
        <v>5.26</v>
      </c>
      <c r="I56" s="12">
        <v>0</v>
      </c>
    </row>
    <row r="57" spans="2:9" ht="15" customHeight="1" x14ac:dyDescent="0.2">
      <c r="B57" t="s">
        <v>160</v>
      </c>
      <c r="C57" s="12">
        <v>8</v>
      </c>
      <c r="D57" s="8">
        <v>6.67</v>
      </c>
      <c r="E57" s="12">
        <v>7</v>
      </c>
      <c r="F57" s="8">
        <v>8.64</v>
      </c>
      <c r="G57" s="12">
        <v>1</v>
      </c>
      <c r="H57" s="8">
        <v>2.63</v>
      </c>
      <c r="I57" s="12">
        <v>0</v>
      </c>
    </row>
    <row r="58" spans="2:9" ht="15" customHeight="1" x14ac:dyDescent="0.2">
      <c r="B58" t="s">
        <v>163</v>
      </c>
      <c r="C58" s="12">
        <v>6</v>
      </c>
      <c r="D58" s="8">
        <v>5</v>
      </c>
      <c r="E58" s="12">
        <v>5</v>
      </c>
      <c r="F58" s="8">
        <v>6.17</v>
      </c>
      <c r="G58" s="12">
        <v>1</v>
      </c>
      <c r="H58" s="8">
        <v>2.63</v>
      </c>
      <c r="I58" s="12">
        <v>0</v>
      </c>
    </row>
    <row r="59" spans="2:9" ht="15" customHeight="1" x14ac:dyDescent="0.2">
      <c r="B59" t="s">
        <v>185</v>
      </c>
      <c r="C59" s="12">
        <v>6</v>
      </c>
      <c r="D59" s="8">
        <v>5</v>
      </c>
      <c r="E59" s="12">
        <v>2</v>
      </c>
      <c r="F59" s="8">
        <v>2.4700000000000002</v>
      </c>
      <c r="G59" s="12">
        <v>4</v>
      </c>
      <c r="H59" s="8">
        <v>10.53</v>
      </c>
      <c r="I59" s="12">
        <v>0</v>
      </c>
    </row>
    <row r="60" spans="2:9" ht="15" customHeight="1" x14ac:dyDescent="0.2">
      <c r="B60" t="s">
        <v>173</v>
      </c>
      <c r="C60" s="12">
        <v>6</v>
      </c>
      <c r="D60" s="8">
        <v>5</v>
      </c>
      <c r="E60" s="12">
        <v>6</v>
      </c>
      <c r="F60" s="8">
        <v>7.41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174</v>
      </c>
      <c r="C61" s="12">
        <v>6</v>
      </c>
      <c r="D61" s="8">
        <v>5</v>
      </c>
      <c r="E61" s="12">
        <v>6</v>
      </c>
      <c r="F61" s="8">
        <v>7.41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159</v>
      </c>
      <c r="C62" s="12">
        <v>3</v>
      </c>
      <c r="D62" s="8">
        <v>2.5</v>
      </c>
      <c r="E62" s="12">
        <v>2</v>
      </c>
      <c r="F62" s="8">
        <v>2.4700000000000002</v>
      </c>
      <c r="G62" s="12">
        <v>1</v>
      </c>
      <c r="H62" s="8">
        <v>2.63</v>
      </c>
      <c r="I62" s="12">
        <v>0</v>
      </c>
    </row>
    <row r="63" spans="2:9" ht="15" customHeight="1" x14ac:dyDescent="0.2">
      <c r="B63" t="s">
        <v>202</v>
      </c>
      <c r="C63" s="12">
        <v>3</v>
      </c>
      <c r="D63" s="8">
        <v>2.5</v>
      </c>
      <c r="E63" s="12">
        <v>3</v>
      </c>
      <c r="F63" s="8">
        <v>3.7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161</v>
      </c>
      <c r="C64" s="12">
        <v>3</v>
      </c>
      <c r="D64" s="8">
        <v>2.5</v>
      </c>
      <c r="E64" s="12">
        <v>1</v>
      </c>
      <c r="F64" s="8">
        <v>1.23</v>
      </c>
      <c r="G64" s="12">
        <v>2</v>
      </c>
      <c r="H64" s="8">
        <v>5.26</v>
      </c>
      <c r="I64" s="12">
        <v>0</v>
      </c>
    </row>
    <row r="65" spans="2:9" ht="15" customHeight="1" x14ac:dyDescent="0.2">
      <c r="B65" t="s">
        <v>193</v>
      </c>
      <c r="C65" s="12">
        <v>3</v>
      </c>
      <c r="D65" s="8">
        <v>2.5</v>
      </c>
      <c r="E65" s="12">
        <v>3</v>
      </c>
      <c r="F65" s="8">
        <v>3.7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181</v>
      </c>
      <c r="C66" s="12">
        <v>3</v>
      </c>
      <c r="D66" s="8">
        <v>2.5</v>
      </c>
      <c r="E66" s="12">
        <v>3</v>
      </c>
      <c r="F66" s="8">
        <v>3.7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170</v>
      </c>
      <c r="C67" s="12">
        <v>3</v>
      </c>
      <c r="D67" s="8">
        <v>2.5</v>
      </c>
      <c r="E67" s="12">
        <v>3</v>
      </c>
      <c r="F67" s="8">
        <v>3.7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200</v>
      </c>
      <c r="C68" s="12">
        <v>3</v>
      </c>
      <c r="D68" s="8">
        <v>2.5</v>
      </c>
      <c r="E68" s="12">
        <v>0</v>
      </c>
      <c r="F68" s="8">
        <v>0</v>
      </c>
      <c r="G68" s="12">
        <v>3</v>
      </c>
      <c r="H68" s="8">
        <v>7.89</v>
      </c>
      <c r="I68" s="12">
        <v>0</v>
      </c>
    </row>
    <row r="69" spans="2:9" ht="15" customHeight="1" x14ac:dyDescent="0.2">
      <c r="B69" t="s">
        <v>158</v>
      </c>
      <c r="C69" s="12">
        <v>2</v>
      </c>
      <c r="D69" s="8">
        <v>1.67</v>
      </c>
      <c r="E69" s="12">
        <v>0</v>
      </c>
      <c r="F69" s="8">
        <v>0</v>
      </c>
      <c r="G69" s="12">
        <v>2</v>
      </c>
      <c r="H69" s="8">
        <v>5.26</v>
      </c>
      <c r="I69" s="12">
        <v>0</v>
      </c>
    </row>
    <row r="70" spans="2:9" ht="15" customHeight="1" x14ac:dyDescent="0.2">
      <c r="B70" t="s">
        <v>201</v>
      </c>
      <c r="C70" s="12">
        <v>2</v>
      </c>
      <c r="D70" s="8">
        <v>1.67</v>
      </c>
      <c r="E70" s="12">
        <v>2</v>
      </c>
      <c r="F70" s="8">
        <v>2.4700000000000002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169</v>
      </c>
      <c r="C71" s="12">
        <v>2</v>
      </c>
      <c r="D71" s="8">
        <v>1.67</v>
      </c>
      <c r="E71" s="12">
        <v>2</v>
      </c>
      <c r="F71" s="8">
        <v>2.4700000000000002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271</v>
      </c>
      <c r="C72" s="12">
        <v>2</v>
      </c>
      <c r="D72" s="8">
        <v>1.67</v>
      </c>
      <c r="E72" s="12">
        <v>2</v>
      </c>
      <c r="F72" s="8">
        <v>2.4700000000000002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171</v>
      </c>
      <c r="C73" s="12">
        <v>2</v>
      </c>
      <c r="D73" s="8">
        <v>1.67</v>
      </c>
      <c r="E73" s="12">
        <v>2</v>
      </c>
      <c r="F73" s="8">
        <v>2.4700000000000002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172</v>
      </c>
      <c r="C74" s="12">
        <v>2</v>
      </c>
      <c r="D74" s="8">
        <v>1.67</v>
      </c>
      <c r="E74" s="12">
        <v>2</v>
      </c>
      <c r="F74" s="8">
        <v>2.4700000000000002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211</v>
      </c>
      <c r="C75" s="12">
        <v>2</v>
      </c>
      <c r="D75" s="8">
        <v>1.67</v>
      </c>
      <c r="E75" s="12">
        <v>0</v>
      </c>
      <c r="F75" s="8">
        <v>0</v>
      </c>
      <c r="G75" s="12">
        <v>2</v>
      </c>
      <c r="H75" s="8">
        <v>5.26</v>
      </c>
      <c r="I75" s="12">
        <v>0</v>
      </c>
    </row>
    <row r="77" spans="2:9" ht="15" customHeight="1" x14ac:dyDescent="0.2">
      <c r="B7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48245-8805-4F19-8AF8-DF21B9DF7671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7</v>
      </c>
      <c r="D6" s="8">
        <v>13.46</v>
      </c>
      <c r="E6" s="12">
        <v>4</v>
      </c>
      <c r="F6" s="8">
        <v>14.29</v>
      </c>
      <c r="G6" s="12">
        <v>3</v>
      </c>
      <c r="H6" s="8">
        <v>13.04</v>
      </c>
      <c r="I6" s="12">
        <v>0</v>
      </c>
    </row>
    <row r="7" spans="2:9" ht="15" customHeight="1" x14ac:dyDescent="0.2">
      <c r="B7" t="s">
        <v>62</v>
      </c>
      <c r="C7" s="12">
        <v>5</v>
      </c>
      <c r="D7" s="8">
        <v>9.6199999999999992</v>
      </c>
      <c r="E7" s="12">
        <v>1</v>
      </c>
      <c r="F7" s="8">
        <v>3.57</v>
      </c>
      <c r="G7" s="12">
        <v>4</v>
      </c>
      <c r="H7" s="8">
        <v>17.39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1.92</v>
      </c>
      <c r="E9" s="12">
        <v>0</v>
      </c>
      <c r="F9" s="8">
        <v>0</v>
      </c>
      <c r="G9" s="12">
        <v>1</v>
      </c>
      <c r="H9" s="8">
        <v>4.3499999999999996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11</v>
      </c>
      <c r="D11" s="8">
        <v>21.15</v>
      </c>
      <c r="E11" s="12">
        <v>6</v>
      </c>
      <c r="F11" s="8">
        <v>21.43</v>
      </c>
      <c r="G11" s="12">
        <v>4</v>
      </c>
      <c r="H11" s="8">
        <v>17.39</v>
      </c>
      <c r="I11" s="12">
        <v>1</v>
      </c>
    </row>
    <row r="12" spans="2:9" ht="15" customHeight="1" x14ac:dyDescent="0.2">
      <c r="B12" t="s">
        <v>67</v>
      </c>
      <c r="C12" s="12">
        <v>1</v>
      </c>
      <c r="D12" s="8">
        <v>1.92</v>
      </c>
      <c r="E12" s="12">
        <v>1</v>
      </c>
      <c r="F12" s="8">
        <v>3.57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3.85</v>
      </c>
      <c r="E13" s="12">
        <v>0</v>
      </c>
      <c r="F13" s="8">
        <v>0</v>
      </c>
      <c r="G13" s="12">
        <v>2</v>
      </c>
      <c r="H13" s="8">
        <v>8.6999999999999993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1.92</v>
      </c>
      <c r="E14" s="12">
        <v>0</v>
      </c>
      <c r="F14" s="8">
        <v>0</v>
      </c>
      <c r="G14" s="12">
        <v>1</v>
      </c>
      <c r="H14" s="8">
        <v>4.3499999999999996</v>
      </c>
      <c r="I14" s="12">
        <v>0</v>
      </c>
    </row>
    <row r="15" spans="2:9" ht="15" customHeight="1" x14ac:dyDescent="0.2">
      <c r="B15" t="s">
        <v>70</v>
      </c>
      <c r="C15" s="12">
        <v>11</v>
      </c>
      <c r="D15" s="8">
        <v>21.15</v>
      </c>
      <c r="E15" s="12">
        <v>6</v>
      </c>
      <c r="F15" s="8">
        <v>21.43</v>
      </c>
      <c r="G15" s="12">
        <v>5</v>
      </c>
      <c r="H15" s="8">
        <v>21.74</v>
      </c>
      <c r="I15" s="12">
        <v>0</v>
      </c>
    </row>
    <row r="16" spans="2:9" ht="15" customHeight="1" x14ac:dyDescent="0.2">
      <c r="B16" t="s">
        <v>71</v>
      </c>
      <c r="C16" s="12">
        <v>9</v>
      </c>
      <c r="D16" s="8">
        <v>17.309999999999999</v>
      </c>
      <c r="E16" s="12">
        <v>9</v>
      </c>
      <c r="F16" s="8">
        <v>32.14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2</v>
      </c>
      <c r="D18" s="8">
        <v>3.85</v>
      </c>
      <c r="E18" s="12">
        <v>0</v>
      </c>
      <c r="F18" s="8">
        <v>0</v>
      </c>
      <c r="G18" s="12">
        <v>2</v>
      </c>
      <c r="H18" s="8">
        <v>8.6999999999999993</v>
      </c>
      <c r="I18" s="12">
        <v>0</v>
      </c>
    </row>
    <row r="19" spans="2:9" ht="15" customHeight="1" x14ac:dyDescent="0.2">
      <c r="B19" t="s">
        <v>74</v>
      </c>
      <c r="C19" s="12">
        <v>2</v>
      </c>
      <c r="D19" s="8">
        <v>3.85</v>
      </c>
      <c r="E19" s="12">
        <v>1</v>
      </c>
      <c r="F19" s="8">
        <v>3.57</v>
      </c>
      <c r="G19" s="12">
        <v>1</v>
      </c>
      <c r="H19" s="8">
        <v>4.3499999999999996</v>
      </c>
      <c r="I19" s="12">
        <v>0</v>
      </c>
    </row>
    <row r="20" spans="2:9" ht="15" customHeight="1" x14ac:dyDescent="0.2">
      <c r="B20" s="9" t="s">
        <v>337</v>
      </c>
      <c r="C20" s="12">
        <f>SUM(LTBL_07444[総数／事業所数])</f>
        <v>52</v>
      </c>
      <c r="E20" s="12">
        <f>SUBTOTAL(109,LTBL_07444[個人／事業所数])</f>
        <v>28</v>
      </c>
      <c r="G20" s="12">
        <f>SUBTOTAL(109,LTBL_07444[法人／事業所数])</f>
        <v>23</v>
      </c>
      <c r="I20" s="12">
        <f>SUBTOTAL(109,LTBL_07444[法人以外の団体／事業所数])</f>
        <v>1</v>
      </c>
    </row>
    <row r="21" spans="2:9" ht="15" customHeight="1" x14ac:dyDescent="0.2">
      <c r="E21" s="11">
        <f>LTBL_07444[[#Totals],[個人／事業所数]]/LTBL_07444[[#Totals],[総数／事業所数]]</f>
        <v>0.53846153846153844</v>
      </c>
      <c r="G21" s="11">
        <f>LTBL_07444[[#Totals],[法人／事業所数]]/LTBL_07444[[#Totals],[総数／事業所数]]</f>
        <v>0.44230769230769229</v>
      </c>
      <c r="I21" s="11">
        <f>LTBL_07444[[#Totals],[法人以外の団体／事業所数]]/LTBL_07444[[#Totals],[総数／事業所数]]</f>
        <v>1.9230769230769232E-2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9</v>
      </c>
      <c r="D24" s="8">
        <v>17.309999999999999</v>
      </c>
      <c r="E24" s="12">
        <v>9</v>
      </c>
      <c r="F24" s="8">
        <v>32.14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89</v>
      </c>
      <c r="C25" s="12">
        <v>6</v>
      </c>
      <c r="D25" s="8">
        <v>11.54</v>
      </c>
      <c r="E25" s="12">
        <v>4</v>
      </c>
      <c r="F25" s="8">
        <v>14.29</v>
      </c>
      <c r="G25" s="12">
        <v>1</v>
      </c>
      <c r="H25" s="8">
        <v>4.3499999999999996</v>
      </c>
      <c r="I25" s="12">
        <v>1</v>
      </c>
    </row>
    <row r="26" spans="2:9" ht="15" customHeight="1" x14ac:dyDescent="0.2">
      <c r="B26" t="s">
        <v>96</v>
      </c>
      <c r="C26" s="12">
        <v>6</v>
      </c>
      <c r="D26" s="8">
        <v>11.54</v>
      </c>
      <c r="E26" s="12">
        <v>5</v>
      </c>
      <c r="F26" s="8">
        <v>17.86</v>
      </c>
      <c r="G26" s="12">
        <v>1</v>
      </c>
      <c r="H26" s="8">
        <v>4.3499999999999996</v>
      </c>
      <c r="I26" s="12">
        <v>0</v>
      </c>
    </row>
    <row r="27" spans="2:9" ht="15" customHeight="1" x14ac:dyDescent="0.2">
      <c r="B27" t="s">
        <v>83</v>
      </c>
      <c r="C27" s="12">
        <v>4</v>
      </c>
      <c r="D27" s="8">
        <v>7.69</v>
      </c>
      <c r="E27" s="12">
        <v>2</v>
      </c>
      <c r="F27" s="8">
        <v>7.14</v>
      </c>
      <c r="G27" s="12">
        <v>2</v>
      </c>
      <c r="H27" s="8">
        <v>8.6999999999999993</v>
      </c>
      <c r="I27" s="12">
        <v>0</v>
      </c>
    </row>
    <row r="28" spans="2:9" ht="15" customHeight="1" x14ac:dyDescent="0.2">
      <c r="B28" t="s">
        <v>95</v>
      </c>
      <c r="C28" s="12">
        <v>4</v>
      </c>
      <c r="D28" s="8">
        <v>7.69</v>
      </c>
      <c r="E28" s="12">
        <v>1</v>
      </c>
      <c r="F28" s="8">
        <v>3.57</v>
      </c>
      <c r="G28" s="12">
        <v>3</v>
      </c>
      <c r="H28" s="8">
        <v>13.04</v>
      </c>
      <c r="I28" s="12">
        <v>0</v>
      </c>
    </row>
    <row r="29" spans="2:9" ht="15" customHeight="1" x14ac:dyDescent="0.2">
      <c r="B29" t="s">
        <v>84</v>
      </c>
      <c r="C29" s="12">
        <v>3</v>
      </c>
      <c r="D29" s="8">
        <v>5.77</v>
      </c>
      <c r="E29" s="12">
        <v>2</v>
      </c>
      <c r="F29" s="8">
        <v>7.14</v>
      </c>
      <c r="G29" s="12">
        <v>1</v>
      </c>
      <c r="H29" s="8">
        <v>4.3499999999999996</v>
      </c>
      <c r="I29" s="12">
        <v>0</v>
      </c>
    </row>
    <row r="30" spans="2:9" ht="15" customHeight="1" x14ac:dyDescent="0.2">
      <c r="B30" t="s">
        <v>91</v>
      </c>
      <c r="C30" s="12">
        <v>3</v>
      </c>
      <c r="D30" s="8">
        <v>5.77</v>
      </c>
      <c r="E30" s="12">
        <v>1</v>
      </c>
      <c r="F30" s="8">
        <v>3.57</v>
      </c>
      <c r="G30" s="12">
        <v>2</v>
      </c>
      <c r="H30" s="8">
        <v>8.6999999999999993</v>
      </c>
      <c r="I30" s="12">
        <v>0</v>
      </c>
    </row>
    <row r="31" spans="2:9" ht="15" customHeight="1" x14ac:dyDescent="0.2">
      <c r="B31" t="s">
        <v>110</v>
      </c>
      <c r="C31" s="12">
        <v>2</v>
      </c>
      <c r="D31" s="8">
        <v>3.85</v>
      </c>
      <c r="E31" s="12">
        <v>0</v>
      </c>
      <c r="F31" s="8">
        <v>0</v>
      </c>
      <c r="G31" s="12">
        <v>2</v>
      </c>
      <c r="H31" s="8">
        <v>8.6999999999999993</v>
      </c>
      <c r="I31" s="12">
        <v>0</v>
      </c>
    </row>
    <row r="32" spans="2:9" ht="15" customHeight="1" x14ac:dyDescent="0.2">
      <c r="B32" t="s">
        <v>124</v>
      </c>
      <c r="C32" s="12">
        <v>2</v>
      </c>
      <c r="D32" s="8">
        <v>3.85</v>
      </c>
      <c r="E32" s="12">
        <v>0</v>
      </c>
      <c r="F32" s="8">
        <v>0</v>
      </c>
      <c r="G32" s="12">
        <v>2</v>
      </c>
      <c r="H32" s="8">
        <v>8.6999999999999993</v>
      </c>
      <c r="I32" s="12">
        <v>0</v>
      </c>
    </row>
    <row r="33" spans="2:9" ht="15" customHeight="1" x14ac:dyDescent="0.2">
      <c r="B33" t="s">
        <v>92</v>
      </c>
      <c r="C33" s="12">
        <v>2</v>
      </c>
      <c r="D33" s="8">
        <v>3.85</v>
      </c>
      <c r="E33" s="12">
        <v>0</v>
      </c>
      <c r="F33" s="8">
        <v>0</v>
      </c>
      <c r="G33" s="12">
        <v>2</v>
      </c>
      <c r="H33" s="8">
        <v>8.6999999999999993</v>
      </c>
      <c r="I33" s="12">
        <v>0</v>
      </c>
    </row>
    <row r="34" spans="2:9" ht="15" customHeight="1" x14ac:dyDescent="0.2">
      <c r="B34" t="s">
        <v>101</v>
      </c>
      <c r="C34" s="12">
        <v>2</v>
      </c>
      <c r="D34" s="8">
        <v>3.85</v>
      </c>
      <c r="E34" s="12">
        <v>0</v>
      </c>
      <c r="F34" s="8">
        <v>0</v>
      </c>
      <c r="G34" s="12">
        <v>2</v>
      </c>
      <c r="H34" s="8">
        <v>8.6999999999999993</v>
      </c>
      <c r="I34" s="12">
        <v>0</v>
      </c>
    </row>
    <row r="35" spans="2:9" ht="15" customHeight="1" x14ac:dyDescent="0.2">
      <c r="B35" t="s">
        <v>116</v>
      </c>
      <c r="C35" s="12">
        <v>1</v>
      </c>
      <c r="D35" s="8">
        <v>1.92</v>
      </c>
      <c r="E35" s="12">
        <v>1</v>
      </c>
      <c r="F35" s="8">
        <v>3.57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149</v>
      </c>
      <c r="C36" s="12">
        <v>1</v>
      </c>
      <c r="D36" s="8">
        <v>1.92</v>
      </c>
      <c r="E36" s="12">
        <v>0</v>
      </c>
      <c r="F36" s="8">
        <v>0</v>
      </c>
      <c r="G36" s="12">
        <v>1</v>
      </c>
      <c r="H36" s="8">
        <v>4.3499999999999996</v>
      </c>
      <c r="I36" s="12">
        <v>0</v>
      </c>
    </row>
    <row r="37" spans="2:9" ht="15" customHeight="1" x14ac:dyDescent="0.2">
      <c r="B37" t="s">
        <v>86</v>
      </c>
      <c r="C37" s="12">
        <v>1</v>
      </c>
      <c r="D37" s="8">
        <v>1.92</v>
      </c>
      <c r="E37" s="12">
        <v>0</v>
      </c>
      <c r="F37" s="8">
        <v>0</v>
      </c>
      <c r="G37" s="12">
        <v>1</v>
      </c>
      <c r="H37" s="8">
        <v>4.3499999999999996</v>
      </c>
      <c r="I37" s="12">
        <v>0</v>
      </c>
    </row>
    <row r="38" spans="2:9" ht="15" customHeight="1" x14ac:dyDescent="0.2">
      <c r="B38" t="s">
        <v>90</v>
      </c>
      <c r="C38" s="12">
        <v>1</v>
      </c>
      <c r="D38" s="8">
        <v>1.92</v>
      </c>
      <c r="E38" s="12">
        <v>1</v>
      </c>
      <c r="F38" s="8">
        <v>3.57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109</v>
      </c>
      <c r="C39" s="12">
        <v>1</v>
      </c>
      <c r="D39" s="8">
        <v>1.92</v>
      </c>
      <c r="E39" s="12">
        <v>1</v>
      </c>
      <c r="F39" s="8">
        <v>3.57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93</v>
      </c>
      <c r="C40" s="12">
        <v>1</v>
      </c>
      <c r="D40" s="8">
        <v>1.92</v>
      </c>
      <c r="E40" s="12">
        <v>0</v>
      </c>
      <c r="F40" s="8">
        <v>0</v>
      </c>
      <c r="G40" s="12">
        <v>1</v>
      </c>
      <c r="H40" s="8">
        <v>4.3499999999999996</v>
      </c>
      <c r="I40" s="12">
        <v>0</v>
      </c>
    </row>
    <row r="41" spans="2:9" ht="15" customHeight="1" x14ac:dyDescent="0.2">
      <c r="B41" t="s">
        <v>113</v>
      </c>
      <c r="C41" s="12">
        <v>1</v>
      </c>
      <c r="D41" s="8">
        <v>1.92</v>
      </c>
      <c r="E41" s="12">
        <v>0</v>
      </c>
      <c r="F41" s="8">
        <v>0</v>
      </c>
      <c r="G41" s="12">
        <v>1</v>
      </c>
      <c r="H41" s="8">
        <v>4.3499999999999996</v>
      </c>
      <c r="I41" s="12">
        <v>0</v>
      </c>
    </row>
    <row r="42" spans="2:9" ht="15" customHeight="1" x14ac:dyDescent="0.2">
      <c r="B42" t="s">
        <v>102</v>
      </c>
      <c r="C42" s="12">
        <v>1</v>
      </c>
      <c r="D42" s="8">
        <v>1.92</v>
      </c>
      <c r="E42" s="12">
        <v>1</v>
      </c>
      <c r="F42" s="8">
        <v>3.57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108</v>
      </c>
      <c r="C43" s="12">
        <v>1</v>
      </c>
      <c r="D43" s="8">
        <v>1.92</v>
      </c>
      <c r="E43" s="12">
        <v>0</v>
      </c>
      <c r="F43" s="8">
        <v>0</v>
      </c>
      <c r="G43" s="12">
        <v>1</v>
      </c>
      <c r="H43" s="8">
        <v>4.3499999999999996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181</v>
      </c>
      <c r="C47" s="12">
        <v>5</v>
      </c>
      <c r="D47" s="8">
        <v>9.6199999999999992</v>
      </c>
      <c r="E47" s="12">
        <v>5</v>
      </c>
      <c r="F47" s="8">
        <v>17.86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173</v>
      </c>
      <c r="C48" s="12">
        <v>4</v>
      </c>
      <c r="D48" s="8">
        <v>7.69</v>
      </c>
      <c r="E48" s="12">
        <v>4</v>
      </c>
      <c r="F48" s="8">
        <v>14.29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174</v>
      </c>
      <c r="C49" s="12">
        <v>4</v>
      </c>
      <c r="D49" s="8">
        <v>7.69</v>
      </c>
      <c r="E49" s="12">
        <v>4</v>
      </c>
      <c r="F49" s="8">
        <v>14.29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163</v>
      </c>
      <c r="C50" s="12">
        <v>3</v>
      </c>
      <c r="D50" s="8">
        <v>5.77</v>
      </c>
      <c r="E50" s="12">
        <v>2</v>
      </c>
      <c r="F50" s="8">
        <v>7.14</v>
      </c>
      <c r="G50" s="12">
        <v>0</v>
      </c>
      <c r="H50" s="8">
        <v>0</v>
      </c>
      <c r="I50" s="12">
        <v>1</v>
      </c>
    </row>
    <row r="51" spans="2:9" ht="15" customHeight="1" x14ac:dyDescent="0.2">
      <c r="B51" t="s">
        <v>159</v>
      </c>
      <c r="C51" s="12">
        <v>2</v>
      </c>
      <c r="D51" s="8">
        <v>3.85</v>
      </c>
      <c r="E51" s="12">
        <v>1</v>
      </c>
      <c r="F51" s="8">
        <v>3.57</v>
      </c>
      <c r="G51" s="12">
        <v>1</v>
      </c>
      <c r="H51" s="8">
        <v>4.3499999999999996</v>
      </c>
      <c r="I51" s="12">
        <v>0</v>
      </c>
    </row>
    <row r="52" spans="2:9" ht="15" customHeight="1" x14ac:dyDescent="0.2">
      <c r="B52" t="s">
        <v>160</v>
      </c>
      <c r="C52" s="12">
        <v>2</v>
      </c>
      <c r="D52" s="8">
        <v>3.85</v>
      </c>
      <c r="E52" s="12">
        <v>1</v>
      </c>
      <c r="F52" s="8">
        <v>3.57</v>
      </c>
      <c r="G52" s="12">
        <v>1</v>
      </c>
      <c r="H52" s="8">
        <v>4.3499999999999996</v>
      </c>
      <c r="I52" s="12">
        <v>0</v>
      </c>
    </row>
    <row r="53" spans="2:9" ht="15" customHeight="1" x14ac:dyDescent="0.2">
      <c r="B53" t="s">
        <v>178</v>
      </c>
      <c r="C53" s="12">
        <v>2</v>
      </c>
      <c r="D53" s="8">
        <v>3.85</v>
      </c>
      <c r="E53" s="12">
        <v>2</v>
      </c>
      <c r="F53" s="8">
        <v>7.14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205</v>
      </c>
      <c r="C54" s="12">
        <v>2</v>
      </c>
      <c r="D54" s="8">
        <v>3.85</v>
      </c>
      <c r="E54" s="12">
        <v>0</v>
      </c>
      <c r="F54" s="8">
        <v>0</v>
      </c>
      <c r="G54" s="12">
        <v>2</v>
      </c>
      <c r="H54" s="8">
        <v>8.6999999999999993</v>
      </c>
      <c r="I54" s="12">
        <v>0</v>
      </c>
    </row>
    <row r="55" spans="2:9" ht="15" customHeight="1" x14ac:dyDescent="0.2">
      <c r="B55" t="s">
        <v>215</v>
      </c>
      <c r="C55" s="12">
        <v>2</v>
      </c>
      <c r="D55" s="8">
        <v>3.85</v>
      </c>
      <c r="E55" s="12">
        <v>1</v>
      </c>
      <c r="F55" s="8">
        <v>3.57</v>
      </c>
      <c r="G55" s="12">
        <v>1</v>
      </c>
      <c r="H55" s="8">
        <v>4.3499999999999996</v>
      </c>
      <c r="I55" s="12">
        <v>0</v>
      </c>
    </row>
    <row r="56" spans="2:9" ht="15" customHeight="1" x14ac:dyDescent="0.2">
      <c r="B56" t="s">
        <v>200</v>
      </c>
      <c r="C56" s="12">
        <v>2</v>
      </c>
      <c r="D56" s="8">
        <v>3.85</v>
      </c>
      <c r="E56" s="12">
        <v>0</v>
      </c>
      <c r="F56" s="8">
        <v>0</v>
      </c>
      <c r="G56" s="12">
        <v>2</v>
      </c>
      <c r="H56" s="8">
        <v>8.6999999999999993</v>
      </c>
      <c r="I56" s="12">
        <v>0</v>
      </c>
    </row>
    <row r="57" spans="2:9" ht="15" customHeight="1" x14ac:dyDescent="0.2">
      <c r="B57" t="s">
        <v>199</v>
      </c>
      <c r="C57" s="12">
        <v>1</v>
      </c>
      <c r="D57" s="8">
        <v>1.92</v>
      </c>
      <c r="E57" s="12">
        <v>1</v>
      </c>
      <c r="F57" s="8">
        <v>3.57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201</v>
      </c>
      <c r="C58" s="12">
        <v>1</v>
      </c>
      <c r="D58" s="8">
        <v>1.92</v>
      </c>
      <c r="E58" s="12">
        <v>1</v>
      </c>
      <c r="F58" s="8">
        <v>3.57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187</v>
      </c>
      <c r="C59" s="12">
        <v>1</v>
      </c>
      <c r="D59" s="8">
        <v>1.92</v>
      </c>
      <c r="E59" s="12">
        <v>0</v>
      </c>
      <c r="F59" s="8">
        <v>0</v>
      </c>
      <c r="G59" s="12">
        <v>1</v>
      </c>
      <c r="H59" s="8">
        <v>4.3499999999999996</v>
      </c>
      <c r="I59" s="12">
        <v>0</v>
      </c>
    </row>
    <row r="60" spans="2:9" ht="15" customHeight="1" x14ac:dyDescent="0.2">
      <c r="B60" t="s">
        <v>272</v>
      </c>
      <c r="C60" s="12">
        <v>1</v>
      </c>
      <c r="D60" s="8">
        <v>1.92</v>
      </c>
      <c r="E60" s="12">
        <v>0</v>
      </c>
      <c r="F60" s="8">
        <v>0</v>
      </c>
      <c r="G60" s="12">
        <v>1</v>
      </c>
      <c r="H60" s="8">
        <v>4.3499999999999996</v>
      </c>
      <c r="I60" s="12">
        <v>0</v>
      </c>
    </row>
    <row r="61" spans="2:9" ht="15" customHeight="1" x14ac:dyDescent="0.2">
      <c r="B61" t="s">
        <v>229</v>
      </c>
      <c r="C61" s="12">
        <v>1</v>
      </c>
      <c r="D61" s="8">
        <v>1.92</v>
      </c>
      <c r="E61" s="12">
        <v>0</v>
      </c>
      <c r="F61" s="8">
        <v>0</v>
      </c>
      <c r="G61" s="12">
        <v>1</v>
      </c>
      <c r="H61" s="8">
        <v>4.3499999999999996</v>
      </c>
      <c r="I61" s="12">
        <v>0</v>
      </c>
    </row>
    <row r="62" spans="2:9" ht="15" customHeight="1" x14ac:dyDescent="0.2">
      <c r="B62" t="s">
        <v>242</v>
      </c>
      <c r="C62" s="12">
        <v>1</v>
      </c>
      <c r="D62" s="8">
        <v>1.92</v>
      </c>
      <c r="E62" s="12">
        <v>0</v>
      </c>
      <c r="F62" s="8">
        <v>0</v>
      </c>
      <c r="G62" s="12">
        <v>1</v>
      </c>
      <c r="H62" s="8">
        <v>4.3499999999999996</v>
      </c>
      <c r="I62" s="12">
        <v>0</v>
      </c>
    </row>
    <row r="63" spans="2:9" ht="15" customHeight="1" x14ac:dyDescent="0.2">
      <c r="B63" t="s">
        <v>262</v>
      </c>
      <c r="C63" s="12">
        <v>1</v>
      </c>
      <c r="D63" s="8">
        <v>1.92</v>
      </c>
      <c r="E63" s="12">
        <v>0</v>
      </c>
      <c r="F63" s="8">
        <v>0</v>
      </c>
      <c r="G63" s="12">
        <v>1</v>
      </c>
      <c r="H63" s="8">
        <v>4.3499999999999996</v>
      </c>
      <c r="I63" s="12">
        <v>0</v>
      </c>
    </row>
    <row r="64" spans="2:9" ht="15" customHeight="1" x14ac:dyDescent="0.2">
      <c r="B64" t="s">
        <v>273</v>
      </c>
      <c r="C64" s="12">
        <v>1</v>
      </c>
      <c r="D64" s="8">
        <v>1.92</v>
      </c>
      <c r="E64" s="12">
        <v>1</v>
      </c>
      <c r="F64" s="8">
        <v>3.57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274</v>
      </c>
      <c r="C65" s="12">
        <v>1</v>
      </c>
      <c r="D65" s="8">
        <v>1.92</v>
      </c>
      <c r="E65" s="12">
        <v>0</v>
      </c>
      <c r="F65" s="8">
        <v>0</v>
      </c>
      <c r="G65" s="12">
        <v>1</v>
      </c>
      <c r="H65" s="8">
        <v>4.3499999999999996</v>
      </c>
      <c r="I65" s="12">
        <v>0</v>
      </c>
    </row>
    <row r="66" spans="2:9" ht="15" customHeight="1" x14ac:dyDescent="0.2">
      <c r="B66" t="s">
        <v>275</v>
      </c>
      <c r="C66" s="12">
        <v>1</v>
      </c>
      <c r="D66" s="8">
        <v>1.92</v>
      </c>
      <c r="E66" s="12">
        <v>0</v>
      </c>
      <c r="F66" s="8">
        <v>0</v>
      </c>
      <c r="G66" s="12">
        <v>1</v>
      </c>
      <c r="H66" s="8">
        <v>4.3499999999999996</v>
      </c>
      <c r="I66" s="12">
        <v>0</v>
      </c>
    </row>
    <row r="67" spans="2:9" ht="15" customHeight="1" x14ac:dyDescent="0.2">
      <c r="B67" t="s">
        <v>212</v>
      </c>
      <c r="C67" s="12">
        <v>1</v>
      </c>
      <c r="D67" s="8">
        <v>1.92</v>
      </c>
      <c r="E67" s="12">
        <v>0</v>
      </c>
      <c r="F67" s="8">
        <v>0</v>
      </c>
      <c r="G67" s="12">
        <v>1</v>
      </c>
      <c r="H67" s="8">
        <v>4.3499999999999996</v>
      </c>
      <c r="I67" s="12">
        <v>0</v>
      </c>
    </row>
    <row r="68" spans="2:9" ht="15" customHeight="1" x14ac:dyDescent="0.2">
      <c r="B68" t="s">
        <v>164</v>
      </c>
      <c r="C68" s="12">
        <v>1</v>
      </c>
      <c r="D68" s="8">
        <v>1.92</v>
      </c>
      <c r="E68" s="12">
        <v>1</v>
      </c>
      <c r="F68" s="8">
        <v>3.57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226</v>
      </c>
      <c r="C69" s="12">
        <v>1</v>
      </c>
      <c r="D69" s="8">
        <v>1.92</v>
      </c>
      <c r="E69" s="12">
        <v>0</v>
      </c>
      <c r="F69" s="8">
        <v>0</v>
      </c>
      <c r="G69" s="12">
        <v>1</v>
      </c>
      <c r="H69" s="8">
        <v>4.3499999999999996</v>
      </c>
      <c r="I69" s="12">
        <v>0</v>
      </c>
    </row>
    <row r="70" spans="2:9" ht="15" customHeight="1" x14ac:dyDescent="0.2">
      <c r="B70" t="s">
        <v>243</v>
      </c>
      <c r="C70" s="12">
        <v>1</v>
      </c>
      <c r="D70" s="8">
        <v>1.92</v>
      </c>
      <c r="E70" s="12">
        <v>0</v>
      </c>
      <c r="F70" s="8">
        <v>0</v>
      </c>
      <c r="G70" s="12">
        <v>1</v>
      </c>
      <c r="H70" s="8">
        <v>4.3499999999999996</v>
      </c>
      <c r="I70" s="12">
        <v>0</v>
      </c>
    </row>
    <row r="71" spans="2:9" ht="15" customHeight="1" x14ac:dyDescent="0.2">
      <c r="B71" t="s">
        <v>166</v>
      </c>
      <c r="C71" s="12">
        <v>1</v>
      </c>
      <c r="D71" s="8">
        <v>1.92</v>
      </c>
      <c r="E71" s="12">
        <v>1</v>
      </c>
      <c r="F71" s="8">
        <v>3.57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189</v>
      </c>
      <c r="C72" s="12">
        <v>1</v>
      </c>
      <c r="D72" s="8">
        <v>1.92</v>
      </c>
      <c r="E72" s="12">
        <v>1</v>
      </c>
      <c r="F72" s="8">
        <v>3.57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276</v>
      </c>
      <c r="C73" s="12">
        <v>1</v>
      </c>
      <c r="D73" s="8">
        <v>1.92</v>
      </c>
      <c r="E73" s="12">
        <v>0</v>
      </c>
      <c r="F73" s="8">
        <v>0</v>
      </c>
      <c r="G73" s="12">
        <v>1</v>
      </c>
      <c r="H73" s="8">
        <v>4.3499999999999996</v>
      </c>
      <c r="I73" s="12">
        <v>0</v>
      </c>
    </row>
    <row r="74" spans="2:9" ht="15" customHeight="1" x14ac:dyDescent="0.2">
      <c r="B74" t="s">
        <v>232</v>
      </c>
      <c r="C74" s="12">
        <v>1</v>
      </c>
      <c r="D74" s="8">
        <v>1.92</v>
      </c>
      <c r="E74" s="12">
        <v>0</v>
      </c>
      <c r="F74" s="8">
        <v>0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233</v>
      </c>
      <c r="C75" s="12">
        <v>1</v>
      </c>
      <c r="D75" s="8">
        <v>1.92</v>
      </c>
      <c r="E75" s="12">
        <v>0</v>
      </c>
      <c r="F75" s="8">
        <v>0</v>
      </c>
      <c r="G75" s="12">
        <v>1</v>
      </c>
      <c r="H75" s="8">
        <v>4.3499999999999996</v>
      </c>
      <c r="I75" s="12">
        <v>0</v>
      </c>
    </row>
    <row r="76" spans="2:9" ht="15" customHeight="1" x14ac:dyDescent="0.2">
      <c r="B76" t="s">
        <v>170</v>
      </c>
      <c r="C76" s="12">
        <v>1</v>
      </c>
      <c r="D76" s="8">
        <v>1.92</v>
      </c>
      <c r="E76" s="12">
        <v>0</v>
      </c>
      <c r="F76" s="8">
        <v>0</v>
      </c>
      <c r="G76" s="12">
        <v>1</v>
      </c>
      <c r="H76" s="8">
        <v>4.3499999999999996</v>
      </c>
      <c r="I76" s="12">
        <v>0</v>
      </c>
    </row>
    <row r="77" spans="2:9" ht="15" customHeight="1" x14ac:dyDescent="0.2">
      <c r="B77" t="s">
        <v>186</v>
      </c>
      <c r="C77" s="12">
        <v>1</v>
      </c>
      <c r="D77" s="8">
        <v>1.92</v>
      </c>
      <c r="E77" s="12">
        <v>0</v>
      </c>
      <c r="F77" s="8">
        <v>0</v>
      </c>
      <c r="G77" s="12">
        <v>1</v>
      </c>
      <c r="H77" s="8">
        <v>4.3499999999999996</v>
      </c>
      <c r="I77" s="12">
        <v>0</v>
      </c>
    </row>
    <row r="78" spans="2:9" ht="15" customHeight="1" x14ac:dyDescent="0.2">
      <c r="B78" t="s">
        <v>182</v>
      </c>
      <c r="C78" s="12">
        <v>1</v>
      </c>
      <c r="D78" s="8">
        <v>1.92</v>
      </c>
      <c r="E78" s="12">
        <v>1</v>
      </c>
      <c r="F78" s="8">
        <v>3.57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177</v>
      </c>
      <c r="C79" s="12">
        <v>1</v>
      </c>
      <c r="D79" s="8">
        <v>1.92</v>
      </c>
      <c r="E79" s="12">
        <v>1</v>
      </c>
      <c r="F79" s="8">
        <v>3.57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211</v>
      </c>
      <c r="C80" s="12">
        <v>1</v>
      </c>
      <c r="D80" s="8">
        <v>1.92</v>
      </c>
      <c r="E80" s="12">
        <v>0</v>
      </c>
      <c r="F80" s="8">
        <v>0</v>
      </c>
      <c r="G80" s="12">
        <v>1</v>
      </c>
      <c r="H80" s="8">
        <v>4.3499999999999996</v>
      </c>
      <c r="I80" s="12">
        <v>0</v>
      </c>
    </row>
    <row r="82" spans="2:2" ht="15" customHeight="1" x14ac:dyDescent="0.2">
      <c r="B8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1050-9023-4F04-A739-8DAEF51759CC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0.85</v>
      </c>
      <c r="E5" s="12">
        <v>1</v>
      </c>
      <c r="F5" s="8">
        <v>1.23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16</v>
      </c>
      <c r="D6" s="8">
        <v>13.68</v>
      </c>
      <c r="E6" s="12">
        <v>13</v>
      </c>
      <c r="F6" s="8">
        <v>16.05</v>
      </c>
      <c r="G6" s="12">
        <v>3</v>
      </c>
      <c r="H6" s="8">
        <v>8.82</v>
      </c>
      <c r="I6" s="12">
        <v>0</v>
      </c>
    </row>
    <row r="7" spans="2:9" ht="15" customHeight="1" x14ac:dyDescent="0.2">
      <c r="B7" t="s">
        <v>62</v>
      </c>
      <c r="C7" s="12">
        <v>10</v>
      </c>
      <c r="D7" s="8">
        <v>8.5500000000000007</v>
      </c>
      <c r="E7" s="12">
        <v>6</v>
      </c>
      <c r="F7" s="8">
        <v>7.41</v>
      </c>
      <c r="G7" s="12">
        <v>4</v>
      </c>
      <c r="H7" s="8">
        <v>11.76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3.42</v>
      </c>
      <c r="E10" s="12">
        <v>0</v>
      </c>
      <c r="F10" s="8">
        <v>0</v>
      </c>
      <c r="G10" s="12">
        <v>4</v>
      </c>
      <c r="H10" s="8">
        <v>11.76</v>
      </c>
      <c r="I10" s="12">
        <v>0</v>
      </c>
    </row>
    <row r="11" spans="2:9" ht="15" customHeight="1" x14ac:dyDescent="0.2">
      <c r="B11" t="s">
        <v>66</v>
      </c>
      <c r="C11" s="12">
        <v>39</v>
      </c>
      <c r="D11" s="8">
        <v>33.33</v>
      </c>
      <c r="E11" s="12">
        <v>28</v>
      </c>
      <c r="F11" s="8">
        <v>34.57</v>
      </c>
      <c r="G11" s="12">
        <v>10</v>
      </c>
      <c r="H11" s="8">
        <v>29.41</v>
      </c>
      <c r="I11" s="12">
        <v>1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1.71</v>
      </c>
      <c r="E13" s="12">
        <v>0</v>
      </c>
      <c r="F13" s="8">
        <v>0</v>
      </c>
      <c r="G13" s="12">
        <v>2</v>
      </c>
      <c r="H13" s="8">
        <v>5.88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0.85</v>
      </c>
      <c r="E14" s="12">
        <v>0</v>
      </c>
      <c r="F14" s="8">
        <v>0</v>
      </c>
      <c r="G14" s="12">
        <v>1</v>
      </c>
      <c r="H14" s="8">
        <v>2.94</v>
      </c>
      <c r="I14" s="12">
        <v>0</v>
      </c>
    </row>
    <row r="15" spans="2:9" ht="15" customHeight="1" x14ac:dyDescent="0.2">
      <c r="B15" t="s">
        <v>70</v>
      </c>
      <c r="C15" s="12">
        <v>20</v>
      </c>
      <c r="D15" s="8">
        <v>17.09</v>
      </c>
      <c r="E15" s="12">
        <v>15</v>
      </c>
      <c r="F15" s="8">
        <v>18.52</v>
      </c>
      <c r="G15" s="12">
        <v>5</v>
      </c>
      <c r="H15" s="8">
        <v>14.71</v>
      </c>
      <c r="I15" s="12">
        <v>0</v>
      </c>
    </row>
    <row r="16" spans="2:9" ht="15" customHeight="1" x14ac:dyDescent="0.2">
      <c r="B16" t="s">
        <v>71</v>
      </c>
      <c r="C16" s="12">
        <v>16</v>
      </c>
      <c r="D16" s="8">
        <v>13.68</v>
      </c>
      <c r="E16" s="12">
        <v>14</v>
      </c>
      <c r="F16" s="8">
        <v>17.28</v>
      </c>
      <c r="G16" s="12">
        <v>2</v>
      </c>
      <c r="H16" s="8">
        <v>5.88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4</v>
      </c>
      <c r="D18" s="8">
        <v>3.42</v>
      </c>
      <c r="E18" s="12">
        <v>1</v>
      </c>
      <c r="F18" s="8">
        <v>1.23</v>
      </c>
      <c r="G18" s="12">
        <v>3</v>
      </c>
      <c r="H18" s="8">
        <v>8.82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3.42</v>
      </c>
      <c r="E19" s="12">
        <v>3</v>
      </c>
      <c r="F19" s="8">
        <v>3.7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SUM(LTBL_07445[総数／事業所数])</f>
        <v>117</v>
      </c>
      <c r="E20" s="12">
        <f>SUBTOTAL(109,LTBL_07445[個人／事業所数])</f>
        <v>81</v>
      </c>
      <c r="G20" s="12">
        <f>SUBTOTAL(109,LTBL_07445[法人／事業所数])</f>
        <v>34</v>
      </c>
      <c r="I20" s="12">
        <f>SUBTOTAL(109,LTBL_07445[法人以外の団体／事業所数])</f>
        <v>1</v>
      </c>
    </row>
    <row r="21" spans="2:9" ht="15" customHeight="1" x14ac:dyDescent="0.2">
      <c r="E21" s="11">
        <f>LTBL_07445[[#Totals],[個人／事業所数]]/LTBL_07445[[#Totals],[総数／事業所数]]</f>
        <v>0.69230769230769229</v>
      </c>
      <c r="G21" s="11">
        <f>LTBL_07445[[#Totals],[法人／事業所数]]/LTBL_07445[[#Totals],[総数／事業所数]]</f>
        <v>0.29059829059829062</v>
      </c>
      <c r="I21" s="11">
        <f>LTBL_07445[[#Totals],[法人以外の団体／事業所数]]/LTBL_07445[[#Totals],[総数／事業所数]]</f>
        <v>8.5470085470085479E-3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91</v>
      </c>
      <c r="C24" s="12">
        <v>15</v>
      </c>
      <c r="D24" s="8">
        <v>12.82</v>
      </c>
      <c r="E24" s="12">
        <v>10</v>
      </c>
      <c r="F24" s="8">
        <v>12.35</v>
      </c>
      <c r="G24" s="12">
        <v>5</v>
      </c>
      <c r="H24" s="8">
        <v>14.71</v>
      </c>
      <c r="I24" s="12">
        <v>0</v>
      </c>
    </row>
    <row r="25" spans="2:9" ht="15" customHeight="1" x14ac:dyDescent="0.2">
      <c r="B25" t="s">
        <v>97</v>
      </c>
      <c r="C25" s="12">
        <v>14</v>
      </c>
      <c r="D25" s="8">
        <v>11.97</v>
      </c>
      <c r="E25" s="12">
        <v>13</v>
      </c>
      <c r="F25" s="8">
        <v>16.05</v>
      </c>
      <c r="G25" s="12">
        <v>1</v>
      </c>
      <c r="H25" s="8">
        <v>2.94</v>
      </c>
      <c r="I25" s="12">
        <v>0</v>
      </c>
    </row>
    <row r="26" spans="2:9" ht="15" customHeight="1" x14ac:dyDescent="0.2">
      <c r="B26" t="s">
        <v>84</v>
      </c>
      <c r="C26" s="12">
        <v>11</v>
      </c>
      <c r="D26" s="8">
        <v>9.4</v>
      </c>
      <c r="E26" s="12">
        <v>10</v>
      </c>
      <c r="F26" s="8">
        <v>12.35</v>
      </c>
      <c r="G26" s="12">
        <v>1</v>
      </c>
      <c r="H26" s="8">
        <v>2.94</v>
      </c>
      <c r="I26" s="12">
        <v>0</v>
      </c>
    </row>
    <row r="27" spans="2:9" ht="15" customHeight="1" x14ac:dyDescent="0.2">
      <c r="B27" t="s">
        <v>89</v>
      </c>
      <c r="C27" s="12">
        <v>11</v>
      </c>
      <c r="D27" s="8">
        <v>9.4</v>
      </c>
      <c r="E27" s="12">
        <v>8</v>
      </c>
      <c r="F27" s="8">
        <v>9.8800000000000008</v>
      </c>
      <c r="G27" s="12">
        <v>2</v>
      </c>
      <c r="H27" s="8">
        <v>5.88</v>
      </c>
      <c r="I27" s="12">
        <v>1</v>
      </c>
    </row>
    <row r="28" spans="2:9" ht="15" customHeight="1" x14ac:dyDescent="0.2">
      <c r="B28" t="s">
        <v>95</v>
      </c>
      <c r="C28" s="12">
        <v>10</v>
      </c>
      <c r="D28" s="8">
        <v>8.5500000000000007</v>
      </c>
      <c r="E28" s="12">
        <v>7</v>
      </c>
      <c r="F28" s="8">
        <v>8.64</v>
      </c>
      <c r="G28" s="12">
        <v>3</v>
      </c>
      <c r="H28" s="8">
        <v>8.82</v>
      </c>
      <c r="I28" s="12">
        <v>0</v>
      </c>
    </row>
    <row r="29" spans="2:9" ht="15" customHeight="1" x14ac:dyDescent="0.2">
      <c r="B29" t="s">
        <v>96</v>
      </c>
      <c r="C29" s="12">
        <v>9</v>
      </c>
      <c r="D29" s="8">
        <v>7.69</v>
      </c>
      <c r="E29" s="12">
        <v>8</v>
      </c>
      <c r="F29" s="8">
        <v>9.8800000000000008</v>
      </c>
      <c r="G29" s="12">
        <v>1</v>
      </c>
      <c r="H29" s="8">
        <v>2.94</v>
      </c>
      <c r="I29" s="12">
        <v>0</v>
      </c>
    </row>
    <row r="30" spans="2:9" ht="15" customHeight="1" x14ac:dyDescent="0.2">
      <c r="B30" t="s">
        <v>110</v>
      </c>
      <c r="C30" s="12">
        <v>4</v>
      </c>
      <c r="D30" s="8">
        <v>3.42</v>
      </c>
      <c r="E30" s="12">
        <v>3</v>
      </c>
      <c r="F30" s="8">
        <v>3.7</v>
      </c>
      <c r="G30" s="12">
        <v>1</v>
      </c>
      <c r="H30" s="8">
        <v>2.94</v>
      </c>
      <c r="I30" s="12">
        <v>0</v>
      </c>
    </row>
    <row r="31" spans="2:9" ht="15" customHeight="1" x14ac:dyDescent="0.2">
      <c r="B31" t="s">
        <v>90</v>
      </c>
      <c r="C31" s="12">
        <v>4</v>
      </c>
      <c r="D31" s="8">
        <v>3.42</v>
      </c>
      <c r="E31" s="12">
        <v>3</v>
      </c>
      <c r="F31" s="8">
        <v>3.7</v>
      </c>
      <c r="G31" s="12">
        <v>1</v>
      </c>
      <c r="H31" s="8">
        <v>2.94</v>
      </c>
      <c r="I31" s="12">
        <v>0</v>
      </c>
    </row>
    <row r="32" spans="2:9" ht="15" customHeight="1" x14ac:dyDescent="0.2">
      <c r="B32" t="s">
        <v>83</v>
      </c>
      <c r="C32" s="12">
        <v>3</v>
      </c>
      <c r="D32" s="8">
        <v>2.56</v>
      </c>
      <c r="E32" s="12">
        <v>3</v>
      </c>
      <c r="F32" s="8">
        <v>3.7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106</v>
      </c>
      <c r="C33" s="12">
        <v>3</v>
      </c>
      <c r="D33" s="8">
        <v>2.56</v>
      </c>
      <c r="E33" s="12">
        <v>2</v>
      </c>
      <c r="F33" s="8">
        <v>2.4700000000000002</v>
      </c>
      <c r="G33" s="12">
        <v>1</v>
      </c>
      <c r="H33" s="8">
        <v>2.94</v>
      </c>
      <c r="I33" s="12">
        <v>0</v>
      </c>
    </row>
    <row r="34" spans="2:9" ht="15" customHeight="1" x14ac:dyDescent="0.2">
      <c r="B34" t="s">
        <v>88</v>
      </c>
      <c r="C34" s="12">
        <v>3</v>
      </c>
      <c r="D34" s="8">
        <v>2.56</v>
      </c>
      <c r="E34" s="12">
        <v>3</v>
      </c>
      <c r="F34" s="8">
        <v>3.7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101</v>
      </c>
      <c r="C35" s="12">
        <v>3</v>
      </c>
      <c r="D35" s="8">
        <v>2.56</v>
      </c>
      <c r="E35" s="12">
        <v>0</v>
      </c>
      <c r="F35" s="8">
        <v>0</v>
      </c>
      <c r="G35" s="12">
        <v>3</v>
      </c>
      <c r="H35" s="8">
        <v>8.82</v>
      </c>
      <c r="I35" s="12">
        <v>0</v>
      </c>
    </row>
    <row r="36" spans="2:9" ht="15" customHeight="1" x14ac:dyDescent="0.2">
      <c r="B36" t="s">
        <v>102</v>
      </c>
      <c r="C36" s="12">
        <v>3</v>
      </c>
      <c r="D36" s="8">
        <v>2.56</v>
      </c>
      <c r="E36" s="12">
        <v>3</v>
      </c>
      <c r="F36" s="8">
        <v>3.7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85</v>
      </c>
      <c r="C37" s="12">
        <v>2</v>
      </c>
      <c r="D37" s="8">
        <v>1.71</v>
      </c>
      <c r="E37" s="12">
        <v>0</v>
      </c>
      <c r="F37" s="8">
        <v>0</v>
      </c>
      <c r="G37" s="12">
        <v>2</v>
      </c>
      <c r="H37" s="8">
        <v>5.88</v>
      </c>
      <c r="I37" s="12">
        <v>0</v>
      </c>
    </row>
    <row r="38" spans="2:9" ht="15" customHeight="1" x14ac:dyDescent="0.2">
      <c r="B38" t="s">
        <v>124</v>
      </c>
      <c r="C38" s="12">
        <v>2</v>
      </c>
      <c r="D38" s="8">
        <v>1.71</v>
      </c>
      <c r="E38" s="12">
        <v>1</v>
      </c>
      <c r="F38" s="8">
        <v>1.23</v>
      </c>
      <c r="G38" s="12">
        <v>1</v>
      </c>
      <c r="H38" s="8">
        <v>2.94</v>
      </c>
      <c r="I38" s="12">
        <v>0</v>
      </c>
    </row>
    <row r="39" spans="2:9" ht="15" customHeight="1" x14ac:dyDescent="0.2">
      <c r="B39" t="s">
        <v>135</v>
      </c>
      <c r="C39" s="12">
        <v>2</v>
      </c>
      <c r="D39" s="8">
        <v>1.71</v>
      </c>
      <c r="E39" s="12">
        <v>0</v>
      </c>
      <c r="F39" s="8">
        <v>0</v>
      </c>
      <c r="G39" s="12">
        <v>2</v>
      </c>
      <c r="H39" s="8">
        <v>5.88</v>
      </c>
      <c r="I39" s="12">
        <v>0</v>
      </c>
    </row>
    <row r="40" spans="2:9" ht="15" customHeight="1" x14ac:dyDescent="0.2">
      <c r="B40" t="s">
        <v>86</v>
      </c>
      <c r="C40" s="12">
        <v>2</v>
      </c>
      <c r="D40" s="8">
        <v>1.71</v>
      </c>
      <c r="E40" s="12">
        <v>1</v>
      </c>
      <c r="F40" s="8">
        <v>1.23</v>
      </c>
      <c r="G40" s="12">
        <v>1</v>
      </c>
      <c r="H40" s="8">
        <v>2.94</v>
      </c>
      <c r="I40" s="12">
        <v>0</v>
      </c>
    </row>
    <row r="41" spans="2:9" ht="15" customHeight="1" x14ac:dyDescent="0.2">
      <c r="B41" t="s">
        <v>92</v>
      </c>
      <c r="C41" s="12">
        <v>2</v>
      </c>
      <c r="D41" s="8">
        <v>1.71</v>
      </c>
      <c r="E41" s="12">
        <v>0</v>
      </c>
      <c r="F41" s="8">
        <v>0</v>
      </c>
      <c r="G41" s="12">
        <v>2</v>
      </c>
      <c r="H41" s="8">
        <v>5.88</v>
      </c>
      <c r="I41" s="12">
        <v>0</v>
      </c>
    </row>
    <row r="42" spans="2:9" ht="15" customHeight="1" x14ac:dyDescent="0.2">
      <c r="B42" t="s">
        <v>131</v>
      </c>
      <c r="C42" s="12">
        <v>1</v>
      </c>
      <c r="D42" s="8">
        <v>0.85</v>
      </c>
      <c r="E42" s="12">
        <v>1</v>
      </c>
      <c r="F42" s="8">
        <v>1.23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132</v>
      </c>
      <c r="C43" s="12">
        <v>1</v>
      </c>
      <c r="D43" s="8">
        <v>0.85</v>
      </c>
      <c r="E43" s="12">
        <v>0</v>
      </c>
      <c r="F43" s="8">
        <v>0</v>
      </c>
      <c r="G43" s="12">
        <v>1</v>
      </c>
      <c r="H43" s="8">
        <v>2.94</v>
      </c>
      <c r="I43" s="12">
        <v>0</v>
      </c>
    </row>
    <row r="44" spans="2:9" ht="15" customHeight="1" x14ac:dyDescent="0.2">
      <c r="B44" t="s">
        <v>116</v>
      </c>
      <c r="C44" s="12">
        <v>1</v>
      </c>
      <c r="D44" s="8">
        <v>0.85</v>
      </c>
      <c r="E44" s="12">
        <v>1</v>
      </c>
      <c r="F44" s="8">
        <v>1.23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118</v>
      </c>
      <c r="C45" s="12">
        <v>1</v>
      </c>
      <c r="D45" s="8">
        <v>0.85</v>
      </c>
      <c r="E45" s="12">
        <v>0</v>
      </c>
      <c r="F45" s="8">
        <v>0</v>
      </c>
      <c r="G45" s="12">
        <v>1</v>
      </c>
      <c r="H45" s="8">
        <v>2.94</v>
      </c>
      <c r="I45" s="12">
        <v>0</v>
      </c>
    </row>
    <row r="46" spans="2:9" ht="15" customHeight="1" x14ac:dyDescent="0.2">
      <c r="B46" t="s">
        <v>133</v>
      </c>
      <c r="C46" s="12">
        <v>1</v>
      </c>
      <c r="D46" s="8">
        <v>0.85</v>
      </c>
      <c r="E46" s="12">
        <v>1</v>
      </c>
      <c r="F46" s="8">
        <v>1.23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136</v>
      </c>
      <c r="C47" s="12">
        <v>1</v>
      </c>
      <c r="D47" s="8">
        <v>0.85</v>
      </c>
      <c r="E47" s="12">
        <v>0</v>
      </c>
      <c r="F47" s="8">
        <v>0</v>
      </c>
      <c r="G47" s="12">
        <v>1</v>
      </c>
      <c r="H47" s="8">
        <v>2.94</v>
      </c>
      <c r="I47" s="12">
        <v>0</v>
      </c>
    </row>
    <row r="48" spans="2:9" ht="15" customHeight="1" x14ac:dyDescent="0.2">
      <c r="B48" t="s">
        <v>141</v>
      </c>
      <c r="C48" s="12">
        <v>1</v>
      </c>
      <c r="D48" s="8">
        <v>0.85</v>
      </c>
      <c r="E48" s="12">
        <v>0</v>
      </c>
      <c r="F48" s="8">
        <v>0</v>
      </c>
      <c r="G48" s="12">
        <v>1</v>
      </c>
      <c r="H48" s="8">
        <v>2.94</v>
      </c>
      <c r="I48" s="12">
        <v>0</v>
      </c>
    </row>
    <row r="49" spans="2:9" ht="15" customHeight="1" x14ac:dyDescent="0.2">
      <c r="B49" t="s">
        <v>150</v>
      </c>
      <c r="C49" s="12">
        <v>1</v>
      </c>
      <c r="D49" s="8">
        <v>0.85</v>
      </c>
      <c r="E49" s="12">
        <v>1</v>
      </c>
      <c r="F49" s="8">
        <v>1.23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94</v>
      </c>
      <c r="C50" s="12">
        <v>1</v>
      </c>
      <c r="D50" s="8">
        <v>0.85</v>
      </c>
      <c r="E50" s="12">
        <v>0</v>
      </c>
      <c r="F50" s="8">
        <v>0</v>
      </c>
      <c r="G50" s="12">
        <v>1</v>
      </c>
      <c r="H50" s="8">
        <v>2.94</v>
      </c>
      <c r="I50" s="12">
        <v>0</v>
      </c>
    </row>
    <row r="51" spans="2:9" ht="15" customHeight="1" x14ac:dyDescent="0.2">
      <c r="B51" t="s">
        <v>113</v>
      </c>
      <c r="C51" s="12">
        <v>1</v>
      </c>
      <c r="D51" s="8">
        <v>0.85</v>
      </c>
      <c r="E51" s="12">
        <v>0</v>
      </c>
      <c r="F51" s="8">
        <v>0</v>
      </c>
      <c r="G51" s="12">
        <v>1</v>
      </c>
      <c r="H51" s="8">
        <v>2.94</v>
      </c>
      <c r="I51" s="12">
        <v>0</v>
      </c>
    </row>
    <row r="52" spans="2:9" ht="15" customHeight="1" x14ac:dyDescent="0.2">
      <c r="B52" t="s">
        <v>98</v>
      </c>
      <c r="C52" s="12">
        <v>1</v>
      </c>
      <c r="D52" s="8">
        <v>0.85</v>
      </c>
      <c r="E52" s="12">
        <v>1</v>
      </c>
      <c r="F52" s="8">
        <v>1.23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129</v>
      </c>
      <c r="C53" s="12">
        <v>1</v>
      </c>
      <c r="D53" s="8">
        <v>0.85</v>
      </c>
      <c r="E53" s="12">
        <v>0</v>
      </c>
      <c r="F53" s="8">
        <v>0</v>
      </c>
      <c r="G53" s="12">
        <v>1</v>
      </c>
      <c r="H53" s="8">
        <v>2.94</v>
      </c>
      <c r="I53" s="12">
        <v>0</v>
      </c>
    </row>
    <row r="54" spans="2:9" ht="15" customHeight="1" x14ac:dyDescent="0.2">
      <c r="B54" t="s">
        <v>100</v>
      </c>
      <c r="C54" s="12">
        <v>1</v>
      </c>
      <c r="D54" s="8">
        <v>0.85</v>
      </c>
      <c r="E54" s="12">
        <v>1</v>
      </c>
      <c r="F54" s="8">
        <v>1.23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108</v>
      </c>
      <c r="C55" s="12">
        <v>1</v>
      </c>
      <c r="D55" s="8">
        <v>0.85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8" spans="2:9" ht="33" customHeight="1" x14ac:dyDescent="0.2">
      <c r="B58" t="s">
        <v>339</v>
      </c>
      <c r="C58" s="10" t="s">
        <v>76</v>
      </c>
      <c r="D58" s="10" t="s">
        <v>77</v>
      </c>
      <c r="E58" s="10" t="s">
        <v>78</v>
      </c>
      <c r="F58" s="10" t="s">
        <v>79</v>
      </c>
      <c r="G58" s="10" t="s">
        <v>80</v>
      </c>
      <c r="H58" s="10" t="s">
        <v>81</v>
      </c>
      <c r="I58" s="10" t="s">
        <v>82</v>
      </c>
    </row>
    <row r="59" spans="2:9" ht="15" customHeight="1" x14ac:dyDescent="0.2">
      <c r="B59" t="s">
        <v>194</v>
      </c>
      <c r="C59" s="12">
        <v>8</v>
      </c>
      <c r="D59" s="8">
        <v>6.84</v>
      </c>
      <c r="E59" s="12">
        <v>7</v>
      </c>
      <c r="F59" s="8">
        <v>8.64</v>
      </c>
      <c r="G59" s="12">
        <v>1</v>
      </c>
      <c r="H59" s="8">
        <v>2.94</v>
      </c>
      <c r="I59" s="12">
        <v>0</v>
      </c>
    </row>
    <row r="60" spans="2:9" ht="15" customHeight="1" x14ac:dyDescent="0.2">
      <c r="B60" t="s">
        <v>185</v>
      </c>
      <c r="C60" s="12">
        <v>7</v>
      </c>
      <c r="D60" s="8">
        <v>5.98</v>
      </c>
      <c r="E60" s="12">
        <v>3</v>
      </c>
      <c r="F60" s="8">
        <v>3.7</v>
      </c>
      <c r="G60" s="12">
        <v>4</v>
      </c>
      <c r="H60" s="8">
        <v>11.76</v>
      </c>
      <c r="I60" s="12">
        <v>0</v>
      </c>
    </row>
    <row r="61" spans="2:9" ht="15" customHeight="1" x14ac:dyDescent="0.2">
      <c r="B61" t="s">
        <v>215</v>
      </c>
      <c r="C61" s="12">
        <v>7</v>
      </c>
      <c r="D61" s="8">
        <v>5.98</v>
      </c>
      <c r="E61" s="12">
        <v>6</v>
      </c>
      <c r="F61" s="8">
        <v>7.41</v>
      </c>
      <c r="G61" s="12">
        <v>1</v>
      </c>
      <c r="H61" s="8">
        <v>2.94</v>
      </c>
      <c r="I61" s="12">
        <v>0</v>
      </c>
    </row>
    <row r="62" spans="2:9" ht="15" customHeight="1" x14ac:dyDescent="0.2">
      <c r="B62" t="s">
        <v>173</v>
      </c>
      <c r="C62" s="12">
        <v>7</v>
      </c>
      <c r="D62" s="8">
        <v>5.98</v>
      </c>
      <c r="E62" s="12">
        <v>7</v>
      </c>
      <c r="F62" s="8">
        <v>8.64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174</v>
      </c>
      <c r="C63" s="12">
        <v>6</v>
      </c>
      <c r="D63" s="8">
        <v>5.13</v>
      </c>
      <c r="E63" s="12">
        <v>6</v>
      </c>
      <c r="F63" s="8">
        <v>7.41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163</v>
      </c>
      <c r="C64" s="12">
        <v>4</v>
      </c>
      <c r="D64" s="8">
        <v>3.42</v>
      </c>
      <c r="E64" s="12">
        <v>3</v>
      </c>
      <c r="F64" s="8">
        <v>3.7</v>
      </c>
      <c r="G64" s="12">
        <v>0</v>
      </c>
      <c r="H64" s="8">
        <v>0</v>
      </c>
      <c r="I64" s="12">
        <v>1</v>
      </c>
    </row>
    <row r="65" spans="2:9" ht="15" customHeight="1" x14ac:dyDescent="0.2">
      <c r="B65" t="s">
        <v>181</v>
      </c>
      <c r="C65" s="12">
        <v>4</v>
      </c>
      <c r="D65" s="8">
        <v>3.42</v>
      </c>
      <c r="E65" s="12">
        <v>3</v>
      </c>
      <c r="F65" s="8">
        <v>3.7</v>
      </c>
      <c r="G65" s="12">
        <v>1</v>
      </c>
      <c r="H65" s="8">
        <v>2.94</v>
      </c>
      <c r="I65" s="12">
        <v>0</v>
      </c>
    </row>
    <row r="66" spans="2:9" ht="15" customHeight="1" x14ac:dyDescent="0.2">
      <c r="B66" t="s">
        <v>212</v>
      </c>
      <c r="C66" s="12">
        <v>3</v>
      </c>
      <c r="D66" s="8">
        <v>2.56</v>
      </c>
      <c r="E66" s="12">
        <v>1</v>
      </c>
      <c r="F66" s="8">
        <v>1.23</v>
      </c>
      <c r="G66" s="12">
        <v>2</v>
      </c>
      <c r="H66" s="8">
        <v>5.88</v>
      </c>
      <c r="I66" s="12">
        <v>0</v>
      </c>
    </row>
    <row r="67" spans="2:9" ht="15" customHeight="1" x14ac:dyDescent="0.2">
      <c r="B67" t="s">
        <v>193</v>
      </c>
      <c r="C67" s="12">
        <v>3</v>
      </c>
      <c r="D67" s="8">
        <v>2.56</v>
      </c>
      <c r="E67" s="12">
        <v>3</v>
      </c>
      <c r="F67" s="8">
        <v>3.7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208</v>
      </c>
      <c r="C68" s="12">
        <v>3</v>
      </c>
      <c r="D68" s="8">
        <v>2.56</v>
      </c>
      <c r="E68" s="12">
        <v>2</v>
      </c>
      <c r="F68" s="8">
        <v>2.4700000000000002</v>
      </c>
      <c r="G68" s="12">
        <v>1</v>
      </c>
      <c r="H68" s="8">
        <v>2.94</v>
      </c>
      <c r="I68" s="12">
        <v>0</v>
      </c>
    </row>
    <row r="69" spans="2:9" ht="15" customHeight="1" x14ac:dyDescent="0.2">
      <c r="B69" t="s">
        <v>170</v>
      </c>
      <c r="C69" s="12">
        <v>3</v>
      </c>
      <c r="D69" s="8">
        <v>2.56</v>
      </c>
      <c r="E69" s="12">
        <v>3</v>
      </c>
      <c r="F69" s="8">
        <v>3.7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200</v>
      </c>
      <c r="C70" s="12">
        <v>3</v>
      </c>
      <c r="D70" s="8">
        <v>2.56</v>
      </c>
      <c r="E70" s="12">
        <v>0</v>
      </c>
      <c r="F70" s="8">
        <v>0</v>
      </c>
      <c r="G70" s="12">
        <v>3</v>
      </c>
      <c r="H70" s="8">
        <v>8.82</v>
      </c>
      <c r="I70" s="12">
        <v>0</v>
      </c>
    </row>
    <row r="71" spans="2:9" ht="15" customHeight="1" x14ac:dyDescent="0.2">
      <c r="B71" t="s">
        <v>177</v>
      </c>
      <c r="C71" s="12">
        <v>3</v>
      </c>
      <c r="D71" s="8">
        <v>2.56</v>
      </c>
      <c r="E71" s="12">
        <v>3</v>
      </c>
      <c r="F71" s="8">
        <v>3.7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158</v>
      </c>
      <c r="C72" s="12">
        <v>2</v>
      </c>
      <c r="D72" s="8">
        <v>1.71</v>
      </c>
      <c r="E72" s="12">
        <v>2</v>
      </c>
      <c r="F72" s="8">
        <v>2.4700000000000002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229</v>
      </c>
      <c r="C73" s="12">
        <v>2</v>
      </c>
      <c r="D73" s="8">
        <v>1.71</v>
      </c>
      <c r="E73" s="12">
        <v>2</v>
      </c>
      <c r="F73" s="8">
        <v>2.4700000000000002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277</v>
      </c>
      <c r="C74" s="12">
        <v>2</v>
      </c>
      <c r="D74" s="8">
        <v>1.71</v>
      </c>
      <c r="E74" s="12">
        <v>0</v>
      </c>
      <c r="F74" s="8">
        <v>0</v>
      </c>
      <c r="G74" s="12">
        <v>2</v>
      </c>
      <c r="H74" s="8">
        <v>5.88</v>
      </c>
      <c r="I74" s="12">
        <v>0</v>
      </c>
    </row>
    <row r="75" spans="2:9" ht="15" customHeight="1" x14ac:dyDescent="0.2">
      <c r="B75" t="s">
        <v>241</v>
      </c>
      <c r="C75" s="12">
        <v>2</v>
      </c>
      <c r="D75" s="8">
        <v>1.71</v>
      </c>
      <c r="E75" s="12">
        <v>2</v>
      </c>
      <c r="F75" s="8">
        <v>2.4700000000000002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278</v>
      </c>
      <c r="C76" s="12">
        <v>2</v>
      </c>
      <c r="D76" s="8">
        <v>1.71</v>
      </c>
      <c r="E76" s="12">
        <v>2</v>
      </c>
      <c r="F76" s="8">
        <v>2.4700000000000002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191</v>
      </c>
      <c r="C77" s="12">
        <v>2</v>
      </c>
      <c r="D77" s="8">
        <v>1.71</v>
      </c>
      <c r="E77" s="12">
        <v>2</v>
      </c>
      <c r="F77" s="8">
        <v>2.4700000000000002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178</v>
      </c>
      <c r="C78" s="12">
        <v>2</v>
      </c>
      <c r="D78" s="8">
        <v>1.71</v>
      </c>
      <c r="E78" s="12">
        <v>2</v>
      </c>
      <c r="F78" s="8">
        <v>2.4700000000000002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166</v>
      </c>
      <c r="C79" s="12">
        <v>2</v>
      </c>
      <c r="D79" s="8">
        <v>1.71</v>
      </c>
      <c r="E79" s="12">
        <v>2</v>
      </c>
      <c r="F79" s="8">
        <v>2.4700000000000002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232</v>
      </c>
      <c r="C80" s="12">
        <v>2</v>
      </c>
      <c r="D80" s="8">
        <v>1.71</v>
      </c>
      <c r="E80" s="12">
        <v>1</v>
      </c>
      <c r="F80" s="8">
        <v>1.23</v>
      </c>
      <c r="G80" s="12">
        <v>1</v>
      </c>
      <c r="H80" s="8">
        <v>2.94</v>
      </c>
      <c r="I80" s="12">
        <v>0</v>
      </c>
    </row>
    <row r="81" spans="2:9" ht="15" customHeight="1" x14ac:dyDescent="0.2">
      <c r="B81" t="s">
        <v>172</v>
      </c>
      <c r="C81" s="12">
        <v>2</v>
      </c>
      <c r="D81" s="8">
        <v>1.71</v>
      </c>
      <c r="E81" s="12">
        <v>2</v>
      </c>
      <c r="F81" s="8">
        <v>2.4700000000000002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D86A-3345-4EF5-A202-8294B9593983}">
  <sheetPr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7</v>
      </c>
      <c r="D6" s="8">
        <v>12.96</v>
      </c>
      <c r="E6" s="12">
        <v>5</v>
      </c>
      <c r="F6" s="8">
        <v>13.89</v>
      </c>
      <c r="G6" s="12">
        <v>2</v>
      </c>
      <c r="H6" s="8">
        <v>12.5</v>
      </c>
      <c r="I6" s="12">
        <v>0</v>
      </c>
    </row>
    <row r="7" spans="2:9" ht="15" customHeight="1" x14ac:dyDescent="0.2">
      <c r="B7" t="s">
        <v>62</v>
      </c>
      <c r="C7" s="12">
        <v>8</v>
      </c>
      <c r="D7" s="8">
        <v>14.81</v>
      </c>
      <c r="E7" s="12">
        <v>6</v>
      </c>
      <c r="F7" s="8">
        <v>16.670000000000002</v>
      </c>
      <c r="G7" s="12">
        <v>2</v>
      </c>
      <c r="H7" s="8">
        <v>12.5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1.85</v>
      </c>
      <c r="E10" s="12">
        <v>0</v>
      </c>
      <c r="F10" s="8">
        <v>0</v>
      </c>
      <c r="G10" s="12">
        <v>1</v>
      </c>
      <c r="H10" s="8">
        <v>6.25</v>
      </c>
      <c r="I10" s="12">
        <v>0</v>
      </c>
    </row>
    <row r="11" spans="2:9" ht="15" customHeight="1" x14ac:dyDescent="0.2">
      <c r="B11" t="s">
        <v>66</v>
      </c>
      <c r="C11" s="12">
        <v>14</v>
      </c>
      <c r="D11" s="8">
        <v>25.93</v>
      </c>
      <c r="E11" s="12">
        <v>7</v>
      </c>
      <c r="F11" s="8">
        <v>19.440000000000001</v>
      </c>
      <c r="G11" s="12">
        <v>7</v>
      </c>
      <c r="H11" s="8">
        <v>43.75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9</v>
      </c>
      <c r="D15" s="8">
        <v>16.670000000000002</v>
      </c>
      <c r="E15" s="12">
        <v>7</v>
      </c>
      <c r="F15" s="8">
        <v>19.440000000000001</v>
      </c>
      <c r="G15" s="12">
        <v>2</v>
      </c>
      <c r="H15" s="8">
        <v>12.5</v>
      </c>
      <c r="I15" s="12">
        <v>0</v>
      </c>
    </row>
    <row r="16" spans="2:9" ht="15" customHeight="1" x14ac:dyDescent="0.2">
      <c r="B16" t="s">
        <v>71</v>
      </c>
      <c r="C16" s="12">
        <v>9</v>
      </c>
      <c r="D16" s="8">
        <v>16.670000000000002</v>
      </c>
      <c r="E16" s="12">
        <v>9</v>
      </c>
      <c r="F16" s="8">
        <v>25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3.7</v>
      </c>
      <c r="E17" s="12">
        <v>0</v>
      </c>
      <c r="F17" s="8">
        <v>0</v>
      </c>
      <c r="G17" s="12">
        <v>1</v>
      </c>
      <c r="H17" s="8">
        <v>6.25</v>
      </c>
      <c r="I17" s="12">
        <v>0</v>
      </c>
    </row>
    <row r="18" spans="2:9" ht="15" customHeight="1" x14ac:dyDescent="0.2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7.41</v>
      </c>
      <c r="E19" s="12">
        <v>2</v>
      </c>
      <c r="F19" s="8">
        <v>5.56</v>
      </c>
      <c r="G19" s="12">
        <v>1</v>
      </c>
      <c r="H19" s="8">
        <v>6.25</v>
      </c>
      <c r="I19" s="12">
        <v>1</v>
      </c>
    </row>
    <row r="20" spans="2:9" ht="15" customHeight="1" x14ac:dyDescent="0.2">
      <c r="B20" s="9" t="s">
        <v>337</v>
      </c>
      <c r="C20" s="12">
        <f>SUM(LTBL_07446[総数／事業所数])</f>
        <v>54</v>
      </c>
      <c r="E20" s="12">
        <f>SUBTOTAL(109,LTBL_07446[個人／事業所数])</f>
        <v>36</v>
      </c>
      <c r="G20" s="12">
        <f>SUBTOTAL(109,LTBL_07446[法人／事業所数])</f>
        <v>16</v>
      </c>
      <c r="I20" s="12">
        <f>SUBTOTAL(109,LTBL_07446[法人以外の団体／事業所数])</f>
        <v>1</v>
      </c>
    </row>
    <row r="21" spans="2:9" ht="15" customHeight="1" x14ac:dyDescent="0.2">
      <c r="E21" s="11">
        <f>LTBL_07446[[#Totals],[個人／事業所数]]/LTBL_07446[[#Totals],[総数／事業所数]]</f>
        <v>0.66666666666666663</v>
      </c>
      <c r="G21" s="11">
        <f>LTBL_07446[[#Totals],[法人／事業所数]]/LTBL_07446[[#Totals],[総数／事業所数]]</f>
        <v>0.29629629629629628</v>
      </c>
      <c r="I21" s="11">
        <f>LTBL_07446[[#Totals],[法人以外の団体／事業所数]]/LTBL_07446[[#Totals],[総数／事業所数]]</f>
        <v>1.8518518518518517E-2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7</v>
      </c>
      <c r="D24" s="8">
        <v>12.96</v>
      </c>
      <c r="E24" s="12">
        <v>7</v>
      </c>
      <c r="F24" s="8">
        <v>19.440000000000001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91</v>
      </c>
      <c r="C25" s="12">
        <v>6</v>
      </c>
      <c r="D25" s="8">
        <v>11.11</v>
      </c>
      <c r="E25" s="12">
        <v>2</v>
      </c>
      <c r="F25" s="8">
        <v>5.56</v>
      </c>
      <c r="G25" s="12">
        <v>4</v>
      </c>
      <c r="H25" s="8">
        <v>25</v>
      </c>
      <c r="I25" s="12">
        <v>0</v>
      </c>
    </row>
    <row r="26" spans="2:9" ht="15" customHeight="1" x14ac:dyDescent="0.2">
      <c r="B26" t="s">
        <v>96</v>
      </c>
      <c r="C26" s="12">
        <v>5</v>
      </c>
      <c r="D26" s="8">
        <v>9.26</v>
      </c>
      <c r="E26" s="12">
        <v>4</v>
      </c>
      <c r="F26" s="8">
        <v>11.11</v>
      </c>
      <c r="G26" s="12">
        <v>1</v>
      </c>
      <c r="H26" s="8">
        <v>6.25</v>
      </c>
      <c r="I26" s="12">
        <v>0</v>
      </c>
    </row>
    <row r="27" spans="2:9" ht="15" customHeight="1" x14ac:dyDescent="0.2">
      <c r="B27" t="s">
        <v>89</v>
      </c>
      <c r="C27" s="12">
        <v>4</v>
      </c>
      <c r="D27" s="8">
        <v>7.41</v>
      </c>
      <c r="E27" s="12">
        <v>2</v>
      </c>
      <c r="F27" s="8">
        <v>5.56</v>
      </c>
      <c r="G27" s="12">
        <v>2</v>
      </c>
      <c r="H27" s="8">
        <v>12.5</v>
      </c>
      <c r="I27" s="12">
        <v>0</v>
      </c>
    </row>
    <row r="28" spans="2:9" ht="15" customHeight="1" x14ac:dyDescent="0.2">
      <c r="B28" t="s">
        <v>83</v>
      </c>
      <c r="C28" s="12">
        <v>3</v>
      </c>
      <c r="D28" s="8">
        <v>5.56</v>
      </c>
      <c r="E28" s="12">
        <v>1</v>
      </c>
      <c r="F28" s="8">
        <v>2.78</v>
      </c>
      <c r="G28" s="12">
        <v>2</v>
      </c>
      <c r="H28" s="8">
        <v>12.5</v>
      </c>
      <c r="I28" s="12">
        <v>0</v>
      </c>
    </row>
    <row r="29" spans="2:9" ht="15" customHeight="1" x14ac:dyDescent="0.2">
      <c r="B29" t="s">
        <v>110</v>
      </c>
      <c r="C29" s="12">
        <v>3</v>
      </c>
      <c r="D29" s="8">
        <v>5.56</v>
      </c>
      <c r="E29" s="12">
        <v>2</v>
      </c>
      <c r="F29" s="8">
        <v>5.56</v>
      </c>
      <c r="G29" s="12">
        <v>1</v>
      </c>
      <c r="H29" s="8">
        <v>6.25</v>
      </c>
      <c r="I29" s="12">
        <v>0</v>
      </c>
    </row>
    <row r="30" spans="2:9" ht="15" customHeight="1" x14ac:dyDescent="0.2">
      <c r="B30" t="s">
        <v>95</v>
      </c>
      <c r="C30" s="12">
        <v>3</v>
      </c>
      <c r="D30" s="8">
        <v>5.56</v>
      </c>
      <c r="E30" s="12">
        <v>3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84</v>
      </c>
      <c r="C31" s="12">
        <v>2</v>
      </c>
      <c r="D31" s="8">
        <v>3.7</v>
      </c>
      <c r="E31" s="12">
        <v>2</v>
      </c>
      <c r="F31" s="8">
        <v>5.56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85</v>
      </c>
      <c r="C32" s="12">
        <v>2</v>
      </c>
      <c r="D32" s="8">
        <v>3.7</v>
      </c>
      <c r="E32" s="12">
        <v>2</v>
      </c>
      <c r="F32" s="8">
        <v>5.56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98</v>
      </c>
      <c r="C33" s="12">
        <v>2</v>
      </c>
      <c r="D33" s="8">
        <v>3.7</v>
      </c>
      <c r="E33" s="12">
        <v>2</v>
      </c>
      <c r="F33" s="8">
        <v>5.56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99</v>
      </c>
      <c r="C34" s="12">
        <v>2</v>
      </c>
      <c r="D34" s="8">
        <v>3.7</v>
      </c>
      <c r="E34" s="12">
        <v>0</v>
      </c>
      <c r="F34" s="8">
        <v>0</v>
      </c>
      <c r="G34" s="12">
        <v>1</v>
      </c>
      <c r="H34" s="8">
        <v>6.25</v>
      </c>
      <c r="I34" s="12">
        <v>0</v>
      </c>
    </row>
    <row r="35" spans="2:9" ht="15" customHeight="1" x14ac:dyDescent="0.2">
      <c r="B35" t="s">
        <v>111</v>
      </c>
      <c r="C35" s="12">
        <v>1</v>
      </c>
      <c r="D35" s="8">
        <v>1.85</v>
      </c>
      <c r="E35" s="12">
        <v>0</v>
      </c>
      <c r="F35" s="8">
        <v>0</v>
      </c>
      <c r="G35" s="12">
        <v>1</v>
      </c>
      <c r="H35" s="8">
        <v>6.25</v>
      </c>
      <c r="I35" s="12">
        <v>0</v>
      </c>
    </row>
    <row r="36" spans="2:9" ht="15" customHeight="1" x14ac:dyDescent="0.2">
      <c r="B36" t="s">
        <v>116</v>
      </c>
      <c r="C36" s="12">
        <v>1</v>
      </c>
      <c r="D36" s="8">
        <v>1.85</v>
      </c>
      <c r="E36" s="12">
        <v>1</v>
      </c>
      <c r="F36" s="8">
        <v>2.78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112</v>
      </c>
      <c r="C37" s="12">
        <v>1</v>
      </c>
      <c r="D37" s="8">
        <v>1.85</v>
      </c>
      <c r="E37" s="12">
        <v>1</v>
      </c>
      <c r="F37" s="8">
        <v>2.78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115</v>
      </c>
      <c r="C38" s="12">
        <v>1</v>
      </c>
      <c r="D38" s="8">
        <v>1.85</v>
      </c>
      <c r="E38" s="12">
        <v>1</v>
      </c>
      <c r="F38" s="8">
        <v>2.78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105</v>
      </c>
      <c r="C39" s="12">
        <v>1</v>
      </c>
      <c r="D39" s="8">
        <v>1.85</v>
      </c>
      <c r="E39" s="12">
        <v>1</v>
      </c>
      <c r="F39" s="8">
        <v>2.78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136</v>
      </c>
      <c r="C40" s="12">
        <v>1</v>
      </c>
      <c r="D40" s="8">
        <v>1.85</v>
      </c>
      <c r="E40" s="12">
        <v>0</v>
      </c>
      <c r="F40" s="8">
        <v>0</v>
      </c>
      <c r="G40" s="12">
        <v>1</v>
      </c>
      <c r="H40" s="8">
        <v>6.25</v>
      </c>
      <c r="I40" s="12">
        <v>0</v>
      </c>
    </row>
    <row r="41" spans="2:9" ht="15" customHeight="1" x14ac:dyDescent="0.2">
      <c r="B41" t="s">
        <v>106</v>
      </c>
      <c r="C41" s="12">
        <v>1</v>
      </c>
      <c r="D41" s="8">
        <v>1.85</v>
      </c>
      <c r="E41" s="12">
        <v>1</v>
      </c>
      <c r="F41" s="8">
        <v>2.78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148</v>
      </c>
      <c r="C42" s="12">
        <v>1</v>
      </c>
      <c r="D42" s="8">
        <v>1.85</v>
      </c>
      <c r="E42" s="12">
        <v>0</v>
      </c>
      <c r="F42" s="8">
        <v>0</v>
      </c>
      <c r="G42" s="12">
        <v>1</v>
      </c>
      <c r="H42" s="8">
        <v>6.25</v>
      </c>
      <c r="I42" s="12">
        <v>0</v>
      </c>
    </row>
    <row r="43" spans="2:9" ht="15" customHeight="1" x14ac:dyDescent="0.2">
      <c r="B43" t="s">
        <v>88</v>
      </c>
      <c r="C43" s="12">
        <v>1</v>
      </c>
      <c r="D43" s="8">
        <v>1.85</v>
      </c>
      <c r="E43" s="12">
        <v>1</v>
      </c>
      <c r="F43" s="8">
        <v>2.78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103</v>
      </c>
      <c r="C44" s="12">
        <v>1</v>
      </c>
      <c r="D44" s="8">
        <v>1.85</v>
      </c>
      <c r="E44" s="12">
        <v>1</v>
      </c>
      <c r="F44" s="8">
        <v>2.78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113</v>
      </c>
      <c r="C45" s="12">
        <v>1</v>
      </c>
      <c r="D45" s="8">
        <v>1.85</v>
      </c>
      <c r="E45" s="12">
        <v>0</v>
      </c>
      <c r="F45" s="8">
        <v>0</v>
      </c>
      <c r="G45" s="12">
        <v>1</v>
      </c>
      <c r="H45" s="8">
        <v>6.25</v>
      </c>
      <c r="I45" s="12">
        <v>0</v>
      </c>
    </row>
    <row r="46" spans="2:9" ht="15" customHeight="1" x14ac:dyDescent="0.2">
      <c r="B46" t="s">
        <v>120</v>
      </c>
      <c r="C46" s="12">
        <v>1</v>
      </c>
      <c r="D46" s="8">
        <v>1.85</v>
      </c>
      <c r="E46" s="12">
        <v>1</v>
      </c>
      <c r="F46" s="8">
        <v>2.78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102</v>
      </c>
      <c r="C47" s="12">
        <v>1</v>
      </c>
      <c r="D47" s="8">
        <v>1.85</v>
      </c>
      <c r="E47" s="12">
        <v>1</v>
      </c>
      <c r="F47" s="8">
        <v>2.78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108</v>
      </c>
      <c r="C48" s="12">
        <v>1</v>
      </c>
      <c r="D48" s="8">
        <v>1.85</v>
      </c>
      <c r="E48" s="12">
        <v>0</v>
      </c>
      <c r="F48" s="8">
        <v>0</v>
      </c>
      <c r="G48" s="12">
        <v>1</v>
      </c>
      <c r="H48" s="8">
        <v>6.25</v>
      </c>
      <c r="I48" s="12">
        <v>0</v>
      </c>
    </row>
    <row r="49" spans="2:9" ht="15" customHeight="1" x14ac:dyDescent="0.2">
      <c r="B49" t="s">
        <v>140</v>
      </c>
      <c r="C49" s="12">
        <v>1</v>
      </c>
      <c r="D49" s="8">
        <v>1.85</v>
      </c>
      <c r="E49" s="12">
        <v>0</v>
      </c>
      <c r="F49" s="8">
        <v>0</v>
      </c>
      <c r="G49" s="12">
        <v>0</v>
      </c>
      <c r="H49" s="8">
        <v>0</v>
      </c>
      <c r="I49" s="12">
        <v>1</v>
      </c>
    </row>
    <row r="52" spans="2:9" ht="33" customHeight="1" x14ac:dyDescent="0.2">
      <c r="B52" t="s">
        <v>339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2">
      <c r="B53" t="s">
        <v>174</v>
      </c>
      <c r="C53" s="12">
        <v>4</v>
      </c>
      <c r="D53" s="8">
        <v>7.41</v>
      </c>
      <c r="E53" s="12">
        <v>4</v>
      </c>
      <c r="F53" s="8">
        <v>11.11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223</v>
      </c>
      <c r="C54" s="12">
        <v>3</v>
      </c>
      <c r="D54" s="8">
        <v>5.56</v>
      </c>
      <c r="E54" s="12">
        <v>2</v>
      </c>
      <c r="F54" s="8">
        <v>5.56</v>
      </c>
      <c r="G54" s="12">
        <v>1</v>
      </c>
      <c r="H54" s="8">
        <v>6.25</v>
      </c>
      <c r="I54" s="12">
        <v>0</v>
      </c>
    </row>
    <row r="55" spans="2:9" ht="15" customHeight="1" x14ac:dyDescent="0.2">
      <c r="B55" t="s">
        <v>173</v>
      </c>
      <c r="C55" s="12">
        <v>3</v>
      </c>
      <c r="D55" s="8">
        <v>5.56</v>
      </c>
      <c r="E55" s="12">
        <v>3</v>
      </c>
      <c r="F55" s="8">
        <v>8.33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158</v>
      </c>
      <c r="C56" s="12">
        <v>2</v>
      </c>
      <c r="D56" s="8">
        <v>3.7</v>
      </c>
      <c r="E56" s="12">
        <v>0</v>
      </c>
      <c r="F56" s="8">
        <v>0</v>
      </c>
      <c r="G56" s="12">
        <v>2</v>
      </c>
      <c r="H56" s="8">
        <v>12.5</v>
      </c>
      <c r="I56" s="12">
        <v>0</v>
      </c>
    </row>
    <row r="57" spans="2:9" ht="15" customHeight="1" x14ac:dyDescent="0.2">
      <c r="B57" t="s">
        <v>162</v>
      </c>
      <c r="C57" s="12">
        <v>2</v>
      </c>
      <c r="D57" s="8">
        <v>3.7</v>
      </c>
      <c r="E57" s="12">
        <v>2</v>
      </c>
      <c r="F57" s="8">
        <v>5.56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208</v>
      </c>
      <c r="C58" s="12">
        <v>2</v>
      </c>
      <c r="D58" s="8">
        <v>3.7</v>
      </c>
      <c r="E58" s="12">
        <v>1</v>
      </c>
      <c r="F58" s="8">
        <v>2.78</v>
      </c>
      <c r="G58" s="12">
        <v>1</v>
      </c>
      <c r="H58" s="8">
        <v>6.25</v>
      </c>
      <c r="I58" s="12">
        <v>0</v>
      </c>
    </row>
    <row r="59" spans="2:9" ht="15" customHeight="1" x14ac:dyDescent="0.2">
      <c r="B59" t="s">
        <v>185</v>
      </c>
      <c r="C59" s="12">
        <v>2</v>
      </c>
      <c r="D59" s="8">
        <v>3.7</v>
      </c>
      <c r="E59" s="12">
        <v>0</v>
      </c>
      <c r="F59" s="8">
        <v>0</v>
      </c>
      <c r="G59" s="12">
        <v>2</v>
      </c>
      <c r="H59" s="8">
        <v>12.5</v>
      </c>
      <c r="I59" s="12">
        <v>0</v>
      </c>
    </row>
    <row r="60" spans="2:9" ht="15" customHeight="1" x14ac:dyDescent="0.2">
      <c r="B60" t="s">
        <v>215</v>
      </c>
      <c r="C60" s="12">
        <v>2</v>
      </c>
      <c r="D60" s="8">
        <v>3.7</v>
      </c>
      <c r="E60" s="12">
        <v>2</v>
      </c>
      <c r="F60" s="8">
        <v>5.56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216</v>
      </c>
      <c r="C61" s="12">
        <v>2</v>
      </c>
      <c r="D61" s="8">
        <v>3.7</v>
      </c>
      <c r="E61" s="12">
        <v>2</v>
      </c>
      <c r="F61" s="8">
        <v>5.56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269</v>
      </c>
      <c r="C62" s="12">
        <v>2</v>
      </c>
      <c r="D62" s="8">
        <v>3.7</v>
      </c>
      <c r="E62" s="12">
        <v>2</v>
      </c>
      <c r="F62" s="8">
        <v>5.56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236</v>
      </c>
      <c r="C63" s="12">
        <v>2</v>
      </c>
      <c r="D63" s="8">
        <v>3.7</v>
      </c>
      <c r="E63" s="12">
        <v>0</v>
      </c>
      <c r="F63" s="8">
        <v>0</v>
      </c>
      <c r="G63" s="12">
        <v>1</v>
      </c>
      <c r="H63" s="8">
        <v>6.25</v>
      </c>
      <c r="I63" s="12">
        <v>0</v>
      </c>
    </row>
    <row r="64" spans="2:9" ht="15" customHeight="1" x14ac:dyDescent="0.2">
      <c r="B64" t="s">
        <v>160</v>
      </c>
      <c r="C64" s="12">
        <v>1</v>
      </c>
      <c r="D64" s="8">
        <v>1.85</v>
      </c>
      <c r="E64" s="12">
        <v>1</v>
      </c>
      <c r="F64" s="8">
        <v>2.78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194</v>
      </c>
      <c r="C65" s="12">
        <v>1</v>
      </c>
      <c r="D65" s="8">
        <v>1.85</v>
      </c>
      <c r="E65" s="12">
        <v>1</v>
      </c>
      <c r="F65" s="8">
        <v>2.78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201</v>
      </c>
      <c r="C66" s="12">
        <v>1</v>
      </c>
      <c r="D66" s="8">
        <v>1.85</v>
      </c>
      <c r="E66" s="12">
        <v>1</v>
      </c>
      <c r="F66" s="8">
        <v>2.78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279</v>
      </c>
      <c r="C67" s="12">
        <v>1</v>
      </c>
      <c r="D67" s="8">
        <v>1.85</v>
      </c>
      <c r="E67" s="12">
        <v>0</v>
      </c>
      <c r="F67" s="8">
        <v>0</v>
      </c>
      <c r="G67" s="12">
        <v>1</v>
      </c>
      <c r="H67" s="8">
        <v>6.25</v>
      </c>
      <c r="I67" s="12">
        <v>0</v>
      </c>
    </row>
    <row r="68" spans="2:9" ht="15" customHeight="1" x14ac:dyDescent="0.2">
      <c r="B68" t="s">
        <v>273</v>
      </c>
      <c r="C68" s="12">
        <v>1</v>
      </c>
      <c r="D68" s="8">
        <v>1.85</v>
      </c>
      <c r="E68" s="12">
        <v>1</v>
      </c>
      <c r="F68" s="8">
        <v>2.78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280</v>
      </c>
      <c r="C69" s="12">
        <v>1</v>
      </c>
      <c r="D69" s="8">
        <v>1.85</v>
      </c>
      <c r="E69" s="12">
        <v>1</v>
      </c>
      <c r="F69" s="8">
        <v>2.78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219</v>
      </c>
      <c r="C70" s="12">
        <v>1</v>
      </c>
      <c r="D70" s="8">
        <v>1.85</v>
      </c>
      <c r="E70" s="12">
        <v>1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263</v>
      </c>
      <c r="C71" s="12">
        <v>1</v>
      </c>
      <c r="D71" s="8">
        <v>1.85</v>
      </c>
      <c r="E71" s="12">
        <v>1</v>
      </c>
      <c r="F71" s="8">
        <v>2.78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256</v>
      </c>
      <c r="C72" s="12">
        <v>1</v>
      </c>
      <c r="D72" s="8">
        <v>1.85</v>
      </c>
      <c r="E72" s="12">
        <v>0</v>
      </c>
      <c r="F72" s="8">
        <v>0</v>
      </c>
      <c r="G72" s="12">
        <v>1</v>
      </c>
      <c r="H72" s="8">
        <v>6.25</v>
      </c>
      <c r="I72" s="12">
        <v>0</v>
      </c>
    </row>
    <row r="73" spans="2:9" ht="15" customHeight="1" x14ac:dyDescent="0.2">
      <c r="B73" t="s">
        <v>241</v>
      </c>
      <c r="C73" s="12">
        <v>1</v>
      </c>
      <c r="D73" s="8">
        <v>1.85</v>
      </c>
      <c r="E73" s="12">
        <v>1</v>
      </c>
      <c r="F73" s="8">
        <v>2.78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281</v>
      </c>
      <c r="C74" s="12">
        <v>1</v>
      </c>
      <c r="D74" s="8">
        <v>1.85</v>
      </c>
      <c r="E74" s="12">
        <v>0</v>
      </c>
      <c r="F74" s="8">
        <v>0</v>
      </c>
      <c r="G74" s="12">
        <v>1</v>
      </c>
      <c r="H74" s="8">
        <v>6.25</v>
      </c>
      <c r="I74" s="12">
        <v>0</v>
      </c>
    </row>
    <row r="75" spans="2:9" ht="15" customHeight="1" x14ac:dyDescent="0.2">
      <c r="B75" t="s">
        <v>222</v>
      </c>
      <c r="C75" s="12">
        <v>1</v>
      </c>
      <c r="D75" s="8">
        <v>1.85</v>
      </c>
      <c r="E75" s="12">
        <v>1</v>
      </c>
      <c r="F75" s="8">
        <v>2.78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212</v>
      </c>
      <c r="C76" s="12">
        <v>1</v>
      </c>
      <c r="D76" s="8">
        <v>1.85</v>
      </c>
      <c r="E76" s="12">
        <v>0</v>
      </c>
      <c r="F76" s="8">
        <v>0</v>
      </c>
      <c r="G76" s="12">
        <v>1</v>
      </c>
      <c r="H76" s="8">
        <v>6.25</v>
      </c>
      <c r="I76" s="12">
        <v>0</v>
      </c>
    </row>
    <row r="77" spans="2:9" ht="15" customHeight="1" x14ac:dyDescent="0.2">
      <c r="B77" t="s">
        <v>191</v>
      </c>
      <c r="C77" s="12">
        <v>1</v>
      </c>
      <c r="D77" s="8">
        <v>1.85</v>
      </c>
      <c r="E77" s="12">
        <v>1</v>
      </c>
      <c r="F77" s="8">
        <v>2.78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178</v>
      </c>
      <c r="C78" s="12">
        <v>1</v>
      </c>
      <c r="D78" s="8">
        <v>1.85</v>
      </c>
      <c r="E78" s="12">
        <v>0</v>
      </c>
      <c r="F78" s="8">
        <v>0</v>
      </c>
      <c r="G78" s="12">
        <v>1</v>
      </c>
      <c r="H78" s="8">
        <v>6.25</v>
      </c>
      <c r="I78" s="12">
        <v>0</v>
      </c>
    </row>
    <row r="79" spans="2:9" ht="15" customHeight="1" x14ac:dyDescent="0.2">
      <c r="B79" t="s">
        <v>163</v>
      </c>
      <c r="C79" s="12">
        <v>1</v>
      </c>
      <c r="D79" s="8">
        <v>1.85</v>
      </c>
      <c r="E79" s="12">
        <v>1</v>
      </c>
      <c r="F79" s="8">
        <v>2.78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165</v>
      </c>
      <c r="C80" s="12">
        <v>1</v>
      </c>
      <c r="D80" s="8">
        <v>1.85</v>
      </c>
      <c r="E80" s="12">
        <v>0</v>
      </c>
      <c r="F80" s="8">
        <v>0</v>
      </c>
      <c r="G80" s="12">
        <v>1</v>
      </c>
      <c r="H80" s="8">
        <v>6.25</v>
      </c>
      <c r="I80" s="12">
        <v>0</v>
      </c>
    </row>
    <row r="81" spans="2:9" ht="15" customHeight="1" x14ac:dyDescent="0.2">
      <c r="B81" t="s">
        <v>243</v>
      </c>
      <c r="C81" s="12">
        <v>1</v>
      </c>
      <c r="D81" s="8">
        <v>1.85</v>
      </c>
      <c r="E81" s="12">
        <v>1</v>
      </c>
      <c r="F81" s="8">
        <v>2.78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204</v>
      </c>
      <c r="C82" s="12">
        <v>1</v>
      </c>
      <c r="D82" s="8">
        <v>1.85</v>
      </c>
      <c r="E82" s="12">
        <v>1</v>
      </c>
      <c r="F82" s="8">
        <v>2.78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233</v>
      </c>
      <c r="C83" s="12">
        <v>1</v>
      </c>
      <c r="D83" s="8">
        <v>1.85</v>
      </c>
      <c r="E83" s="12">
        <v>1</v>
      </c>
      <c r="F83" s="8">
        <v>2.78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181</v>
      </c>
      <c r="C84" s="12">
        <v>1</v>
      </c>
      <c r="D84" s="8">
        <v>1.85</v>
      </c>
      <c r="E84" s="12">
        <v>1</v>
      </c>
      <c r="F84" s="8">
        <v>2.78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170</v>
      </c>
      <c r="C85" s="12">
        <v>1</v>
      </c>
      <c r="D85" s="8">
        <v>1.85</v>
      </c>
      <c r="E85" s="12">
        <v>0</v>
      </c>
      <c r="F85" s="8">
        <v>0</v>
      </c>
      <c r="G85" s="12">
        <v>1</v>
      </c>
      <c r="H85" s="8">
        <v>6.25</v>
      </c>
      <c r="I85" s="12">
        <v>0</v>
      </c>
    </row>
    <row r="86" spans="2:9" ht="15" customHeight="1" x14ac:dyDescent="0.2">
      <c r="B86" t="s">
        <v>171</v>
      </c>
      <c r="C86" s="12">
        <v>1</v>
      </c>
      <c r="D86" s="8">
        <v>1.85</v>
      </c>
      <c r="E86" s="12">
        <v>1</v>
      </c>
      <c r="F86" s="8">
        <v>2.78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282</v>
      </c>
      <c r="C87" s="12">
        <v>1</v>
      </c>
      <c r="D87" s="8">
        <v>1.85</v>
      </c>
      <c r="E87" s="12">
        <v>0</v>
      </c>
      <c r="F87" s="8">
        <v>0</v>
      </c>
      <c r="G87" s="12">
        <v>1</v>
      </c>
      <c r="H87" s="8">
        <v>6.25</v>
      </c>
      <c r="I87" s="12">
        <v>0</v>
      </c>
    </row>
    <row r="88" spans="2:9" ht="15" customHeight="1" x14ac:dyDescent="0.2">
      <c r="B88" t="s">
        <v>206</v>
      </c>
      <c r="C88" s="12">
        <v>1</v>
      </c>
      <c r="D88" s="8">
        <v>1.85</v>
      </c>
      <c r="E88" s="12">
        <v>1</v>
      </c>
      <c r="F88" s="8">
        <v>2.78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177</v>
      </c>
      <c r="C89" s="12">
        <v>1</v>
      </c>
      <c r="D89" s="8">
        <v>1.85</v>
      </c>
      <c r="E89" s="12">
        <v>1</v>
      </c>
      <c r="F89" s="8">
        <v>2.78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211</v>
      </c>
      <c r="C90" s="12">
        <v>1</v>
      </c>
      <c r="D90" s="8">
        <v>1.85</v>
      </c>
      <c r="E90" s="12">
        <v>0</v>
      </c>
      <c r="F90" s="8">
        <v>0</v>
      </c>
      <c r="G90" s="12">
        <v>1</v>
      </c>
      <c r="H90" s="8">
        <v>6.25</v>
      </c>
      <c r="I90" s="12">
        <v>0</v>
      </c>
    </row>
    <row r="91" spans="2:9" ht="15" customHeight="1" x14ac:dyDescent="0.2">
      <c r="B91" t="s">
        <v>240</v>
      </c>
      <c r="C91" s="12">
        <v>1</v>
      </c>
      <c r="D91" s="8">
        <v>1.85</v>
      </c>
      <c r="E91" s="12">
        <v>0</v>
      </c>
      <c r="F91" s="8">
        <v>0</v>
      </c>
      <c r="G91" s="12">
        <v>0</v>
      </c>
      <c r="H91" s="8">
        <v>0</v>
      </c>
      <c r="I91" s="12">
        <v>1</v>
      </c>
    </row>
    <row r="93" spans="2:9" ht="15" customHeight="1" x14ac:dyDescent="0.2">
      <c r="B9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567C5-983E-4339-BA63-FECB91EFE027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90</v>
      </c>
      <c r="D6" s="8">
        <v>20.09</v>
      </c>
      <c r="E6" s="12">
        <v>52</v>
      </c>
      <c r="F6" s="8">
        <v>17.39</v>
      </c>
      <c r="G6" s="12">
        <v>38</v>
      </c>
      <c r="H6" s="8">
        <v>26.57</v>
      </c>
      <c r="I6" s="12">
        <v>0</v>
      </c>
    </row>
    <row r="7" spans="2:9" ht="15" customHeight="1" x14ac:dyDescent="0.2">
      <c r="B7" t="s">
        <v>62</v>
      </c>
      <c r="C7" s="12">
        <v>45</v>
      </c>
      <c r="D7" s="8">
        <v>10.039999999999999</v>
      </c>
      <c r="E7" s="12">
        <v>23</v>
      </c>
      <c r="F7" s="8">
        <v>7.69</v>
      </c>
      <c r="G7" s="12">
        <v>22</v>
      </c>
      <c r="H7" s="8">
        <v>15.38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0.45</v>
      </c>
      <c r="E9" s="12">
        <v>0</v>
      </c>
      <c r="F9" s="8">
        <v>0</v>
      </c>
      <c r="G9" s="12">
        <v>2</v>
      </c>
      <c r="H9" s="8">
        <v>1.4</v>
      </c>
      <c r="I9" s="12">
        <v>0</v>
      </c>
    </row>
    <row r="10" spans="2:9" ht="15" customHeight="1" x14ac:dyDescent="0.2">
      <c r="B10" t="s">
        <v>65</v>
      </c>
      <c r="C10" s="12">
        <v>6</v>
      </c>
      <c r="D10" s="8">
        <v>1.34</v>
      </c>
      <c r="E10" s="12">
        <v>4</v>
      </c>
      <c r="F10" s="8">
        <v>1.34</v>
      </c>
      <c r="G10" s="12">
        <v>2</v>
      </c>
      <c r="H10" s="8">
        <v>1.4</v>
      </c>
      <c r="I10" s="12">
        <v>0</v>
      </c>
    </row>
    <row r="11" spans="2:9" ht="15" customHeight="1" x14ac:dyDescent="0.2">
      <c r="B11" t="s">
        <v>66</v>
      </c>
      <c r="C11" s="12">
        <v>130</v>
      </c>
      <c r="D11" s="8">
        <v>29.02</v>
      </c>
      <c r="E11" s="12">
        <v>89</v>
      </c>
      <c r="F11" s="8">
        <v>29.77</v>
      </c>
      <c r="G11" s="12">
        <v>41</v>
      </c>
      <c r="H11" s="8">
        <v>28.67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10</v>
      </c>
      <c r="D13" s="8">
        <v>2.23</v>
      </c>
      <c r="E13" s="12">
        <v>5</v>
      </c>
      <c r="F13" s="8">
        <v>1.67</v>
      </c>
      <c r="G13" s="12">
        <v>5</v>
      </c>
      <c r="H13" s="8">
        <v>3.5</v>
      </c>
      <c r="I13" s="12">
        <v>0</v>
      </c>
    </row>
    <row r="14" spans="2:9" ht="15" customHeight="1" x14ac:dyDescent="0.2">
      <c r="B14" t="s">
        <v>69</v>
      </c>
      <c r="C14" s="12">
        <v>16</v>
      </c>
      <c r="D14" s="8">
        <v>3.57</v>
      </c>
      <c r="E14" s="12">
        <v>9</v>
      </c>
      <c r="F14" s="8">
        <v>3.01</v>
      </c>
      <c r="G14" s="12">
        <v>7</v>
      </c>
      <c r="H14" s="8">
        <v>4.9000000000000004</v>
      </c>
      <c r="I14" s="12">
        <v>0</v>
      </c>
    </row>
    <row r="15" spans="2:9" ht="15" customHeight="1" x14ac:dyDescent="0.2">
      <c r="B15" t="s">
        <v>70</v>
      </c>
      <c r="C15" s="12">
        <v>43</v>
      </c>
      <c r="D15" s="8">
        <v>9.6</v>
      </c>
      <c r="E15" s="12">
        <v>36</v>
      </c>
      <c r="F15" s="8">
        <v>12.04</v>
      </c>
      <c r="G15" s="12">
        <v>6</v>
      </c>
      <c r="H15" s="8">
        <v>4.2</v>
      </c>
      <c r="I15" s="12">
        <v>0</v>
      </c>
    </row>
    <row r="16" spans="2:9" ht="15" customHeight="1" x14ac:dyDescent="0.2">
      <c r="B16" t="s">
        <v>71</v>
      </c>
      <c r="C16" s="12">
        <v>66</v>
      </c>
      <c r="D16" s="8">
        <v>14.73</v>
      </c>
      <c r="E16" s="12">
        <v>60</v>
      </c>
      <c r="F16" s="8">
        <v>20.07</v>
      </c>
      <c r="G16" s="12">
        <v>6</v>
      </c>
      <c r="H16" s="8">
        <v>4.2</v>
      </c>
      <c r="I16" s="12">
        <v>0</v>
      </c>
    </row>
    <row r="17" spans="2:9" ht="15" customHeight="1" x14ac:dyDescent="0.2">
      <c r="B17" t="s">
        <v>72</v>
      </c>
      <c r="C17" s="12">
        <v>14</v>
      </c>
      <c r="D17" s="8">
        <v>3.13</v>
      </c>
      <c r="E17" s="12">
        <v>8</v>
      </c>
      <c r="F17" s="8">
        <v>2.68</v>
      </c>
      <c r="G17" s="12">
        <v>2</v>
      </c>
      <c r="H17" s="8">
        <v>1.4</v>
      </c>
      <c r="I17" s="12">
        <v>0</v>
      </c>
    </row>
    <row r="18" spans="2:9" ht="15" customHeight="1" x14ac:dyDescent="0.2">
      <c r="B18" t="s">
        <v>73</v>
      </c>
      <c r="C18" s="12">
        <v>13</v>
      </c>
      <c r="D18" s="8">
        <v>2.9</v>
      </c>
      <c r="E18" s="12">
        <v>7</v>
      </c>
      <c r="F18" s="8">
        <v>2.34</v>
      </c>
      <c r="G18" s="12">
        <v>6</v>
      </c>
      <c r="H18" s="8">
        <v>4.2</v>
      </c>
      <c r="I18" s="12">
        <v>0</v>
      </c>
    </row>
    <row r="19" spans="2:9" ht="15" customHeight="1" x14ac:dyDescent="0.2">
      <c r="B19" t="s">
        <v>74</v>
      </c>
      <c r="C19" s="12">
        <v>13</v>
      </c>
      <c r="D19" s="8">
        <v>2.9</v>
      </c>
      <c r="E19" s="12">
        <v>6</v>
      </c>
      <c r="F19" s="8">
        <v>2.0099999999999998</v>
      </c>
      <c r="G19" s="12">
        <v>6</v>
      </c>
      <c r="H19" s="8">
        <v>4.2</v>
      </c>
      <c r="I19" s="12">
        <v>1</v>
      </c>
    </row>
    <row r="20" spans="2:9" ht="15" customHeight="1" x14ac:dyDescent="0.2">
      <c r="B20" s="9" t="s">
        <v>337</v>
      </c>
      <c r="C20" s="12">
        <f>SUM(LTBL_07447[総数／事業所数])</f>
        <v>448</v>
      </c>
      <c r="E20" s="12">
        <f>SUBTOTAL(109,LTBL_07447[個人／事業所数])</f>
        <v>299</v>
      </c>
      <c r="G20" s="12">
        <f>SUBTOTAL(109,LTBL_07447[法人／事業所数])</f>
        <v>143</v>
      </c>
      <c r="I20" s="12">
        <f>SUBTOTAL(109,LTBL_07447[法人以外の団体／事業所数])</f>
        <v>1</v>
      </c>
    </row>
    <row r="21" spans="2:9" ht="15" customHeight="1" x14ac:dyDescent="0.2">
      <c r="E21" s="11">
        <f>LTBL_07447[[#Totals],[個人／事業所数]]/LTBL_07447[[#Totals],[総数／事業所数]]</f>
        <v>0.6674107142857143</v>
      </c>
      <c r="G21" s="11">
        <f>LTBL_07447[[#Totals],[法人／事業所数]]/LTBL_07447[[#Totals],[総数／事業所数]]</f>
        <v>0.31919642857142855</v>
      </c>
      <c r="I21" s="11">
        <f>LTBL_07447[[#Totals],[法人以外の団体／事業所数]]/LTBL_07447[[#Totals],[総数／事業所数]]</f>
        <v>2.232142857142857E-3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61</v>
      </c>
      <c r="D24" s="8">
        <v>13.62</v>
      </c>
      <c r="E24" s="12">
        <v>60</v>
      </c>
      <c r="F24" s="8">
        <v>20.07</v>
      </c>
      <c r="G24" s="12">
        <v>1</v>
      </c>
      <c r="H24" s="8">
        <v>0.7</v>
      </c>
      <c r="I24" s="12">
        <v>0</v>
      </c>
    </row>
    <row r="25" spans="2:9" ht="15" customHeight="1" x14ac:dyDescent="0.2">
      <c r="B25" t="s">
        <v>91</v>
      </c>
      <c r="C25" s="12">
        <v>43</v>
      </c>
      <c r="D25" s="8">
        <v>9.6</v>
      </c>
      <c r="E25" s="12">
        <v>27</v>
      </c>
      <c r="F25" s="8">
        <v>9.0299999999999994</v>
      </c>
      <c r="G25" s="12">
        <v>16</v>
      </c>
      <c r="H25" s="8">
        <v>11.19</v>
      </c>
      <c r="I25" s="12">
        <v>0</v>
      </c>
    </row>
    <row r="26" spans="2:9" ht="15" customHeight="1" x14ac:dyDescent="0.2">
      <c r="B26" t="s">
        <v>83</v>
      </c>
      <c r="C26" s="12">
        <v>36</v>
      </c>
      <c r="D26" s="8">
        <v>8.0399999999999991</v>
      </c>
      <c r="E26" s="12">
        <v>20</v>
      </c>
      <c r="F26" s="8">
        <v>6.69</v>
      </c>
      <c r="G26" s="12">
        <v>16</v>
      </c>
      <c r="H26" s="8">
        <v>11.19</v>
      </c>
      <c r="I26" s="12">
        <v>0</v>
      </c>
    </row>
    <row r="27" spans="2:9" ht="15" customHeight="1" x14ac:dyDescent="0.2">
      <c r="B27" t="s">
        <v>96</v>
      </c>
      <c r="C27" s="12">
        <v>35</v>
      </c>
      <c r="D27" s="8">
        <v>7.81</v>
      </c>
      <c r="E27" s="12">
        <v>31</v>
      </c>
      <c r="F27" s="8">
        <v>10.37</v>
      </c>
      <c r="G27" s="12">
        <v>4</v>
      </c>
      <c r="H27" s="8">
        <v>2.8</v>
      </c>
      <c r="I27" s="12">
        <v>0</v>
      </c>
    </row>
    <row r="28" spans="2:9" ht="15" customHeight="1" x14ac:dyDescent="0.2">
      <c r="B28" t="s">
        <v>84</v>
      </c>
      <c r="C28" s="12">
        <v>32</v>
      </c>
      <c r="D28" s="8">
        <v>7.14</v>
      </c>
      <c r="E28" s="12">
        <v>22</v>
      </c>
      <c r="F28" s="8">
        <v>7.36</v>
      </c>
      <c r="G28" s="12">
        <v>10</v>
      </c>
      <c r="H28" s="8">
        <v>6.99</v>
      </c>
      <c r="I28" s="12">
        <v>0</v>
      </c>
    </row>
    <row r="29" spans="2:9" ht="15" customHeight="1" x14ac:dyDescent="0.2">
      <c r="B29" t="s">
        <v>89</v>
      </c>
      <c r="C29" s="12">
        <v>32</v>
      </c>
      <c r="D29" s="8">
        <v>7.14</v>
      </c>
      <c r="E29" s="12">
        <v>28</v>
      </c>
      <c r="F29" s="8">
        <v>9.36</v>
      </c>
      <c r="G29" s="12">
        <v>4</v>
      </c>
      <c r="H29" s="8">
        <v>2.8</v>
      </c>
      <c r="I29" s="12">
        <v>0</v>
      </c>
    </row>
    <row r="30" spans="2:9" ht="15" customHeight="1" x14ac:dyDescent="0.2">
      <c r="B30" t="s">
        <v>85</v>
      </c>
      <c r="C30" s="12">
        <v>22</v>
      </c>
      <c r="D30" s="8">
        <v>4.91</v>
      </c>
      <c r="E30" s="12">
        <v>10</v>
      </c>
      <c r="F30" s="8">
        <v>3.34</v>
      </c>
      <c r="G30" s="12">
        <v>12</v>
      </c>
      <c r="H30" s="8">
        <v>8.39</v>
      </c>
      <c r="I30" s="12">
        <v>0</v>
      </c>
    </row>
    <row r="31" spans="2:9" ht="15" customHeight="1" x14ac:dyDescent="0.2">
      <c r="B31" t="s">
        <v>90</v>
      </c>
      <c r="C31" s="12">
        <v>20</v>
      </c>
      <c r="D31" s="8">
        <v>4.46</v>
      </c>
      <c r="E31" s="12">
        <v>16</v>
      </c>
      <c r="F31" s="8">
        <v>5.35</v>
      </c>
      <c r="G31" s="12">
        <v>4</v>
      </c>
      <c r="H31" s="8">
        <v>2.8</v>
      </c>
      <c r="I31" s="12">
        <v>0</v>
      </c>
    </row>
    <row r="32" spans="2:9" ht="15" customHeight="1" x14ac:dyDescent="0.2">
      <c r="B32" t="s">
        <v>88</v>
      </c>
      <c r="C32" s="12">
        <v>15</v>
      </c>
      <c r="D32" s="8">
        <v>3.35</v>
      </c>
      <c r="E32" s="12">
        <v>11</v>
      </c>
      <c r="F32" s="8">
        <v>3.68</v>
      </c>
      <c r="G32" s="12">
        <v>4</v>
      </c>
      <c r="H32" s="8">
        <v>2.8</v>
      </c>
      <c r="I32" s="12">
        <v>0</v>
      </c>
    </row>
    <row r="33" spans="2:9" ht="15" customHeight="1" x14ac:dyDescent="0.2">
      <c r="B33" t="s">
        <v>99</v>
      </c>
      <c r="C33" s="12">
        <v>14</v>
      </c>
      <c r="D33" s="8">
        <v>3.13</v>
      </c>
      <c r="E33" s="12">
        <v>8</v>
      </c>
      <c r="F33" s="8">
        <v>2.68</v>
      </c>
      <c r="G33" s="12">
        <v>2</v>
      </c>
      <c r="H33" s="8">
        <v>1.4</v>
      </c>
      <c r="I33" s="12">
        <v>0</v>
      </c>
    </row>
    <row r="34" spans="2:9" ht="15" customHeight="1" x14ac:dyDescent="0.2">
      <c r="B34" t="s">
        <v>110</v>
      </c>
      <c r="C34" s="12">
        <v>10</v>
      </c>
      <c r="D34" s="8">
        <v>2.23</v>
      </c>
      <c r="E34" s="12">
        <v>7</v>
      </c>
      <c r="F34" s="8">
        <v>2.34</v>
      </c>
      <c r="G34" s="12">
        <v>3</v>
      </c>
      <c r="H34" s="8">
        <v>2.1</v>
      </c>
      <c r="I34" s="12">
        <v>0</v>
      </c>
    </row>
    <row r="35" spans="2:9" ht="15" customHeight="1" x14ac:dyDescent="0.2">
      <c r="B35" t="s">
        <v>106</v>
      </c>
      <c r="C35" s="12">
        <v>9</v>
      </c>
      <c r="D35" s="8">
        <v>2.0099999999999998</v>
      </c>
      <c r="E35" s="12">
        <v>4</v>
      </c>
      <c r="F35" s="8">
        <v>1.34</v>
      </c>
      <c r="G35" s="12">
        <v>5</v>
      </c>
      <c r="H35" s="8">
        <v>3.5</v>
      </c>
      <c r="I35" s="12">
        <v>0</v>
      </c>
    </row>
    <row r="36" spans="2:9" ht="15" customHeight="1" x14ac:dyDescent="0.2">
      <c r="B36" t="s">
        <v>94</v>
      </c>
      <c r="C36" s="12">
        <v>9</v>
      </c>
      <c r="D36" s="8">
        <v>2.0099999999999998</v>
      </c>
      <c r="E36" s="12">
        <v>4</v>
      </c>
      <c r="F36" s="8">
        <v>1.34</v>
      </c>
      <c r="G36" s="12">
        <v>5</v>
      </c>
      <c r="H36" s="8">
        <v>3.5</v>
      </c>
      <c r="I36" s="12">
        <v>0</v>
      </c>
    </row>
    <row r="37" spans="2:9" ht="15" customHeight="1" x14ac:dyDescent="0.2">
      <c r="B37" t="s">
        <v>92</v>
      </c>
      <c r="C37" s="12">
        <v>8</v>
      </c>
      <c r="D37" s="8">
        <v>1.79</v>
      </c>
      <c r="E37" s="12">
        <v>5</v>
      </c>
      <c r="F37" s="8">
        <v>1.67</v>
      </c>
      <c r="G37" s="12">
        <v>3</v>
      </c>
      <c r="H37" s="8">
        <v>2.1</v>
      </c>
      <c r="I37" s="12">
        <v>0</v>
      </c>
    </row>
    <row r="38" spans="2:9" ht="15" customHeight="1" x14ac:dyDescent="0.2">
      <c r="B38" t="s">
        <v>100</v>
      </c>
      <c r="C38" s="12">
        <v>8</v>
      </c>
      <c r="D38" s="8">
        <v>1.79</v>
      </c>
      <c r="E38" s="12">
        <v>7</v>
      </c>
      <c r="F38" s="8">
        <v>2.34</v>
      </c>
      <c r="G38" s="12">
        <v>1</v>
      </c>
      <c r="H38" s="8">
        <v>0.7</v>
      </c>
      <c r="I38" s="12">
        <v>0</v>
      </c>
    </row>
    <row r="39" spans="2:9" ht="15" customHeight="1" x14ac:dyDescent="0.2">
      <c r="B39" t="s">
        <v>112</v>
      </c>
      <c r="C39" s="12">
        <v>7</v>
      </c>
      <c r="D39" s="8">
        <v>1.56</v>
      </c>
      <c r="E39" s="12">
        <v>4</v>
      </c>
      <c r="F39" s="8">
        <v>1.34</v>
      </c>
      <c r="G39" s="12">
        <v>3</v>
      </c>
      <c r="H39" s="8">
        <v>2.1</v>
      </c>
      <c r="I39" s="12">
        <v>0</v>
      </c>
    </row>
    <row r="40" spans="2:9" ht="15" customHeight="1" x14ac:dyDescent="0.2">
      <c r="B40" t="s">
        <v>93</v>
      </c>
      <c r="C40" s="12">
        <v>7</v>
      </c>
      <c r="D40" s="8">
        <v>1.56</v>
      </c>
      <c r="E40" s="12">
        <v>5</v>
      </c>
      <c r="F40" s="8">
        <v>1.67</v>
      </c>
      <c r="G40" s="12">
        <v>2</v>
      </c>
      <c r="H40" s="8">
        <v>1.4</v>
      </c>
      <c r="I40" s="12">
        <v>0</v>
      </c>
    </row>
    <row r="41" spans="2:9" ht="15" customHeight="1" x14ac:dyDescent="0.2">
      <c r="B41" t="s">
        <v>124</v>
      </c>
      <c r="C41" s="12">
        <v>6</v>
      </c>
      <c r="D41" s="8">
        <v>1.34</v>
      </c>
      <c r="E41" s="12">
        <v>4</v>
      </c>
      <c r="F41" s="8">
        <v>1.34</v>
      </c>
      <c r="G41" s="12">
        <v>2</v>
      </c>
      <c r="H41" s="8">
        <v>1.4</v>
      </c>
      <c r="I41" s="12">
        <v>0</v>
      </c>
    </row>
    <row r="42" spans="2:9" ht="15" customHeight="1" x14ac:dyDescent="0.2">
      <c r="B42" t="s">
        <v>98</v>
      </c>
      <c r="C42" s="12">
        <v>5</v>
      </c>
      <c r="D42" s="8">
        <v>1.1200000000000001</v>
      </c>
      <c r="E42" s="12">
        <v>0</v>
      </c>
      <c r="F42" s="8">
        <v>0</v>
      </c>
      <c r="G42" s="12">
        <v>5</v>
      </c>
      <c r="H42" s="8">
        <v>3.5</v>
      </c>
      <c r="I42" s="12">
        <v>0</v>
      </c>
    </row>
    <row r="43" spans="2:9" ht="15" customHeight="1" x14ac:dyDescent="0.2">
      <c r="B43" t="s">
        <v>101</v>
      </c>
      <c r="C43" s="12">
        <v>5</v>
      </c>
      <c r="D43" s="8">
        <v>1.1200000000000001</v>
      </c>
      <c r="E43" s="12">
        <v>0</v>
      </c>
      <c r="F43" s="8">
        <v>0</v>
      </c>
      <c r="G43" s="12">
        <v>5</v>
      </c>
      <c r="H43" s="8">
        <v>3.5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173</v>
      </c>
      <c r="C47" s="12">
        <v>28</v>
      </c>
      <c r="D47" s="8">
        <v>6.25</v>
      </c>
      <c r="E47" s="12">
        <v>28</v>
      </c>
      <c r="F47" s="8">
        <v>9.36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174</v>
      </c>
      <c r="C48" s="12">
        <v>27</v>
      </c>
      <c r="D48" s="8">
        <v>6.03</v>
      </c>
      <c r="E48" s="12">
        <v>27</v>
      </c>
      <c r="F48" s="8">
        <v>9.0299999999999994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160</v>
      </c>
      <c r="C49" s="12">
        <v>20</v>
      </c>
      <c r="D49" s="8">
        <v>4.46</v>
      </c>
      <c r="E49" s="12">
        <v>15</v>
      </c>
      <c r="F49" s="8">
        <v>5.0199999999999996</v>
      </c>
      <c r="G49" s="12">
        <v>5</v>
      </c>
      <c r="H49" s="8">
        <v>3.5</v>
      </c>
      <c r="I49" s="12">
        <v>0</v>
      </c>
    </row>
    <row r="50" spans="2:9" ht="15" customHeight="1" x14ac:dyDescent="0.2">
      <c r="B50" t="s">
        <v>162</v>
      </c>
      <c r="C50" s="12">
        <v>13</v>
      </c>
      <c r="D50" s="8">
        <v>2.9</v>
      </c>
      <c r="E50" s="12">
        <v>7</v>
      </c>
      <c r="F50" s="8">
        <v>2.34</v>
      </c>
      <c r="G50" s="12">
        <v>6</v>
      </c>
      <c r="H50" s="8">
        <v>4.2</v>
      </c>
      <c r="I50" s="12">
        <v>0</v>
      </c>
    </row>
    <row r="51" spans="2:9" ht="15" customHeight="1" x14ac:dyDescent="0.2">
      <c r="B51" t="s">
        <v>164</v>
      </c>
      <c r="C51" s="12">
        <v>13</v>
      </c>
      <c r="D51" s="8">
        <v>2.9</v>
      </c>
      <c r="E51" s="12">
        <v>10</v>
      </c>
      <c r="F51" s="8">
        <v>3.34</v>
      </c>
      <c r="G51" s="12">
        <v>3</v>
      </c>
      <c r="H51" s="8">
        <v>2.1</v>
      </c>
      <c r="I51" s="12">
        <v>0</v>
      </c>
    </row>
    <row r="52" spans="2:9" ht="15" customHeight="1" x14ac:dyDescent="0.2">
      <c r="B52" t="s">
        <v>170</v>
      </c>
      <c r="C52" s="12">
        <v>12</v>
      </c>
      <c r="D52" s="8">
        <v>2.68</v>
      </c>
      <c r="E52" s="12">
        <v>11</v>
      </c>
      <c r="F52" s="8">
        <v>3.68</v>
      </c>
      <c r="G52" s="12">
        <v>1</v>
      </c>
      <c r="H52" s="8">
        <v>0.7</v>
      </c>
      <c r="I52" s="12">
        <v>0</v>
      </c>
    </row>
    <row r="53" spans="2:9" ht="15" customHeight="1" x14ac:dyDescent="0.2">
      <c r="B53" t="s">
        <v>178</v>
      </c>
      <c r="C53" s="12">
        <v>11</v>
      </c>
      <c r="D53" s="8">
        <v>2.46</v>
      </c>
      <c r="E53" s="12">
        <v>10</v>
      </c>
      <c r="F53" s="8">
        <v>3.34</v>
      </c>
      <c r="G53" s="12">
        <v>1</v>
      </c>
      <c r="H53" s="8">
        <v>0.7</v>
      </c>
      <c r="I53" s="12">
        <v>0</v>
      </c>
    </row>
    <row r="54" spans="2:9" ht="15" customHeight="1" x14ac:dyDescent="0.2">
      <c r="B54" t="s">
        <v>163</v>
      </c>
      <c r="C54" s="12">
        <v>10</v>
      </c>
      <c r="D54" s="8">
        <v>2.23</v>
      </c>
      <c r="E54" s="12">
        <v>9</v>
      </c>
      <c r="F54" s="8">
        <v>3.01</v>
      </c>
      <c r="G54" s="12">
        <v>1</v>
      </c>
      <c r="H54" s="8">
        <v>0.7</v>
      </c>
      <c r="I54" s="12">
        <v>0</v>
      </c>
    </row>
    <row r="55" spans="2:9" ht="15" customHeight="1" x14ac:dyDescent="0.2">
      <c r="B55" t="s">
        <v>208</v>
      </c>
      <c r="C55" s="12">
        <v>9</v>
      </c>
      <c r="D55" s="8">
        <v>2.0099999999999998</v>
      </c>
      <c r="E55" s="12">
        <v>5</v>
      </c>
      <c r="F55" s="8">
        <v>1.67</v>
      </c>
      <c r="G55" s="12">
        <v>4</v>
      </c>
      <c r="H55" s="8">
        <v>2.8</v>
      </c>
      <c r="I55" s="12">
        <v>0</v>
      </c>
    </row>
    <row r="56" spans="2:9" ht="15" customHeight="1" x14ac:dyDescent="0.2">
      <c r="B56" t="s">
        <v>159</v>
      </c>
      <c r="C56" s="12">
        <v>8</v>
      </c>
      <c r="D56" s="8">
        <v>1.79</v>
      </c>
      <c r="E56" s="12">
        <v>2</v>
      </c>
      <c r="F56" s="8">
        <v>0.67</v>
      </c>
      <c r="G56" s="12">
        <v>6</v>
      </c>
      <c r="H56" s="8">
        <v>4.2</v>
      </c>
      <c r="I56" s="12">
        <v>0</v>
      </c>
    </row>
    <row r="57" spans="2:9" ht="15" customHeight="1" x14ac:dyDescent="0.2">
      <c r="B57" t="s">
        <v>202</v>
      </c>
      <c r="C57" s="12">
        <v>8</v>
      </c>
      <c r="D57" s="8">
        <v>1.79</v>
      </c>
      <c r="E57" s="12">
        <v>7</v>
      </c>
      <c r="F57" s="8">
        <v>2.34</v>
      </c>
      <c r="G57" s="12">
        <v>1</v>
      </c>
      <c r="H57" s="8">
        <v>0.7</v>
      </c>
      <c r="I57" s="12">
        <v>0</v>
      </c>
    </row>
    <row r="58" spans="2:9" ht="15" customHeight="1" x14ac:dyDescent="0.2">
      <c r="B58" t="s">
        <v>175</v>
      </c>
      <c r="C58" s="12">
        <v>8</v>
      </c>
      <c r="D58" s="8">
        <v>1.79</v>
      </c>
      <c r="E58" s="12">
        <v>6</v>
      </c>
      <c r="F58" s="8">
        <v>2.0099999999999998</v>
      </c>
      <c r="G58" s="12">
        <v>2</v>
      </c>
      <c r="H58" s="8">
        <v>1.4</v>
      </c>
      <c r="I58" s="12">
        <v>0</v>
      </c>
    </row>
    <row r="59" spans="2:9" ht="15" customHeight="1" x14ac:dyDescent="0.2">
      <c r="B59" t="s">
        <v>161</v>
      </c>
      <c r="C59" s="12">
        <v>7</v>
      </c>
      <c r="D59" s="8">
        <v>1.56</v>
      </c>
      <c r="E59" s="12">
        <v>2</v>
      </c>
      <c r="F59" s="8">
        <v>0.67</v>
      </c>
      <c r="G59" s="12">
        <v>5</v>
      </c>
      <c r="H59" s="8">
        <v>3.5</v>
      </c>
      <c r="I59" s="12">
        <v>0</v>
      </c>
    </row>
    <row r="60" spans="2:9" ht="15" customHeight="1" x14ac:dyDescent="0.2">
      <c r="B60" t="s">
        <v>244</v>
      </c>
      <c r="C60" s="12">
        <v>7</v>
      </c>
      <c r="D60" s="8">
        <v>1.56</v>
      </c>
      <c r="E60" s="12">
        <v>4</v>
      </c>
      <c r="F60" s="8">
        <v>1.34</v>
      </c>
      <c r="G60" s="12">
        <v>3</v>
      </c>
      <c r="H60" s="8">
        <v>2.1</v>
      </c>
      <c r="I60" s="12">
        <v>0</v>
      </c>
    </row>
    <row r="61" spans="2:9" ht="15" customHeight="1" x14ac:dyDescent="0.2">
      <c r="B61" t="s">
        <v>283</v>
      </c>
      <c r="C61" s="12">
        <v>7</v>
      </c>
      <c r="D61" s="8">
        <v>1.56</v>
      </c>
      <c r="E61" s="12">
        <v>4</v>
      </c>
      <c r="F61" s="8">
        <v>1.34</v>
      </c>
      <c r="G61" s="12">
        <v>3</v>
      </c>
      <c r="H61" s="8">
        <v>2.1</v>
      </c>
      <c r="I61" s="12">
        <v>0</v>
      </c>
    </row>
    <row r="62" spans="2:9" ht="15" customHeight="1" x14ac:dyDescent="0.2">
      <c r="B62" t="s">
        <v>226</v>
      </c>
      <c r="C62" s="12">
        <v>7</v>
      </c>
      <c r="D62" s="8">
        <v>1.56</v>
      </c>
      <c r="E62" s="12">
        <v>7</v>
      </c>
      <c r="F62" s="8">
        <v>2.34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181</v>
      </c>
      <c r="C63" s="12">
        <v>7</v>
      </c>
      <c r="D63" s="8">
        <v>1.56</v>
      </c>
      <c r="E63" s="12">
        <v>6</v>
      </c>
      <c r="F63" s="8">
        <v>2.0099999999999998</v>
      </c>
      <c r="G63" s="12">
        <v>1</v>
      </c>
      <c r="H63" s="8">
        <v>0.7</v>
      </c>
      <c r="I63" s="12">
        <v>0</v>
      </c>
    </row>
    <row r="64" spans="2:9" ht="15" customHeight="1" x14ac:dyDescent="0.2">
      <c r="B64" t="s">
        <v>225</v>
      </c>
      <c r="C64" s="12">
        <v>6</v>
      </c>
      <c r="D64" s="8">
        <v>1.34</v>
      </c>
      <c r="E64" s="12">
        <v>3</v>
      </c>
      <c r="F64" s="8">
        <v>1</v>
      </c>
      <c r="G64" s="12">
        <v>3</v>
      </c>
      <c r="H64" s="8">
        <v>2.1</v>
      </c>
      <c r="I64" s="12">
        <v>0</v>
      </c>
    </row>
    <row r="65" spans="2:9" ht="15" customHeight="1" x14ac:dyDescent="0.2">
      <c r="B65" t="s">
        <v>190</v>
      </c>
      <c r="C65" s="12">
        <v>6</v>
      </c>
      <c r="D65" s="8">
        <v>1.34</v>
      </c>
      <c r="E65" s="12">
        <v>5</v>
      </c>
      <c r="F65" s="8">
        <v>1.67</v>
      </c>
      <c r="G65" s="12">
        <v>1</v>
      </c>
      <c r="H65" s="8">
        <v>0.7</v>
      </c>
      <c r="I65" s="12">
        <v>0</v>
      </c>
    </row>
    <row r="66" spans="2:9" ht="15" customHeight="1" x14ac:dyDescent="0.2">
      <c r="B66" t="s">
        <v>191</v>
      </c>
      <c r="C66" s="12">
        <v>6</v>
      </c>
      <c r="D66" s="8">
        <v>1.34</v>
      </c>
      <c r="E66" s="12">
        <v>6</v>
      </c>
      <c r="F66" s="8">
        <v>2.0099999999999998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193</v>
      </c>
      <c r="C67" s="12">
        <v>6</v>
      </c>
      <c r="D67" s="8">
        <v>1.34</v>
      </c>
      <c r="E67" s="12">
        <v>5</v>
      </c>
      <c r="F67" s="8">
        <v>1.67</v>
      </c>
      <c r="G67" s="12">
        <v>1</v>
      </c>
      <c r="H67" s="8">
        <v>0.7</v>
      </c>
      <c r="I67" s="12">
        <v>0</v>
      </c>
    </row>
    <row r="68" spans="2:9" ht="15" customHeight="1" x14ac:dyDescent="0.2">
      <c r="B68" t="s">
        <v>185</v>
      </c>
      <c r="C68" s="12">
        <v>6</v>
      </c>
      <c r="D68" s="8">
        <v>1.34</v>
      </c>
      <c r="E68" s="12">
        <v>1</v>
      </c>
      <c r="F68" s="8">
        <v>0.33</v>
      </c>
      <c r="G68" s="12">
        <v>5</v>
      </c>
      <c r="H68" s="8">
        <v>3.5</v>
      </c>
      <c r="I68" s="12">
        <v>0</v>
      </c>
    </row>
    <row r="69" spans="2:9" ht="15" customHeight="1" x14ac:dyDescent="0.2">
      <c r="B69" t="s">
        <v>168</v>
      </c>
      <c r="C69" s="12">
        <v>6</v>
      </c>
      <c r="D69" s="8">
        <v>1.34</v>
      </c>
      <c r="E69" s="12">
        <v>5</v>
      </c>
      <c r="F69" s="8">
        <v>1.67</v>
      </c>
      <c r="G69" s="12">
        <v>1</v>
      </c>
      <c r="H69" s="8">
        <v>0.7</v>
      </c>
      <c r="I69" s="12">
        <v>0</v>
      </c>
    </row>
    <row r="70" spans="2:9" ht="15" customHeight="1" x14ac:dyDescent="0.2">
      <c r="B70" t="s">
        <v>171</v>
      </c>
      <c r="C70" s="12">
        <v>6</v>
      </c>
      <c r="D70" s="8">
        <v>1.34</v>
      </c>
      <c r="E70" s="12">
        <v>6</v>
      </c>
      <c r="F70" s="8">
        <v>2.0099999999999998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D004-692C-42E7-8604-65505F698E47}">
  <sheetPr>
    <pageSetUpPr fitToPage="1"/>
  </sheetPr>
  <dimension ref="A1:I161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156</v>
      </c>
      <c r="B1" s="3" t="s">
        <v>334</v>
      </c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174</v>
      </c>
      <c r="C3" s="4">
        <v>2678</v>
      </c>
      <c r="D3" s="8">
        <v>5.62</v>
      </c>
      <c r="E3" s="4">
        <v>2419</v>
      </c>
      <c r="F3" s="8">
        <v>9.94</v>
      </c>
      <c r="G3" s="4">
        <v>259</v>
      </c>
      <c r="H3" s="8">
        <v>1.1399999999999999</v>
      </c>
      <c r="I3" s="4">
        <v>0</v>
      </c>
    </row>
    <row r="4" spans="1:9" x14ac:dyDescent="0.2">
      <c r="A4" s="2">
        <v>2</v>
      </c>
      <c r="B4" s="1" t="s">
        <v>168</v>
      </c>
      <c r="C4" s="4">
        <v>2181</v>
      </c>
      <c r="D4" s="8">
        <v>4.58</v>
      </c>
      <c r="E4" s="4">
        <v>1444</v>
      </c>
      <c r="F4" s="8">
        <v>5.94</v>
      </c>
      <c r="G4" s="4">
        <v>734</v>
      </c>
      <c r="H4" s="8">
        <v>3.22</v>
      </c>
      <c r="I4" s="4">
        <v>0</v>
      </c>
    </row>
    <row r="5" spans="1:9" x14ac:dyDescent="0.2">
      <c r="A5" s="2">
        <v>3</v>
      </c>
      <c r="B5" s="1" t="s">
        <v>173</v>
      </c>
      <c r="C5" s="4">
        <v>1922</v>
      </c>
      <c r="D5" s="8">
        <v>4.04</v>
      </c>
      <c r="E5" s="4">
        <v>1862</v>
      </c>
      <c r="F5" s="8">
        <v>7.65</v>
      </c>
      <c r="G5" s="4">
        <v>60</v>
      </c>
      <c r="H5" s="8">
        <v>0.26</v>
      </c>
      <c r="I5" s="4">
        <v>0</v>
      </c>
    </row>
    <row r="6" spans="1:9" x14ac:dyDescent="0.2">
      <c r="A6" s="2">
        <v>4</v>
      </c>
      <c r="B6" s="1" t="s">
        <v>170</v>
      </c>
      <c r="C6" s="4">
        <v>1143</v>
      </c>
      <c r="D6" s="8">
        <v>2.4</v>
      </c>
      <c r="E6" s="4">
        <v>876</v>
      </c>
      <c r="F6" s="8">
        <v>3.6</v>
      </c>
      <c r="G6" s="4">
        <v>266</v>
      </c>
      <c r="H6" s="8">
        <v>1.17</v>
      </c>
      <c r="I6" s="4">
        <v>1</v>
      </c>
    </row>
    <row r="7" spans="1:9" x14ac:dyDescent="0.2">
      <c r="A7" s="2">
        <v>5</v>
      </c>
      <c r="B7" s="1" t="s">
        <v>176</v>
      </c>
      <c r="C7" s="4">
        <v>1007</v>
      </c>
      <c r="D7" s="8">
        <v>2.11</v>
      </c>
      <c r="E7" s="4">
        <v>896</v>
      </c>
      <c r="F7" s="8">
        <v>3.68</v>
      </c>
      <c r="G7" s="4">
        <v>111</v>
      </c>
      <c r="H7" s="8">
        <v>0.49</v>
      </c>
      <c r="I7" s="4">
        <v>0</v>
      </c>
    </row>
    <row r="8" spans="1:9" x14ac:dyDescent="0.2">
      <c r="A8" s="2">
        <v>6</v>
      </c>
      <c r="B8" s="1" t="s">
        <v>160</v>
      </c>
      <c r="C8" s="4">
        <v>996</v>
      </c>
      <c r="D8" s="8">
        <v>2.09</v>
      </c>
      <c r="E8" s="4">
        <v>521</v>
      </c>
      <c r="F8" s="8">
        <v>2.14</v>
      </c>
      <c r="G8" s="4">
        <v>475</v>
      </c>
      <c r="H8" s="8">
        <v>2.08</v>
      </c>
      <c r="I8" s="4">
        <v>0</v>
      </c>
    </row>
    <row r="9" spans="1:9" x14ac:dyDescent="0.2">
      <c r="A9" s="2">
        <v>7</v>
      </c>
      <c r="B9" s="1" t="s">
        <v>158</v>
      </c>
      <c r="C9" s="4">
        <v>990</v>
      </c>
      <c r="D9" s="8">
        <v>2.08</v>
      </c>
      <c r="E9" s="4">
        <v>147</v>
      </c>
      <c r="F9" s="8">
        <v>0.6</v>
      </c>
      <c r="G9" s="4">
        <v>842</v>
      </c>
      <c r="H9" s="8">
        <v>3.7</v>
      </c>
      <c r="I9" s="4">
        <v>1</v>
      </c>
    </row>
    <row r="10" spans="1:9" x14ac:dyDescent="0.2">
      <c r="A10" s="2">
        <v>7</v>
      </c>
      <c r="B10" s="1" t="s">
        <v>172</v>
      </c>
      <c r="C10" s="4">
        <v>990</v>
      </c>
      <c r="D10" s="8">
        <v>2.08</v>
      </c>
      <c r="E10" s="4">
        <v>933</v>
      </c>
      <c r="F10" s="8">
        <v>3.84</v>
      </c>
      <c r="G10" s="4">
        <v>57</v>
      </c>
      <c r="H10" s="8">
        <v>0.25</v>
      </c>
      <c r="I10" s="4">
        <v>0</v>
      </c>
    </row>
    <row r="11" spans="1:9" x14ac:dyDescent="0.2">
      <c r="A11" s="2">
        <v>9</v>
      </c>
      <c r="B11" s="1" t="s">
        <v>166</v>
      </c>
      <c r="C11" s="4">
        <v>975</v>
      </c>
      <c r="D11" s="8">
        <v>2.0499999999999998</v>
      </c>
      <c r="E11" s="4">
        <v>589</v>
      </c>
      <c r="F11" s="8">
        <v>2.42</v>
      </c>
      <c r="G11" s="4">
        <v>382</v>
      </c>
      <c r="H11" s="8">
        <v>1.68</v>
      </c>
      <c r="I11" s="4">
        <v>3</v>
      </c>
    </row>
    <row r="12" spans="1:9" x14ac:dyDescent="0.2">
      <c r="A12" s="2">
        <v>10</v>
      </c>
      <c r="B12" s="1" t="s">
        <v>171</v>
      </c>
      <c r="C12" s="4">
        <v>914</v>
      </c>
      <c r="D12" s="8">
        <v>1.92</v>
      </c>
      <c r="E12" s="4">
        <v>783</v>
      </c>
      <c r="F12" s="8">
        <v>3.22</v>
      </c>
      <c r="G12" s="4">
        <v>131</v>
      </c>
      <c r="H12" s="8">
        <v>0.56999999999999995</v>
      </c>
      <c r="I12" s="4">
        <v>0</v>
      </c>
    </row>
    <row r="13" spans="1:9" x14ac:dyDescent="0.2">
      <c r="A13" s="2">
        <v>11</v>
      </c>
      <c r="B13" s="1" t="s">
        <v>175</v>
      </c>
      <c r="C13" s="4">
        <v>807</v>
      </c>
      <c r="D13" s="8">
        <v>1.69</v>
      </c>
      <c r="E13" s="4">
        <v>633</v>
      </c>
      <c r="F13" s="8">
        <v>2.6</v>
      </c>
      <c r="G13" s="4">
        <v>170</v>
      </c>
      <c r="H13" s="8">
        <v>0.75</v>
      </c>
      <c r="I13" s="4">
        <v>4</v>
      </c>
    </row>
    <row r="14" spans="1:9" x14ac:dyDescent="0.2">
      <c r="A14" s="2">
        <v>12</v>
      </c>
      <c r="B14" s="1" t="s">
        <v>164</v>
      </c>
      <c r="C14" s="4">
        <v>798</v>
      </c>
      <c r="D14" s="8">
        <v>1.68</v>
      </c>
      <c r="E14" s="4">
        <v>369</v>
      </c>
      <c r="F14" s="8">
        <v>1.52</v>
      </c>
      <c r="G14" s="4">
        <v>428</v>
      </c>
      <c r="H14" s="8">
        <v>1.88</v>
      </c>
      <c r="I14" s="4">
        <v>1</v>
      </c>
    </row>
    <row r="15" spans="1:9" x14ac:dyDescent="0.2">
      <c r="A15" s="2">
        <v>13</v>
      </c>
      <c r="B15" s="1" t="s">
        <v>163</v>
      </c>
      <c r="C15" s="4">
        <v>793</v>
      </c>
      <c r="D15" s="8">
        <v>1.66</v>
      </c>
      <c r="E15" s="4">
        <v>498</v>
      </c>
      <c r="F15" s="8">
        <v>2.0499999999999998</v>
      </c>
      <c r="G15" s="4">
        <v>283</v>
      </c>
      <c r="H15" s="8">
        <v>1.24</v>
      </c>
      <c r="I15" s="4">
        <v>12</v>
      </c>
    </row>
    <row r="16" spans="1:9" x14ac:dyDescent="0.2">
      <c r="A16" s="2">
        <v>14</v>
      </c>
      <c r="B16" s="1" t="s">
        <v>161</v>
      </c>
      <c r="C16" s="4">
        <v>784</v>
      </c>
      <c r="D16" s="8">
        <v>1.65</v>
      </c>
      <c r="E16" s="4">
        <v>207</v>
      </c>
      <c r="F16" s="8">
        <v>0.85</v>
      </c>
      <c r="G16" s="4">
        <v>577</v>
      </c>
      <c r="H16" s="8">
        <v>2.5299999999999998</v>
      </c>
      <c r="I16" s="4">
        <v>0</v>
      </c>
    </row>
    <row r="17" spans="1:9" x14ac:dyDescent="0.2">
      <c r="A17" s="2">
        <v>15</v>
      </c>
      <c r="B17" s="1" t="s">
        <v>177</v>
      </c>
      <c r="C17" s="4">
        <v>770</v>
      </c>
      <c r="D17" s="8">
        <v>1.62</v>
      </c>
      <c r="E17" s="4">
        <v>508</v>
      </c>
      <c r="F17" s="8">
        <v>2.09</v>
      </c>
      <c r="G17" s="4">
        <v>262</v>
      </c>
      <c r="H17" s="8">
        <v>1.1499999999999999</v>
      </c>
      <c r="I17" s="4">
        <v>0</v>
      </c>
    </row>
    <row r="18" spans="1:9" x14ac:dyDescent="0.2">
      <c r="A18" s="2">
        <v>16</v>
      </c>
      <c r="B18" s="1" t="s">
        <v>159</v>
      </c>
      <c r="C18" s="4">
        <v>699</v>
      </c>
      <c r="D18" s="8">
        <v>1.47</v>
      </c>
      <c r="E18" s="4">
        <v>137</v>
      </c>
      <c r="F18" s="8">
        <v>0.56000000000000005</v>
      </c>
      <c r="G18" s="4">
        <v>562</v>
      </c>
      <c r="H18" s="8">
        <v>2.4700000000000002</v>
      </c>
      <c r="I18" s="4">
        <v>0</v>
      </c>
    </row>
    <row r="19" spans="1:9" x14ac:dyDescent="0.2">
      <c r="A19" s="2">
        <v>17</v>
      </c>
      <c r="B19" s="1" t="s">
        <v>162</v>
      </c>
      <c r="C19" s="4">
        <v>683</v>
      </c>
      <c r="D19" s="8">
        <v>1.43</v>
      </c>
      <c r="E19" s="4">
        <v>162</v>
      </c>
      <c r="F19" s="8">
        <v>0.67</v>
      </c>
      <c r="G19" s="4">
        <v>521</v>
      </c>
      <c r="H19" s="8">
        <v>2.29</v>
      </c>
      <c r="I19" s="4">
        <v>0</v>
      </c>
    </row>
    <row r="20" spans="1:9" x14ac:dyDescent="0.2">
      <c r="A20" s="2">
        <v>18</v>
      </c>
      <c r="B20" s="1" t="s">
        <v>169</v>
      </c>
      <c r="C20" s="4">
        <v>678</v>
      </c>
      <c r="D20" s="8">
        <v>1.42</v>
      </c>
      <c r="E20" s="4">
        <v>181</v>
      </c>
      <c r="F20" s="8">
        <v>0.74</v>
      </c>
      <c r="G20" s="4">
        <v>493</v>
      </c>
      <c r="H20" s="8">
        <v>2.16</v>
      </c>
      <c r="I20" s="4">
        <v>0</v>
      </c>
    </row>
    <row r="21" spans="1:9" x14ac:dyDescent="0.2">
      <c r="A21" s="2">
        <v>19</v>
      </c>
      <c r="B21" s="1" t="s">
        <v>165</v>
      </c>
      <c r="C21" s="4">
        <v>677</v>
      </c>
      <c r="D21" s="8">
        <v>1.42</v>
      </c>
      <c r="E21" s="4">
        <v>209</v>
      </c>
      <c r="F21" s="8">
        <v>0.86</v>
      </c>
      <c r="G21" s="4">
        <v>468</v>
      </c>
      <c r="H21" s="8">
        <v>2.0499999999999998</v>
      </c>
      <c r="I21" s="4">
        <v>0</v>
      </c>
    </row>
    <row r="22" spans="1:9" x14ac:dyDescent="0.2">
      <c r="A22" s="2">
        <v>20</v>
      </c>
      <c r="B22" s="1" t="s">
        <v>167</v>
      </c>
      <c r="C22" s="4">
        <v>633</v>
      </c>
      <c r="D22" s="8">
        <v>1.33</v>
      </c>
      <c r="E22" s="4">
        <v>150</v>
      </c>
      <c r="F22" s="8">
        <v>0.62</v>
      </c>
      <c r="G22" s="4">
        <v>480</v>
      </c>
      <c r="H22" s="8">
        <v>2.11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168</v>
      </c>
      <c r="C25" s="4">
        <v>511</v>
      </c>
      <c r="D25" s="8">
        <v>7.76</v>
      </c>
      <c r="E25" s="4">
        <v>390</v>
      </c>
      <c r="F25" s="8">
        <v>12.65</v>
      </c>
      <c r="G25" s="4">
        <v>121</v>
      </c>
      <c r="H25" s="8">
        <v>3.49</v>
      </c>
      <c r="I25" s="4">
        <v>0</v>
      </c>
    </row>
    <row r="26" spans="1:9" x14ac:dyDescent="0.2">
      <c r="A26" s="2">
        <v>2</v>
      </c>
      <c r="B26" s="1" t="s">
        <v>174</v>
      </c>
      <c r="C26" s="4">
        <v>373</v>
      </c>
      <c r="D26" s="8">
        <v>5.67</v>
      </c>
      <c r="E26" s="4">
        <v>312</v>
      </c>
      <c r="F26" s="8">
        <v>10.119999999999999</v>
      </c>
      <c r="G26" s="4">
        <v>61</v>
      </c>
      <c r="H26" s="8">
        <v>1.76</v>
      </c>
      <c r="I26" s="4">
        <v>0</v>
      </c>
    </row>
    <row r="27" spans="1:9" x14ac:dyDescent="0.2">
      <c r="A27" s="2">
        <v>3</v>
      </c>
      <c r="B27" s="1" t="s">
        <v>173</v>
      </c>
      <c r="C27" s="4">
        <v>213</v>
      </c>
      <c r="D27" s="8">
        <v>3.24</v>
      </c>
      <c r="E27" s="4">
        <v>203</v>
      </c>
      <c r="F27" s="8">
        <v>6.58</v>
      </c>
      <c r="G27" s="4">
        <v>10</v>
      </c>
      <c r="H27" s="8">
        <v>0.28999999999999998</v>
      </c>
      <c r="I27" s="4">
        <v>0</v>
      </c>
    </row>
    <row r="28" spans="1:9" x14ac:dyDescent="0.2">
      <c r="A28" s="2">
        <v>4</v>
      </c>
      <c r="B28" s="1" t="s">
        <v>170</v>
      </c>
      <c r="C28" s="4">
        <v>164</v>
      </c>
      <c r="D28" s="8">
        <v>2.4900000000000002</v>
      </c>
      <c r="E28" s="4">
        <v>118</v>
      </c>
      <c r="F28" s="8">
        <v>3.83</v>
      </c>
      <c r="G28" s="4">
        <v>46</v>
      </c>
      <c r="H28" s="8">
        <v>1.33</v>
      </c>
      <c r="I28" s="4">
        <v>0</v>
      </c>
    </row>
    <row r="29" spans="1:9" x14ac:dyDescent="0.2">
      <c r="A29" s="2">
        <v>5</v>
      </c>
      <c r="B29" s="1" t="s">
        <v>172</v>
      </c>
      <c r="C29" s="4">
        <v>157</v>
      </c>
      <c r="D29" s="8">
        <v>2.39</v>
      </c>
      <c r="E29" s="4">
        <v>147</v>
      </c>
      <c r="F29" s="8">
        <v>4.7699999999999996</v>
      </c>
      <c r="G29" s="4">
        <v>10</v>
      </c>
      <c r="H29" s="8">
        <v>0.28999999999999998</v>
      </c>
      <c r="I29" s="4">
        <v>0</v>
      </c>
    </row>
    <row r="30" spans="1:9" x14ac:dyDescent="0.2">
      <c r="A30" s="2">
        <v>6</v>
      </c>
      <c r="B30" s="1" t="s">
        <v>166</v>
      </c>
      <c r="C30" s="4">
        <v>144</v>
      </c>
      <c r="D30" s="8">
        <v>2.19</v>
      </c>
      <c r="E30" s="4">
        <v>76</v>
      </c>
      <c r="F30" s="8">
        <v>2.4700000000000002</v>
      </c>
      <c r="G30" s="4">
        <v>66</v>
      </c>
      <c r="H30" s="8">
        <v>1.9</v>
      </c>
      <c r="I30" s="4">
        <v>2</v>
      </c>
    </row>
    <row r="31" spans="1:9" x14ac:dyDescent="0.2">
      <c r="A31" s="2">
        <v>7</v>
      </c>
      <c r="B31" s="1" t="s">
        <v>176</v>
      </c>
      <c r="C31" s="4">
        <v>142</v>
      </c>
      <c r="D31" s="8">
        <v>2.16</v>
      </c>
      <c r="E31" s="4">
        <v>137</v>
      </c>
      <c r="F31" s="8">
        <v>4.4400000000000004</v>
      </c>
      <c r="G31" s="4">
        <v>5</v>
      </c>
      <c r="H31" s="8">
        <v>0.14000000000000001</v>
      </c>
      <c r="I31" s="4">
        <v>0</v>
      </c>
    </row>
    <row r="32" spans="1:9" x14ac:dyDescent="0.2">
      <c r="A32" s="2">
        <v>8</v>
      </c>
      <c r="B32" s="1" t="s">
        <v>169</v>
      </c>
      <c r="C32" s="4">
        <v>136</v>
      </c>
      <c r="D32" s="8">
        <v>2.0699999999999998</v>
      </c>
      <c r="E32" s="4">
        <v>30</v>
      </c>
      <c r="F32" s="8">
        <v>0.97</v>
      </c>
      <c r="G32" s="4">
        <v>106</v>
      </c>
      <c r="H32" s="8">
        <v>3.05</v>
      </c>
      <c r="I32" s="4">
        <v>0</v>
      </c>
    </row>
    <row r="33" spans="1:9" x14ac:dyDescent="0.2">
      <c r="A33" s="2">
        <v>9</v>
      </c>
      <c r="B33" s="1" t="s">
        <v>165</v>
      </c>
      <c r="C33" s="4">
        <v>132</v>
      </c>
      <c r="D33" s="8">
        <v>2.0099999999999998</v>
      </c>
      <c r="E33" s="4">
        <v>38</v>
      </c>
      <c r="F33" s="8">
        <v>1.23</v>
      </c>
      <c r="G33" s="4">
        <v>94</v>
      </c>
      <c r="H33" s="8">
        <v>2.71</v>
      </c>
      <c r="I33" s="4">
        <v>0</v>
      </c>
    </row>
    <row r="34" spans="1:9" x14ac:dyDescent="0.2">
      <c r="A34" s="2">
        <v>9</v>
      </c>
      <c r="B34" s="1" t="s">
        <v>171</v>
      </c>
      <c r="C34" s="4">
        <v>132</v>
      </c>
      <c r="D34" s="8">
        <v>2.0099999999999998</v>
      </c>
      <c r="E34" s="4">
        <v>97</v>
      </c>
      <c r="F34" s="8">
        <v>3.15</v>
      </c>
      <c r="G34" s="4">
        <v>35</v>
      </c>
      <c r="H34" s="8">
        <v>1.01</v>
      </c>
      <c r="I34" s="4">
        <v>0</v>
      </c>
    </row>
    <row r="35" spans="1:9" x14ac:dyDescent="0.2">
      <c r="A35" s="2">
        <v>11</v>
      </c>
      <c r="B35" s="1" t="s">
        <v>167</v>
      </c>
      <c r="C35" s="4">
        <v>130</v>
      </c>
      <c r="D35" s="8">
        <v>1.98</v>
      </c>
      <c r="E35" s="4">
        <v>52</v>
      </c>
      <c r="F35" s="8">
        <v>1.69</v>
      </c>
      <c r="G35" s="4">
        <v>77</v>
      </c>
      <c r="H35" s="8">
        <v>2.2200000000000002</v>
      </c>
      <c r="I35" s="4">
        <v>1</v>
      </c>
    </row>
    <row r="36" spans="1:9" x14ac:dyDescent="0.2">
      <c r="A36" s="2">
        <v>12</v>
      </c>
      <c r="B36" s="1" t="s">
        <v>164</v>
      </c>
      <c r="C36" s="4">
        <v>122</v>
      </c>
      <c r="D36" s="8">
        <v>1.85</v>
      </c>
      <c r="E36" s="4">
        <v>51</v>
      </c>
      <c r="F36" s="8">
        <v>1.65</v>
      </c>
      <c r="G36" s="4">
        <v>71</v>
      </c>
      <c r="H36" s="8">
        <v>2.0499999999999998</v>
      </c>
      <c r="I36" s="4">
        <v>0</v>
      </c>
    </row>
    <row r="37" spans="1:9" x14ac:dyDescent="0.2">
      <c r="A37" s="2">
        <v>13</v>
      </c>
      <c r="B37" s="1" t="s">
        <v>175</v>
      </c>
      <c r="C37" s="4">
        <v>113</v>
      </c>
      <c r="D37" s="8">
        <v>1.72</v>
      </c>
      <c r="E37" s="4">
        <v>86</v>
      </c>
      <c r="F37" s="8">
        <v>2.79</v>
      </c>
      <c r="G37" s="4">
        <v>27</v>
      </c>
      <c r="H37" s="8">
        <v>0.78</v>
      </c>
      <c r="I37" s="4">
        <v>0</v>
      </c>
    </row>
    <row r="38" spans="1:9" x14ac:dyDescent="0.2">
      <c r="A38" s="2">
        <v>14</v>
      </c>
      <c r="B38" s="1" t="s">
        <v>158</v>
      </c>
      <c r="C38" s="4">
        <v>110</v>
      </c>
      <c r="D38" s="8">
        <v>1.67</v>
      </c>
      <c r="E38" s="4">
        <v>15</v>
      </c>
      <c r="F38" s="8">
        <v>0.49</v>
      </c>
      <c r="G38" s="4">
        <v>95</v>
      </c>
      <c r="H38" s="8">
        <v>2.74</v>
      </c>
      <c r="I38" s="4">
        <v>0</v>
      </c>
    </row>
    <row r="39" spans="1:9" x14ac:dyDescent="0.2">
      <c r="A39" s="2">
        <v>15</v>
      </c>
      <c r="B39" s="1" t="s">
        <v>163</v>
      </c>
      <c r="C39" s="4">
        <v>103</v>
      </c>
      <c r="D39" s="8">
        <v>1.57</v>
      </c>
      <c r="E39" s="4">
        <v>50</v>
      </c>
      <c r="F39" s="8">
        <v>1.62</v>
      </c>
      <c r="G39" s="4">
        <v>52</v>
      </c>
      <c r="H39" s="8">
        <v>1.5</v>
      </c>
      <c r="I39" s="4">
        <v>1</v>
      </c>
    </row>
    <row r="40" spans="1:9" x14ac:dyDescent="0.2">
      <c r="A40" s="2">
        <v>16</v>
      </c>
      <c r="B40" s="1" t="s">
        <v>160</v>
      </c>
      <c r="C40" s="4">
        <v>98</v>
      </c>
      <c r="D40" s="8">
        <v>1.49</v>
      </c>
      <c r="E40" s="4">
        <v>34</v>
      </c>
      <c r="F40" s="8">
        <v>1.1000000000000001</v>
      </c>
      <c r="G40" s="4">
        <v>64</v>
      </c>
      <c r="H40" s="8">
        <v>1.84</v>
      </c>
      <c r="I40" s="4">
        <v>0</v>
      </c>
    </row>
    <row r="41" spans="1:9" x14ac:dyDescent="0.2">
      <c r="A41" s="2">
        <v>16</v>
      </c>
      <c r="B41" s="1" t="s">
        <v>177</v>
      </c>
      <c r="C41" s="4">
        <v>98</v>
      </c>
      <c r="D41" s="8">
        <v>1.49</v>
      </c>
      <c r="E41" s="4">
        <v>51</v>
      </c>
      <c r="F41" s="8">
        <v>1.65</v>
      </c>
      <c r="G41" s="4">
        <v>47</v>
      </c>
      <c r="H41" s="8">
        <v>1.35</v>
      </c>
      <c r="I41" s="4">
        <v>0</v>
      </c>
    </row>
    <row r="42" spans="1:9" x14ac:dyDescent="0.2">
      <c r="A42" s="2">
        <v>18</v>
      </c>
      <c r="B42" s="1" t="s">
        <v>159</v>
      </c>
      <c r="C42" s="4">
        <v>86</v>
      </c>
      <c r="D42" s="8">
        <v>1.31</v>
      </c>
      <c r="E42" s="4">
        <v>9</v>
      </c>
      <c r="F42" s="8">
        <v>0.28999999999999998</v>
      </c>
      <c r="G42" s="4">
        <v>77</v>
      </c>
      <c r="H42" s="8">
        <v>2.2200000000000002</v>
      </c>
      <c r="I42" s="4">
        <v>0</v>
      </c>
    </row>
    <row r="43" spans="1:9" x14ac:dyDescent="0.2">
      <c r="A43" s="2">
        <v>19</v>
      </c>
      <c r="B43" s="1" t="s">
        <v>178</v>
      </c>
      <c r="C43" s="4">
        <v>84</v>
      </c>
      <c r="D43" s="8">
        <v>1.28</v>
      </c>
      <c r="E43" s="4">
        <v>55</v>
      </c>
      <c r="F43" s="8">
        <v>1.78</v>
      </c>
      <c r="G43" s="4">
        <v>29</v>
      </c>
      <c r="H43" s="8">
        <v>0.84</v>
      </c>
      <c r="I43" s="4">
        <v>0</v>
      </c>
    </row>
    <row r="44" spans="1:9" x14ac:dyDescent="0.2">
      <c r="A44" s="2">
        <v>20</v>
      </c>
      <c r="B44" s="1" t="s">
        <v>161</v>
      </c>
      <c r="C44" s="4">
        <v>81</v>
      </c>
      <c r="D44" s="8">
        <v>1.23</v>
      </c>
      <c r="E44" s="4">
        <v>13</v>
      </c>
      <c r="F44" s="8">
        <v>0.42</v>
      </c>
      <c r="G44" s="4">
        <v>68</v>
      </c>
      <c r="H44" s="8">
        <v>1.96</v>
      </c>
      <c r="I44" s="4">
        <v>0</v>
      </c>
    </row>
    <row r="45" spans="1:9" x14ac:dyDescent="0.2">
      <c r="A45" s="2">
        <v>20</v>
      </c>
      <c r="B45" s="1" t="s">
        <v>179</v>
      </c>
      <c r="C45" s="4">
        <v>81</v>
      </c>
      <c r="D45" s="8">
        <v>1.23</v>
      </c>
      <c r="E45" s="4">
        <v>60</v>
      </c>
      <c r="F45" s="8">
        <v>1.95</v>
      </c>
      <c r="G45" s="4">
        <v>21</v>
      </c>
      <c r="H45" s="8">
        <v>0.61</v>
      </c>
      <c r="I45" s="4">
        <v>0</v>
      </c>
    </row>
    <row r="46" spans="1:9" x14ac:dyDescent="0.2">
      <c r="A46" s="1"/>
      <c r="C46" s="4"/>
      <c r="D46" s="8"/>
      <c r="E46" s="4"/>
      <c r="F46" s="8"/>
      <c r="G46" s="4"/>
      <c r="H46" s="8"/>
      <c r="I46" s="4"/>
    </row>
    <row r="47" spans="1:9" x14ac:dyDescent="0.2">
      <c r="A47" s="1" t="s">
        <v>2</v>
      </c>
      <c r="C47" s="4"/>
      <c r="D47" s="8"/>
      <c r="E47" s="4"/>
      <c r="F47" s="8"/>
      <c r="G47" s="4"/>
      <c r="H47" s="8"/>
      <c r="I47" s="4"/>
    </row>
    <row r="48" spans="1:9" x14ac:dyDescent="0.2">
      <c r="A48" s="2">
        <v>1</v>
      </c>
      <c r="B48" s="1" t="s">
        <v>174</v>
      </c>
      <c r="C48" s="4">
        <v>223</v>
      </c>
      <c r="D48" s="8">
        <v>6.18</v>
      </c>
      <c r="E48" s="4">
        <v>212</v>
      </c>
      <c r="F48" s="8">
        <v>11.31</v>
      </c>
      <c r="G48" s="4">
        <v>11</v>
      </c>
      <c r="H48" s="8">
        <v>0.65</v>
      </c>
      <c r="I48" s="4">
        <v>0</v>
      </c>
    </row>
    <row r="49" spans="1:9" x14ac:dyDescent="0.2">
      <c r="A49" s="2">
        <v>2</v>
      </c>
      <c r="B49" s="1" t="s">
        <v>168</v>
      </c>
      <c r="C49" s="4">
        <v>167</v>
      </c>
      <c r="D49" s="8">
        <v>4.63</v>
      </c>
      <c r="E49" s="4">
        <v>97</v>
      </c>
      <c r="F49" s="8">
        <v>5.17</v>
      </c>
      <c r="G49" s="4">
        <v>70</v>
      </c>
      <c r="H49" s="8">
        <v>4.12</v>
      </c>
      <c r="I49" s="4">
        <v>0</v>
      </c>
    </row>
    <row r="50" spans="1:9" x14ac:dyDescent="0.2">
      <c r="A50" s="2">
        <v>3</v>
      </c>
      <c r="B50" s="1" t="s">
        <v>173</v>
      </c>
      <c r="C50" s="4">
        <v>137</v>
      </c>
      <c r="D50" s="8">
        <v>3.8</v>
      </c>
      <c r="E50" s="4">
        <v>135</v>
      </c>
      <c r="F50" s="8">
        <v>7.2</v>
      </c>
      <c r="G50" s="4">
        <v>2</v>
      </c>
      <c r="H50" s="8">
        <v>0.12</v>
      </c>
      <c r="I50" s="4">
        <v>0</v>
      </c>
    </row>
    <row r="51" spans="1:9" x14ac:dyDescent="0.2">
      <c r="A51" s="2">
        <v>4</v>
      </c>
      <c r="B51" s="1" t="s">
        <v>172</v>
      </c>
      <c r="C51" s="4">
        <v>117</v>
      </c>
      <c r="D51" s="8">
        <v>3.24</v>
      </c>
      <c r="E51" s="4">
        <v>110</v>
      </c>
      <c r="F51" s="8">
        <v>5.87</v>
      </c>
      <c r="G51" s="4">
        <v>7</v>
      </c>
      <c r="H51" s="8">
        <v>0.41</v>
      </c>
      <c r="I51" s="4">
        <v>0</v>
      </c>
    </row>
    <row r="52" spans="1:9" x14ac:dyDescent="0.2">
      <c r="A52" s="2">
        <v>5</v>
      </c>
      <c r="B52" s="1" t="s">
        <v>170</v>
      </c>
      <c r="C52" s="4">
        <v>100</v>
      </c>
      <c r="D52" s="8">
        <v>2.77</v>
      </c>
      <c r="E52" s="4">
        <v>81</v>
      </c>
      <c r="F52" s="8">
        <v>4.32</v>
      </c>
      <c r="G52" s="4">
        <v>19</v>
      </c>
      <c r="H52" s="8">
        <v>1.1200000000000001</v>
      </c>
      <c r="I52" s="4">
        <v>0</v>
      </c>
    </row>
    <row r="53" spans="1:9" x14ac:dyDescent="0.2">
      <c r="A53" s="2">
        <v>6</v>
      </c>
      <c r="B53" s="1" t="s">
        <v>171</v>
      </c>
      <c r="C53" s="4">
        <v>89</v>
      </c>
      <c r="D53" s="8">
        <v>2.4700000000000002</v>
      </c>
      <c r="E53" s="4">
        <v>79</v>
      </c>
      <c r="F53" s="8">
        <v>4.21</v>
      </c>
      <c r="G53" s="4">
        <v>10</v>
      </c>
      <c r="H53" s="8">
        <v>0.59</v>
      </c>
      <c r="I53" s="4">
        <v>0</v>
      </c>
    </row>
    <row r="54" spans="1:9" x14ac:dyDescent="0.2">
      <c r="A54" s="2">
        <v>7</v>
      </c>
      <c r="B54" s="1" t="s">
        <v>166</v>
      </c>
      <c r="C54" s="4">
        <v>81</v>
      </c>
      <c r="D54" s="8">
        <v>2.25</v>
      </c>
      <c r="E54" s="4">
        <v>52</v>
      </c>
      <c r="F54" s="8">
        <v>2.77</v>
      </c>
      <c r="G54" s="4">
        <v>29</v>
      </c>
      <c r="H54" s="8">
        <v>1.7</v>
      </c>
      <c r="I54" s="4">
        <v>0</v>
      </c>
    </row>
    <row r="55" spans="1:9" x14ac:dyDescent="0.2">
      <c r="A55" s="2">
        <v>8</v>
      </c>
      <c r="B55" s="1" t="s">
        <v>160</v>
      </c>
      <c r="C55" s="4">
        <v>74</v>
      </c>
      <c r="D55" s="8">
        <v>2.0499999999999998</v>
      </c>
      <c r="E55" s="4">
        <v>33</v>
      </c>
      <c r="F55" s="8">
        <v>1.76</v>
      </c>
      <c r="G55" s="4">
        <v>41</v>
      </c>
      <c r="H55" s="8">
        <v>2.41</v>
      </c>
      <c r="I55" s="4">
        <v>0</v>
      </c>
    </row>
    <row r="56" spans="1:9" x14ac:dyDescent="0.2">
      <c r="A56" s="2">
        <v>9</v>
      </c>
      <c r="B56" s="1" t="s">
        <v>181</v>
      </c>
      <c r="C56" s="4">
        <v>63</v>
      </c>
      <c r="D56" s="8">
        <v>1.75</v>
      </c>
      <c r="E56" s="4">
        <v>48</v>
      </c>
      <c r="F56" s="8">
        <v>2.56</v>
      </c>
      <c r="G56" s="4">
        <v>15</v>
      </c>
      <c r="H56" s="8">
        <v>0.88</v>
      </c>
      <c r="I56" s="4">
        <v>0</v>
      </c>
    </row>
    <row r="57" spans="1:9" x14ac:dyDescent="0.2">
      <c r="A57" s="2">
        <v>10</v>
      </c>
      <c r="B57" s="1" t="s">
        <v>161</v>
      </c>
      <c r="C57" s="4">
        <v>62</v>
      </c>
      <c r="D57" s="8">
        <v>1.72</v>
      </c>
      <c r="E57" s="4">
        <v>15</v>
      </c>
      <c r="F57" s="8">
        <v>0.8</v>
      </c>
      <c r="G57" s="4">
        <v>47</v>
      </c>
      <c r="H57" s="8">
        <v>2.76</v>
      </c>
      <c r="I57" s="4">
        <v>0</v>
      </c>
    </row>
    <row r="58" spans="1:9" x14ac:dyDescent="0.2">
      <c r="A58" s="2">
        <v>11</v>
      </c>
      <c r="B58" s="1" t="s">
        <v>180</v>
      </c>
      <c r="C58" s="4">
        <v>59</v>
      </c>
      <c r="D58" s="8">
        <v>1.64</v>
      </c>
      <c r="E58" s="4">
        <v>44</v>
      </c>
      <c r="F58" s="8">
        <v>2.35</v>
      </c>
      <c r="G58" s="4">
        <v>15</v>
      </c>
      <c r="H58" s="8">
        <v>0.88</v>
      </c>
      <c r="I58" s="4">
        <v>0</v>
      </c>
    </row>
    <row r="59" spans="1:9" x14ac:dyDescent="0.2">
      <c r="A59" s="2">
        <v>12</v>
      </c>
      <c r="B59" s="1" t="s">
        <v>175</v>
      </c>
      <c r="C59" s="4">
        <v>58</v>
      </c>
      <c r="D59" s="8">
        <v>1.61</v>
      </c>
      <c r="E59" s="4">
        <v>43</v>
      </c>
      <c r="F59" s="8">
        <v>2.29</v>
      </c>
      <c r="G59" s="4">
        <v>15</v>
      </c>
      <c r="H59" s="8">
        <v>0.88</v>
      </c>
      <c r="I59" s="4">
        <v>0</v>
      </c>
    </row>
    <row r="60" spans="1:9" x14ac:dyDescent="0.2">
      <c r="A60" s="2">
        <v>13</v>
      </c>
      <c r="B60" s="1" t="s">
        <v>159</v>
      </c>
      <c r="C60" s="4">
        <v>56</v>
      </c>
      <c r="D60" s="8">
        <v>1.55</v>
      </c>
      <c r="E60" s="4">
        <v>13</v>
      </c>
      <c r="F60" s="8">
        <v>0.69</v>
      </c>
      <c r="G60" s="4">
        <v>43</v>
      </c>
      <c r="H60" s="8">
        <v>2.5299999999999998</v>
      </c>
      <c r="I60" s="4">
        <v>0</v>
      </c>
    </row>
    <row r="61" spans="1:9" x14ac:dyDescent="0.2">
      <c r="A61" s="2">
        <v>14</v>
      </c>
      <c r="B61" s="1" t="s">
        <v>176</v>
      </c>
      <c r="C61" s="4">
        <v>55</v>
      </c>
      <c r="D61" s="8">
        <v>1.53</v>
      </c>
      <c r="E61" s="4">
        <v>50</v>
      </c>
      <c r="F61" s="8">
        <v>2.67</v>
      </c>
      <c r="G61" s="4">
        <v>5</v>
      </c>
      <c r="H61" s="8">
        <v>0.28999999999999998</v>
      </c>
      <c r="I61" s="4">
        <v>0</v>
      </c>
    </row>
    <row r="62" spans="1:9" x14ac:dyDescent="0.2">
      <c r="A62" s="2">
        <v>15</v>
      </c>
      <c r="B62" s="1" t="s">
        <v>165</v>
      </c>
      <c r="C62" s="4">
        <v>53</v>
      </c>
      <c r="D62" s="8">
        <v>1.47</v>
      </c>
      <c r="E62" s="4">
        <v>15</v>
      </c>
      <c r="F62" s="8">
        <v>0.8</v>
      </c>
      <c r="G62" s="4">
        <v>38</v>
      </c>
      <c r="H62" s="8">
        <v>2.23</v>
      </c>
      <c r="I62" s="4">
        <v>0</v>
      </c>
    </row>
    <row r="63" spans="1:9" x14ac:dyDescent="0.2">
      <c r="A63" s="2">
        <v>16</v>
      </c>
      <c r="B63" s="1" t="s">
        <v>182</v>
      </c>
      <c r="C63" s="4">
        <v>51</v>
      </c>
      <c r="D63" s="8">
        <v>1.41</v>
      </c>
      <c r="E63" s="4">
        <v>22</v>
      </c>
      <c r="F63" s="8">
        <v>1.17</v>
      </c>
      <c r="G63" s="4">
        <v>29</v>
      </c>
      <c r="H63" s="8">
        <v>1.7</v>
      </c>
      <c r="I63" s="4">
        <v>0</v>
      </c>
    </row>
    <row r="64" spans="1:9" x14ac:dyDescent="0.2">
      <c r="A64" s="2">
        <v>17</v>
      </c>
      <c r="B64" s="1" t="s">
        <v>162</v>
      </c>
      <c r="C64" s="4">
        <v>49</v>
      </c>
      <c r="D64" s="8">
        <v>1.36</v>
      </c>
      <c r="E64" s="4">
        <v>10</v>
      </c>
      <c r="F64" s="8">
        <v>0.53</v>
      </c>
      <c r="G64" s="4">
        <v>39</v>
      </c>
      <c r="H64" s="8">
        <v>2.29</v>
      </c>
      <c r="I64" s="4">
        <v>0</v>
      </c>
    </row>
    <row r="65" spans="1:9" x14ac:dyDescent="0.2">
      <c r="A65" s="2">
        <v>17</v>
      </c>
      <c r="B65" s="1" t="s">
        <v>163</v>
      </c>
      <c r="C65" s="4">
        <v>49</v>
      </c>
      <c r="D65" s="8">
        <v>1.36</v>
      </c>
      <c r="E65" s="4">
        <v>24</v>
      </c>
      <c r="F65" s="8">
        <v>1.28</v>
      </c>
      <c r="G65" s="4">
        <v>25</v>
      </c>
      <c r="H65" s="8">
        <v>1.47</v>
      </c>
      <c r="I65" s="4">
        <v>0</v>
      </c>
    </row>
    <row r="66" spans="1:9" x14ac:dyDescent="0.2">
      <c r="A66" s="2">
        <v>17</v>
      </c>
      <c r="B66" s="1" t="s">
        <v>164</v>
      </c>
      <c r="C66" s="4">
        <v>49</v>
      </c>
      <c r="D66" s="8">
        <v>1.36</v>
      </c>
      <c r="E66" s="4">
        <v>18</v>
      </c>
      <c r="F66" s="8">
        <v>0.96</v>
      </c>
      <c r="G66" s="4">
        <v>31</v>
      </c>
      <c r="H66" s="8">
        <v>1.82</v>
      </c>
      <c r="I66" s="4">
        <v>0</v>
      </c>
    </row>
    <row r="67" spans="1:9" x14ac:dyDescent="0.2">
      <c r="A67" s="2">
        <v>20</v>
      </c>
      <c r="B67" s="1" t="s">
        <v>158</v>
      </c>
      <c r="C67" s="4">
        <v>48</v>
      </c>
      <c r="D67" s="8">
        <v>1.33</v>
      </c>
      <c r="E67" s="4">
        <v>6</v>
      </c>
      <c r="F67" s="8">
        <v>0.32</v>
      </c>
      <c r="G67" s="4">
        <v>42</v>
      </c>
      <c r="H67" s="8">
        <v>2.4700000000000002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168</v>
      </c>
      <c r="C70" s="4">
        <v>513</v>
      </c>
      <c r="D70" s="8">
        <v>6.19</v>
      </c>
      <c r="E70" s="4">
        <v>289</v>
      </c>
      <c r="F70" s="8">
        <v>8.67</v>
      </c>
      <c r="G70" s="4">
        <v>224</v>
      </c>
      <c r="H70" s="8">
        <v>4.58</v>
      </c>
      <c r="I70" s="4">
        <v>0</v>
      </c>
    </row>
    <row r="71" spans="1:9" x14ac:dyDescent="0.2">
      <c r="A71" s="2">
        <v>2</v>
      </c>
      <c r="B71" s="1" t="s">
        <v>174</v>
      </c>
      <c r="C71" s="4">
        <v>443</v>
      </c>
      <c r="D71" s="8">
        <v>5.35</v>
      </c>
      <c r="E71" s="4">
        <v>370</v>
      </c>
      <c r="F71" s="8">
        <v>11.1</v>
      </c>
      <c r="G71" s="4">
        <v>73</v>
      </c>
      <c r="H71" s="8">
        <v>1.49</v>
      </c>
      <c r="I71" s="4">
        <v>0</v>
      </c>
    </row>
    <row r="72" spans="1:9" x14ac:dyDescent="0.2">
      <c r="A72" s="2">
        <v>3</v>
      </c>
      <c r="B72" s="1" t="s">
        <v>173</v>
      </c>
      <c r="C72" s="4">
        <v>280</v>
      </c>
      <c r="D72" s="8">
        <v>3.38</v>
      </c>
      <c r="E72" s="4">
        <v>267</v>
      </c>
      <c r="F72" s="8">
        <v>8.01</v>
      </c>
      <c r="G72" s="4">
        <v>13</v>
      </c>
      <c r="H72" s="8">
        <v>0.27</v>
      </c>
      <c r="I72" s="4">
        <v>0</v>
      </c>
    </row>
    <row r="73" spans="1:9" x14ac:dyDescent="0.2">
      <c r="A73" s="2">
        <v>4</v>
      </c>
      <c r="B73" s="1" t="s">
        <v>176</v>
      </c>
      <c r="C73" s="4">
        <v>200</v>
      </c>
      <c r="D73" s="8">
        <v>2.42</v>
      </c>
      <c r="E73" s="4">
        <v>163</v>
      </c>
      <c r="F73" s="8">
        <v>4.8899999999999997</v>
      </c>
      <c r="G73" s="4">
        <v>37</v>
      </c>
      <c r="H73" s="8">
        <v>0.76</v>
      </c>
      <c r="I73" s="4">
        <v>0</v>
      </c>
    </row>
    <row r="74" spans="1:9" x14ac:dyDescent="0.2">
      <c r="A74" s="2">
        <v>5</v>
      </c>
      <c r="B74" s="1" t="s">
        <v>167</v>
      </c>
      <c r="C74" s="4">
        <v>184</v>
      </c>
      <c r="D74" s="8">
        <v>2.2200000000000002</v>
      </c>
      <c r="E74" s="4">
        <v>27</v>
      </c>
      <c r="F74" s="8">
        <v>0.81</v>
      </c>
      <c r="G74" s="4">
        <v>157</v>
      </c>
      <c r="H74" s="8">
        <v>3.21</v>
      </c>
      <c r="I74" s="4">
        <v>0</v>
      </c>
    </row>
    <row r="75" spans="1:9" x14ac:dyDescent="0.2">
      <c r="A75" s="2">
        <v>6</v>
      </c>
      <c r="B75" s="1" t="s">
        <v>170</v>
      </c>
      <c r="C75" s="4">
        <v>180</v>
      </c>
      <c r="D75" s="8">
        <v>2.17</v>
      </c>
      <c r="E75" s="4">
        <v>131</v>
      </c>
      <c r="F75" s="8">
        <v>3.93</v>
      </c>
      <c r="G75" s="4">
        <v>49</v>
      </c>
      <c r="H75" s="8">
        <v>1</v>
      </c>
      <c r="I75" s="4">
        <v>0</v>
      </c>
    </row>
    <row r="76" spans="1:9" x14ac:dyDescent="0.2">
      <c r="A76" s="2">
        <v>7</v>
      </c>
      <c r="B76" s="1" t="s">
        <v>162</v>
      </c>
      <c r="C76" s="4">
        <v>162</v>
      </c>
      <c r="D76" s="8">
        <v>1.96</v>
      </c>
      <c r="E76" s="4">
        <v>17</v>
      </c>
      <c r="F76" s="8">
        <v>0.51</v>
      </c>
      <c r="G76" s="4">
        <v>145</v>
      </c>
      <c r="H76" s="8">
        <v>2.96</v>
      </c>
      <c r="I76" s="4">
        <v>0</v>
      </c>
    </row>
    <row r="77" spans="1:9" x14ac:dyDescent="0.2">
      <c r="A77" s="2">
        <v>8</v>
      </c>
      <c r="B77" s="1" t="s">
        <v>169</v>
      </c>
      <c r="C77" s="4">
        <v>160</v>
      </c>
      <c r="D77" s="8">
        <v>1.93</v>
      </c>
      <c r="E77" s="4">
        <v>29</v>
      </c>
      <c r="F77" s="8">
        <v>0.87</v>
      </c>
      <c r="G77" s="4">
        <v>130</v>
      </c>
      <c r="H77" s="8">
        <v>2.66</v>
      </c>
      <c r="I77" s="4">
        <v>0</v>
      </c>
    </row>
    <row r="78" spans="1:9" x14ac:dyDescent="0.2">
      <c r="A78" s="2">
        <v>9</v>
      </c>
      <c r="B78" s="1" t="s">
        <v>183</v>
      </c>
      <c r="C78" s="4">
        <v>153</v>
      </c>
      <c r="D78" s="8">
        <v>1.85</v>
      </c>
      <c r="E78" s="4">
        <v>21</v>
      </c>
      <c r="F78" s="8">
        <v>0.63</v>
      </c>
      <c r="G78" s="4">
        <v>132</v>
      </c>
      <c r="H78" s="8">
        <v>2.7</v>
      </c>
      <c r="I78" s="4">
        <v>0</v>
      </c>
    </row>
    <row r="79" spans="1:9" x14ac:dyDescent="0.2">
      <c r="A79" s="2">
        <v>10</v>
      </c>
      <c r="B79" s="1" t="s">
        <v>175</v>
      </c>
      <c r="C79" s="4">
        <v>152</v>
      </c>
      <c r="D79" s="8">
        <v>1.84</v>
      </c>
      <c r="E79" s="4">
        <v>117</v>
      </c>
      <c r="F79" s="8">
        <v>3.51</v>
      </c>
      <c r="G79" s="4">
        <v>33</v>
      </c>
      <c r="H79" s="8">
        <v>0.67</v>
      </c>
      <c r="I79" s="4">
        <v>2</v>
      </c>
    </row>
    <row r="80" spans="1:9" x14ac:dyDescent="0.2">
      <c r="A80" s="2">
        <v>11</v>
      </c>
      <c r="B80" s="1" t="s">
        <v>171</v>
      </c>
      <c r="C80" s="4">
        <v>146</v>
      </c>
      <c r="D80" s="8">
        <v>1.76</v>
      </c>
      <c r="E80" s="4">
        <v>115</v>
      </c>
      <c r="F80" s="8">
        <v>3.45</v>
      </c>
      <c r="G80" s="4">
        <v>31</v>
      </c>
      <c r="H80" s="8">
        <v>0.63</v>
      </c>
      <c r="I80" s="4">
        <v>0</v>
      </c>
    </row>
    <row r="81" spans="1:9" x14ac:dyDescent="0.2">
      <c r="A81" s="2">
        <v>12</v>
      </c>
      <c r="B81" s="1" t="s">
        <v>172</v>
      </c>
      <c r="C81" s="4">
        <v>139</v>
      </c>
      <c r="D81" s="8">
        <v>1.68</v>
      </c>
      <c r="E81" s="4">
        <v>131</v>
      </c>
      <c r="F81" s="8">
        <v>3.93</v>
      </c>
      <c r="G81" s="4">
        <v>8</v>
      </c>
      <c r="H81" s="8">
        <v>0.16</v>
      </c>
      <c r="I81" s="4">
        <v>0</v>
      </c>
    </row>
    <row r="82" spans="1:9" x14ac:dyDescent="0.2">
      <c r="A82" s="2">
        <v>13</v>
      </c>
      <c r="B82" s="1" t="s">
        <v>159</v>
      </c>
      <c r="C82" s="4">
        <v>133</v>
      </c>
      <c r="D82" s="8">
        <v>1.61</v>
      </c>
      <c r="E82" s="4">
        <v>8</v>
      </c>
      <c r="F82" s="8">
        <v>0.24</v>
      </c>
      <c r="G82" s="4">
        <v>125</v>
      </c>
      <c r="H82" s="8">
        <v>2.5499999999999998</v>
      </c>
      <c r="I82" s="4">
        <v>0</v>
      </c>
    </row>
    <row r="83" spans="1:9" x14ac:dyDescent="0.2">
      <c r="A83" s="2">
        <v>13</v>
      </c>
      <c r="B83" s="1" t="s">
        <v>166</v>
      </c>
      <c r="C83" s="4">
        <v>133</v>
      </c>
      <c r="D83" s="8">
        <v>1.61</v>
      </c>
      <c r="E83" s="4">
        <v>71</v>
      </c>
      <c r="F83" s="8">
        <v>2.13</v>
      </c>
      <c r="G83" s="4">
        <v>62</v>
      </c>
      <c r="H83" s="8">
        <v>1.27</v>
      </c>
      <c r="I83" s="4">
        <v>0</v>
      </c>
    </row>
    <row r="84" spans="1:9" x14ac:dyDescent="0.2">
      <c r="A84" s="2">
        <v>15</v>
      </c>
      <c r="B84" s="1" t="s">
        <v>158</v>
      </c>
      <c r="C84" s="4">
        <v>127</v>
      </c>
      <c r="D84" s="8">
        <v>1.53</v>
      </c>
      <c r="E84" s="4">
        <v>13</v>
      </c>
      <c r="F84" s="8">
        <v>0.39</v>
      </c>
      <c r="G84" s="4">
        <v>114</v>
      </c>
      <c r="H84" s="8">
        <v>2.33</v>
      </c>
      <c r="I84" s="4">
        <v>0</v>
      </c>
    </row>
    <row r="85" spans="1:9" x14ac:dyDescent="0.2">
      <c r="A85" s="2">
        <v>15</v>
      </c>
      <c r="B85" s="1" t="s">
        <v>161</v>
      </c>
      <c r="C85" s="4">
        <v>127</v>
      </c>
      <c r="D85" s="8">
        <v>1.53</v>
      </c>
      <c r="E85" s="4">
        <v>19</v>
      </c>
      <c r="F85" s="8">
        <v>0.56999999999999995</v>
      </c>
      <c r="G85" s="4">
        <v>108</v>
      </c>
      <c r="H85" s="8">
        <v>2.21</v>
      </c>
      <c r="I85" s="4">
        <v>0</v>
      </c>
    </row>
    <row r="86" spans="1:9" x14ac:dyDescent="0.2">
      <c r="A86" s="2">
        <v>17</v>
      </c>
      <c r="B86" s="1" t="s">
        <v>160</v>
      </c>
      <c r="C86" s="4">
        <v>115</v>
      </c>
      <c r="D86" s="8">
        <v>1.39</v>
      </c>
      <c r="E86" s="4">
        <v>28</v>
      </c>
      <c r="F86" s="8">
        <v>0.84</v>
      </c>
      <c r="G86" s="4">
        <v>87</v>
      </c>
      <c r="H86" s="8">
        <v>1.78</v>
      </c>
      <c r="I86" s="4">
        <v>0</v>
      </c>
    </row>
    <row r="87" spans="1:9" x14ac:dyDescent="0.2">
      <c r="A87" s="2">
        <v>18</v>
      </c>
      <c r="B87" s="1" t="s">
        <v>164</v>
      </c>
      <c r="C87" s="4">
        <v>108</v>
      </c>
      <c r="D87" s="8">
        <v>1.3</v>
      </c>
      <c r="E87" s="4">
        <v>40</v>
      </c>
      <c r="F87" s="8">
        <v>1.2</v>
      </c>
      <c r="G87" s="4">
        <v>68</v>
      </c>
      <c r="H87" s="8">
        <v>1.39</v>
      </c>
      <c r="I87" s="4">
        <v>0</v>
      </c>
    </row>
    <row r="88" spans="1:9" x14ac:dyDescent="0.2">
      <c r="A88" s="2">
        <v>19</v>
      </c>
      <c r="B88" s="1" t="s">
        <v>163</v>
      </c>
      <c r="C88" s="4">
        <v>107</v>
      </c>
      <c r="D88" s="8">
        <v>1.29</v>
      </c>
      <c r="E88" s="4">
        <v>55</v>
      </c>
      <c r="F88" s="8">
        <v>1.65</v>
      </c>
      <c r="G88" s="4">
        <v>50</v>
      </c>
      <c r="H88" s="8">
        <v>1.02</v>
      </c>
      <c r="I88" s="4">
        <v>2</v>
      </c>
    </row>
    <row r="89" spans="1:9" x14ac:dyDescent="0.2">
      <c r="A89" s="2">
        <v>20</v>
      </c>
      <c r="B89" s="1" t="s">
        <v>177</v>
      </c>
      <c r="C89" s="4">
        <v>106</v>
      </c>
      <c r="D89" s="8">
        <v>1.28</v>
      </c>
      <c r="E89" s="4">
        <v>59</v>
      </c>
      <c r="F89" s="8">
        <v>1.77</v>
      </c>
      <c r="G89" s="4">
        <v>47</v>
      </c>
      <c r="H89" s="8">
        <v>0.96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174</v>
      </c>
      <c r="C92" s="4">
        <v>499</v>
      </c>
      <c r="D92" s="8">
        <v>6.44</v>
      </c>
      <c r="E92" s="4">
        <v>453</v>
      </c>
      <c r="F92" s="8">
        <v>13.44</v>
      </c>
      <c r="G92" s="4">
        <v>46</v>
      </c>
      <c r="H92" s="8">
        <v>1.06</v>
      </c>
      <c r="I92" s="4">
        <v>0</v>
      </c>
    </row>
    <row r="93" spans="1:9" x14ac:dyDescent="0.2">
      <c r="A93" s="2">
        <v>2</v>
      </c>
      <c r="B93" s="1" t="s">
        <v>173</v>
      </c>
      <c r="C93" s="4">
        <v>318</v>
      </c>
      <c r="D93" s="8">
        <v>4.0999999999999996</v>
      </c>
      <c r="E93" s="4">
        <v>299</v>
      </c>
      <c r="F93" s="8">
        <v>8.8699999999999992</v>
      </c>
      <c r="G93" s="4">
        <v>19</v>
      </c>
      <c r="H93" s="8">
        <v>0.44</v>
      </c>
      <c r="I93" s="4">
        <v>0</v>
      </c>
    </row>
    <row r="94" spans="1:9" x14ac:dyDescent="0.2">
      <c r="A94" s="2">
        <v>3</v>
      </c>
      <c r="B94" s="1" t="s">
        <v>170</v>
      </c>
      <c r="C94" s="4">
        <v>207</v>
      </c>
      <c r="D94" s="8">
        <v>2.67</v>
      </c>
      <c r="E94" s="4">
        <v>145</v>
      </c>
      <c r="F94" s="8">
        <v>4.3</v>
      </c>
      <c r="G94" s="4">
        <v>62</v>
      </c>
      <c r="H94" s="8">
        <v>1.43</v>
      </c>
      <c r="I94" s="4">
        <v>0</v>
      </c>
    </row>
    <row r="95" spans="1:9" x14ac:dyDescent="0.2">
      <c r="A95" s="2">
        <v>4</v>
      </c>
      <c r="B95" s="1" t="s">
        <v>176</v>
      </c>
      <c r="C95" s="4">
        <v>205</v>
      </c>
      <c r="D95" s="8">
        <v>2.65</v>
      </c>
      <c r="E95" s="4">
        <v>173</v>
      </c>
      <c r="F95" s="8">
        <v>5.13</v>
      </c>
      <c r="G95" s="4">
        <v>32</v>
      </c>
      <c r="H95" s="8">
        <v>0.74</v>
      </c>
      <c r="I95" s="4">
        <v>0</v>
      </c>
    </row>
    <row r="96" spans="1:9" x14ac:dyDescent="0.2">
      <c r="A96" s="2">
        <v>5</v>
      </c>
      <c r="B96" s="1" t="s">
        <v>172</v>
      </c>
      <c r="C96" s="4">
        <v>199</v>
      </c>
      <c r="D96" s="8">
        <v>2.57</v>
      </c>
      <c r="E96" s="4">
        <v>178</v>
      </c>
      <c r="F96" s="8">
        <v>5.28</v>
      </c>
      <c r="G96" s="4">
        <v>21</v>
      </c>
      <c r="H96" s="8">
        <v>0.49</v>
      </c>
      <c r="I96" s="4">
        <v>0</v>
      </c>
    </row>
    <row r="97" spans="1:9" x14ac:dyDescent="0.2">
      <c r="A97" s="2">
        <v>6</v>
      </c>
      <c r="B97" s="1" t="s">
        <v>158</v>
      </c>
      <c r="C97" s="4">
        <v>176</v>
      </c>
      <c r="D97" s="8">
        <v>2.27</v>
      </c>
      <c r="E97" s="4">
        <v>10</v>
      </c>
      <c r="F97" s="8">
        <v>0.3</v>
      </c>
      <c r="G97" s="4">
        <v>166</v>
      </c>
      <c r="H97" s="8">
        <v>3.84</v>
      </c>
      <c r="I97" s="4">
        <v>0</v>
      </c>
    </row>
    <row r="98" spans="1:9" x14ac:dyDescent="0.2">
      <c r="A98" s="2">
        <v>7</v>
      </c>
      <c r="B98" s="1" t="s">
        <v>166</v>
      </c>
      <c r="C98" s="4">
        <v>175</v>
      </c>
      <c r="D98" s="8">
        <v>2.2599999999999998</v>
      </c>
      <c r="E98" s="4">
        <v>89</v>
      </c>
      <c r="F98" s="8">
        <v>2.64</v>
      </c>
      <c r="G98" s="4">
        <v>86</v>
      </c>
      <c r="H98" s="8">
        <v>1.99</v>
      </c>
      <c r="I98" s="4">
        <v>0</v>
      </c>
    </row>
    <row r="99" spans="1:9" x14ac:dyDescent="0.2">
      <c r="A99" s="2">
        <v>8</v>
      </c>
      <c r="B99" s="1" t="s">
        <v>171</v>
      </c>
      <c r="C99" s="4">
        <v>174</v>
      </c>
      <c r="D99" s="8">
        <v>2.25</v>
      </c>
      <c r="E99" s="4">
        <v>154</v>
      </c>
      <c r="F99" s="8">
        <v>4.57</v>
      </c>
      <c r="G99" s="4">
        <v>20</v>
      </c>
      <c r="H99" s="8">
        <v>0.46</v>
      </c>
      <c r="I99" s="4">
        <v>0</v>
      </c>
    </row>
    <row r="100" spans="1:9" x14ac:dyDescent="0.2">
      <c r="A100" s="2">
        <v>9</v>
      </c>
      <c r="B100" s="1" t="s">
        <v>164</v>
      </c>
      <c r="C100" s="4">
        <v>165</v>
      </c>
      <c r="D100" s="8">
        <v>2.13</v>
      </c>
      <c r="E100" s="4">
        <v>64</v>
      </c>
      <c r="F100" s="8">
        <v>1.9</v>
      </c>
      <c r="G100" s="4">
        <v>101</v>
      </c>
      <c r="H100" s="8">
        <v>2.33</v>
      </c>
      <c r="I100" s="4">
        <v>0</v>
      </c>
    </row>
    <row r="101" spans="1:9" x14ac:dyDescent="0.2">
      <c r="A101" s="2">
        <v>10</v>
      </c>
      <c r="B101" s="1" t="s">
        <v>168</v>
      </c>
      <c r="C101" s="4">
        <v>158</v>
      </c>
      <c r="D101" s="8">
        <v>2.04</v>
      </c>
      <c r="E101" s="4">
        <v>27</v>
      </c>
      <c r="F101" s="8">
        <v>0.8</v>
      </c>
      <c r="G101" s="4">
        <v>131</v>
      </c>
      <c r="H101" s="8">
        <v>3.03</v>
      </c>
      <c r="I101" s="4">
        <v>0</v>
      </c>
    </row>
    <row r="102" spans="1:9" x14ac:dyDescent="0.2">
      <c r="A102" s="2">
        <v>11</v>
      </c>
      <c r="B102" s="1" t="s">
        <v>161</v>
      </c>
      <c r="C102" s="4">
        <v>154</v>
      </c>
      <c r="D102" s="8">
        <v>1.99</v>
      </c>
      <c r="E102" s="4">
        <v>13</v>
      </c>
      <c r="F102" s="8">
        <v>0.39</v>
      </c>
      <c r="G102" s="4">
        <v>141</v>
      </c>
      <c r="H102" s="8">
        <v>3.26</v>
      </c>
      <c r="I102" s="4">
        <v>0</v>
      </c>
    </row>
    <row r="103" spans="1:9" x14ac:dyDescent="0.2">
      <c r="A103" s="2">
        <v>12</v>
      </c>
      <c r="B103" s="1" t="s">
        <v>175</v>
      </c>
      <c r="C103" s="4">
        <v>152</v>
      </c>
      <c r="D103" s="8">
        <v>1.96</v>
      </c>
      <c r="E103" s="4">
        <v>113</v>
      </c>
      <c r="F103" s="8">
        <v>3.35</v>
      </c>
      <c r="G103" s="4">
        <v>39</v>
      </c>
      <c r="H103" s="8">
        <v>0.9</v>
      </c>
      <c r="I103" s="4">
        <v>0</v>
      </c>
    </row>
    <row r="104" spans="1:9" x14ac:dyDescent="0.2">
      <c r="A104" s="2">
        <v>13</v>
      </c>
      <c r="B104" s="1" t="s">
        <v>163</v>
      </c>
      <c r="C104" s="4">
        <v>144</v>
      </c>
      <c r="D104" s="8">
        <v>1.86</v>
      </c>
      <c r="E104" s="4">
        <v>89</v>
      </c>
      <c r="F104" s="8">
        <v>2.64</v>
      </c>
      <c r="G104" s="4">
        <v>54</v>
      </c>
      <c r="H104" s="8">
        <v>1.25</v>
      </c>
      <c r="I104" s="4">
        <v>1</v>
      </c>
    </row>
    <row r="105" spans="1:9" x14ac:dyDescent="0.2">
      <c r="A105" s="2">
        <v>14</v>
      </c>
      <c r="B105" s="1" t="s">
        <v>177</v>
      </c>
      <c r="C105" s="4">
        <v>132</v>
      </c>
      <c r="D105" s="8">
        <v>1.7</v>
      </c>
      <c r="E105" s="4">
        <v>78</v>
      </c>
      <c r="F105" s="8">
        <v>2.31</v>
      </c>
      <c r="G105" s="4">
        <v>54</v>
      </c>
      <c r="H105" s="8">
        <v>1.25</v>
      </c>
      <c r="I105" s="4">
        <v>0</v>
      </c>
    </row>
    <row r="106" spans="1:9" x14ac:dyDescent="0.2">
      <c r="A106" s="2">
        <v>15</v>
      </c>
      <c r="B106" s="1" t="s">
        <v>160</v>
      </c>
      <c r="C106" s="4">
        <v>128</v>
      </c>
      <c r="D106" s="8">
        <v>1.65</v>
      </c>
      <c r="E106" s="4">
        <v>32</v>
      </c>
      <c r="F106" s="8">
        <v>0.95</v>
      </c>
      <c r="G106" s="4">
        <v>96</v>
      </c>
      <c r="H106" s="8">
        <v>2.2200000000000002</v>
      </c>
      <c r="I106" s="4">
        <v>0</v>
      </c>
    </row>
    <row r="107" spans="1:9" x14ac:dyDescent="0.2">
      <c r="A107" s="2">
        <v>16</v>
      </c>
      <c r="B107" s="1" t="s">
        <v>165</v>
      </c>
      <c r="C107" s="4">
        <v>125</v>
      </c>
      <c r="D107" s="8">
        <v>1.61</v>
      </c>
      <c r="E107" s="4">
        <v>33</v>
      </c>
      <c r="F107" s="8">
        <v>0.98</v>
      </c>
      <c r="G107" s="4">
        <v>92</v>
      </c>
      <c r="H107" s="8">
        <v>2.13</v>
      </c>
      <c r="I107" s="4">
        <v>0</v>
      </c>
    </row>
    <row r="108" spans="1:9" x14ac:dyDescent="0.2">
      <c r="A108" s="2">
        <v>17</v>
      </c>
      <c r="B108" s="1" t="s">
        <v>169</v>
      </c>
      <c r="C108" s="4">
        <v>117</v>
      </c>
      <c r="D108" s="8">
        <v>1.51</v>
      </c>
      <c r="E108" s="4">
        <v>38</v>
      </c>
      <c r="F108" s="8">
        <v>1.1299999999999999</v>
      </c>
      <c r="G108" s="4">
        <v>79</v>
      </c>
      <c r="H108" s="8">
        <v>1.83</v>
      </c>
      <c r="I108" s="4">
        <v>0</v>
      </c>
    </row>
    <row r="109" spans="1:9" x14ac:dyDescent="0.2">
      <c r="A109" s="2">
        <v>18</v>
      </c>
      <c r="B109" s="1" t="s">
        <v>162</v>
      </c>
      <c r="C109" s="4">
        <v>115</v>
      </c>
      <c r="D109" s="8">
        <v>1.48</v>
      </c>
      <c r="E109" s="4">
        <v>13</v>
      </c>
      <c r="F109" s="8">
        <v>0.39</v>
      </c>
      <c r="G109" s="4">
        <v>102</v>
      </c>
      <c r="H109" s="8">
        <v>2.36</v>
      </c>
      <c r="I109" s="4">
        <v>0</v>
      </c>
    </row>
    <row r="110" spans="1:9" x14ac:dyDescent="0.2">
      <c r="A110" s="2">
        <v>19</v>
      </c>
      <c r="B110" s="1" t="s">
        <v>184</v>
      </c>
      <c r="C110" s="4">
        <v>102</v>
      </c>
      <c r="D110" s="8">
        <v>1.32</v>
      </c>
      <c r="E110" s="4">
        <v>68</v>
      </c>
      <c r="F110" s="8">
        <v>2.02</v>
      </c>
      <c r="G110" s="4">
        <v>34</v>
      </c>
      <c r="H110" s="8">
        <v>0.79</v>
      </c>
      <c r="I110" s="4">
        <v>0</v>
      </c>
    </row>
    <row r="111" spans="1:9" x14ac:dyDescent="0.2">
      <c r="A111" s="2">
        <v>20</v>
      </c>
      <c r="B111" s="1" t="s">
        <v>159</v>
      </c>
      <c r="C111" s="4">
        <v>101</v>
      </c>
      <c r="D111" s="8">
        <v>1.3</v>
      </c>
      <c r="E111" s="4">
        <v>12</v>
      </c>
      <c r="F111" s="8">
        <v>0.36</v>
      </c>
      <c r="G111" s="4">
        <v>89</v>
      </c>
      <c r="H111" s="8">
        <v>2.06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174</v>
      </c>
      <c r="C114" s="4">
        <v>89</v>
      </c>
      <c r="D114" s="8">
        <v>5.63</v>
      </c>
      <c r="E114" s="4">
        <v>83</v>
      </c>
      <c r="F114" s="8">
        <v>9.33</v>
      </c>
      <c r="G114" s="4">
        <v>6</v>
      </c>
      <c r="H114" s="8">
        <v>0.91</v>
      </c>
      <c r="I114" s="4">
        <v>0</v>
      </c>
    </row>
    <row r="115" spans="1:9" x14ac:dyDescent="0.2">
      <c r="A115" s="2">
        <v>2</v>
      </c>
      <c r="B115" s="1" t="s">
        <v>170</v>
      </c>
      <c r="C115" s="4">
        <v>73</v>
      </c>
      <c r="D115" s="8">
        <v>4.62</v>
      </c>
      <c r="E115" s="4">
        <v>62</v>
      </c>
      <c r="F115" s="8">
        <v>6.97</v>
      </c>
      <c r="G115" s="4">
        <v>11</v>
      </c>
      <c r="H115" s="8">
        <v>1.66</v>
      </c>
      <c r="I115" s="4">
        <v>0</v>
      </c>
    </row>
    <row r="116" spans="1:9" x14ac:dyDescent="0.2">
      <c r="A116" s="2">
        <v>2</v>
      </c>
      <c r="B116" s="1" t="s">
        <v>173</v>
      </c>
      <c r="C116" s="4">
        <v>73</v>
      </c>
      <c r="D116" s="8">
        <v>4.62</v>
      </c>
      <c r="E116" s="4">
        <v>70</v>
      </c>
      <c r="F116" s="8">
        <v>7.87</v>
      </c>
      <c r="G116" s="4">
        <v>3</v>
      </c>
      <c r="H116" s="8">
        <v>0.45</v>
      </c>
      <c r="I116" s="4">
        <v>0</v>
      </c>
    </row>
    <row r="117" spans="1:9" x14ac:dyDescent="0.2">
      <c r="A117" s="2">
        <v>4</v>
      </c>
      <c r="B117" s="1" t="s">
        <v>168</v>
      </c>
      <c r="C117" s="4">
        <v>57</v>
      </c>
      <c r="D117" s="8">
        <v>3.61</v>
      </c>
      <c r="E117" s="4">
        <v>26</v>
      </c>
      <c r="F117" s="8">
        <v>2.92</v>
      </c>
      <c r="G117" s="4">
        <v>31</v>
      </c>
      <c r="H117" s="8">
        <v>4.6900000000000004</v>
      </c>
      <c r="I117" s="4">
        <v>0</v>
      </c>
    </row>
    <row r="118" spans="1:9" x14ac:dyDescent="0.2">
      <c r="A118" s="2">
        <v>5</v>
      </c>
      <c r="B118" s="1" t="s">
        <v>166</v>
      </c>
      <c r="C118" s="4">
        <v>46</v>
      </c>
      <c r="D118" s="8">
        <v>2.91</v>
      </c>
      <c r="E118" s="4">
        <v>31</v>
      </c>
      <c r="F118" s="8">
        <v>3.48</v>
      </c>
      <c r="G118" s="4">
        <v>15</v>
      </c>
      <c r="H118" s="8">
        <v>2.27</v>
      </c>
      <c r="I118" s="4">
        <v>0</v>
      </c>
    </row>
    <row r="119" spans="1:9" x14ac:dyDescent="0.2">
      <c r="A119" s="2">
        <v>6</v>
      </c>
      <c r="B119" s="1" t="s">
        <v>175</v>
      </c>
      <c r="C119" s="4">
        <v>43</v>
      </c>
      <c r="D119" s="8">
        <v>2.72</v>
      </c>
      <c r="E119" s="4">
        <v>39</v>
      </c>
      <c r="F119" s="8">
        <v>4.38</v>
      </c>
      <c r="G119" s="4">
        <v>4</v>
      </c>
      <c r="H119" s="8">
        <v>0.61</v>
      </c>
      <c r="I119" s="4">
        <v>0</v>
      </c>
    </row>
    <row r="120" spans="1:9" x14ac:dyDescent="0.2">
      <c r="A120" s="2">
        <v>7</v>
      </c>
      <c r="B120" s="1" t="s">
        <v>176</v>
      </c>
      <c r="C120" s="4">
        <v>40</v>
      </c>
      <c r="D120" s="8">
        <v>2.5299999999999998</v>
      </c>
      <c r="E120" s="4">
        <v>37</v>
      </c>
      <c r="F120" s="8">
        <v>4.16</v>
      </c>
      <c r="G120" s="4">
        <v>3</v>
      </c>
      <c r="H120" s="8">
        <v>0.45</v>
      </c>
      <c r="I120" s="4">
        <v>0</v>
      </c>
    </row>
    <row r="121" spans="1:9" x14ac:dyDescent="0.2">
      <c r="A121" s="2">
        <v>8</v>
      </c>
      <c r="B121" s="1" t="s">
        <v>172</v>
      </c>
      <c r="C121" s="4">
        <v>35</v>
      </c>
      <c r="D121" s="8">
        <v>2.2200000000000002</v>
      </c>
      <c r="E121" s="4">
        <v>32</v>
      </c>
      <c r="F121" s="8">
        <v>3.6</v>
      </c>
      <c r="G121" s="4">
        <v>3</v>
      </c>
      <c r="H121" s="8">
        <v>0.45</v>
      </c>
      <c r="I121" s="4">
        <v>0</v>
      </c>
    </row>
    <row r="122" spans="1:9" x14ac:dyDescent="0.2">
      <c r="A122" s="2">
        <v>9</v>
      </c>
      <c r="B122" s="1" t="s">
        <v>171</v>
      </c>
      <c r="C122" s="4">
        <v>31</v>
      </c>
      <c r="D122" s="8">
        <v>1.96</v>
      </c>
      <c r="E122" s="4">
        <v>25</v>
      </c>
      <c r="F122" s="8">
        <v>2.81</v>
      </c>
      <c r="G122" s="4">
        <v>6</v>
      </c>
      <c r="H122" s="8">
        <v>0.91</v>
      </c>
      <c r="I122" s="4">
        <v>0</v>
      </c>
    </row>
    <row r="123" spans="1:9" x14ac:dyDescent="0.2">
      <c r="A123" s="2">
        <v>10</v>
      </c>
      <c r="B123" s="1" t="s">
        <v>158</v>
      </c>
      <c r="C123" s="4">
        <v>29</v>
      </c>
      <c r="D123" s="8">
        <v>1.84</v>
      </c>
      <c r="E123" s="4">
        <v>6</v>
      </c>
      <c r="F123" s="8">
        <v>0.67</v>
      </c>
      <c r="G123" s="4">
        <v>23</v>
      </c>
      <c r="H123" s="8">
        <v>3.48</v>
      </c>
      <c r="I123" s="4">
        <v>0</v>
      </c>
    </row>
    <row r="124" spans="1:9" x14ac:dyDescent="0.2">
      <c r="A124" s="2">
        <v>11</v>
      </c>
      <c r="B124" s="1" t="s">
        <v>165</v>
      </c>
      <c r="C124" s="4">
        <v>28</v>
      </c>
      <c r="D124" s="8">
        <v>1.77</v>
      </c>
      <c r="E124" s="4">
        <v>12</v>
      </c>
      <c r="F124" s="8">
        <v>1.35</v>
      </c>
      <c r="G124" s="4">
        <v>16</v>
      </c>
      <c r="H124" s="8">
        <v>2.42</v>
      </c>
      <c r="I124" s="4">
        <v>0</v>
      </c>
    </row>
    <row r="125" spans="1:9" x14ac:dyDescent="0.2">
      <c r="A125" s="2">
        <v>12</v>
      </c>
      <c r="B125" s="1" t="s">
        <v>159</v>
      </c>
      <c r="C125" s="4">
        <v>27</v>
      </c>
      <c r="D125" s="8">
        <v>1.71</v>
      </c>
      <c r="E125" s="4">
        <v>8</v>
      </c>
      <c r="F125" s="8">
        <v>0.9</v>
      </c>
      <c r="G125" s="4">
        <v>19</v>
      </c>
      <c r="H125" s="8">
        <v>2.87</v>
      </c>
      <c r="I125" s="4">
        <v>0</v>
      </c>
    </row>
    <row r="126" spans="1:9" x14ac:dyDescent="0.2">
      <c r="A126" s="2">
        <v>12</v>
      </c>
      <c r="B126" s="1" t="s">
        <v>164</v>
      </c>
      <c r="C126" s="4">
        <v>27</v>
      </c>
      <c r="D126" s="8">
        <v>1.71</v>
      </c>
      <c r="E126" s="4">
        <v>9</v>
      </c>
      <c r="F126" s="8">
        <v>1.01</v>
      </c>
      <c r="G126" s="4">
        <v>18</v>
      </c>
      <c r="H126" s="8">
        <v>2.72</v>
      </c>
      <c r="I126" s="4">
        <v>0</v>
      </c>
    </row>
    <row r="127" spans="1:9" x14ac:dyDescent="0.2">
      <c r="A127" s="2">
        <v>12</v>
      </c>
      <c r="B127" s="1" t="s">
        <v>186</v>
      </c>
      <c r="C127" s="4">
        <v>27</v>
      </c>
      <c r="D127" s="8">
        <v>1.71</v>
      </c>
      <c r="E127" s="4">
        <v>1</v>
      </c>
      <c r="F127" s="8">
        <v>0.11</v>
      </c>
      <c r="G127" s="4">
        <v>26</v>
      </c>
      <c r="H127" s="8">
        <v>3.93</v>
      </c>
      <c r="I127" s="4">
        <v>0</v>
      </c>
    </row>
    <row r="128" spans="1:9" x14ac:dyDescent="0.2">
      <c r="A128" s="2">
        <v>15</v>
      </c>
      <c r="B128" s="1" t="s">
        <v>160</v>
      </c>
      <c r="C128" s="4">
        <v>25</v>
      </c>
      <c r="D128" s="8">
        <v>1.58</v>
      </c>
      <c r="E128" s="4">
        <v>9</v>
      </c>
      <c r="F128" s="8">
        <v>1.01</v>
      </c>
      <c r="G128" s="4">
        <v>16</v>
      </c>
      <c r="H128" s="8">
        <v>2.42</v>
      </c>
      <c r="I128" s="4">
        <v>0</v>
      </c>
    </row>
    <row r="129" spans="1:9" x14ac:dyDescent="0.2">
      <c r="A129" s="2">
        <v>15</v>
      </c>
      <c r="B129" s="1" t="s">
        <v>163</v>
      </c>
      <c r="C129" s="4">
        <v>25</v>
      </c>
      <c r="D129" s="8">
        <v>1.58</v>
      </c>
      <c r="E129" s="4">
        <v>17</v>
      </c>
      <c r="F129" s="8">
        <v>1.91</v>
      </c>
      <c r="G129" s="4">
        <v>6</v>
      </c>
      <c r="H129" s="8">
        <v>0.91</v>
      </c>
      <c r="I129" s="4">
        <v>2</v>
      </c>
    </row>
    <row r="130" spans="1:9" x14ac:dyDescent="0.2">
      <c r="A130" s="2">
        <v>17</v>
      </c>
      <c r="B130" s="1" t="s">
        <v>167</v>
      </c>
      <c r="C130" s="4">
        <v>24</v>
      </c>
      <c r="D130" s="8">
        <v>1.52</v>
      </c>
      <c r="E130" s="4">
        <v>4</v>
      </c>
      <c r="F130" s="8">
        <v>0.45</v>
      </c>
      <c r="G130" s="4">
        <v>20</v>
      </c>
      <c r="H130" s="8">
        <v>3.03</v>
      </c>
      <c r="I130" s="4">
        <v>0</v>
      </c>
    </row>
    <row r="131" spans="1:9" x14ac:dyDescent="0.2">
      <c r="A131" s="2">
        <v>18</v>
      </c>
      <c r="B131" s="1" t="s">
        <v>161</v>
      </c>
      <c r="C131" s="4">
        <v>22</v>
      </c>
      <c r="D131" s="8">
        <v>1.39</v>
      </c>
      <c r="E131" s="4">
        <v>3</v>
      </c>
      <c r="F131" s="8">
        <v>0.34</v>
      </c>
      <c r="G131" s="4">
        <v>19</v>
      </c>
      <c r="H131" s="8">
        <v>2.87</v>
      </c>
      <c r="I131" s="4">
        <v>0</v>
      </c>
    </row>
    <row r="132" spans="1:9" x14ac:dyDescent="0.2">
      <c r="A132" s="2">
        <v>18</v>
      </c>
      <c r="B132" s="1" t="s">
        <v>178</v>
      </c>
      <c r="C132" s="4">
        <v>22</v>
      </c>
      <c r="D132" s="8">
        <v>1.39</v>
      </c>
      <c r="E132" s="4">
        <v>19</v>
      </c>
      <c r="F132" s="8">
        <v>2.13</v>
      </c>
      <c r="G132" s="4">
        <v>2</v>
      </c>
      <c r="H132" s="8">
        <v>0.3</v>
      </c>
      <c r="I132" s="4">
        <v>1</v>
      </c>
    </row>
    <row r="133" spans="1:9" x14ac:dyDescent="0.2">
      <c r="A133" s="2">
        <v>20</v>
      </c>
      <c r="B133" s="1" t="s">
        <v>162</v>
      </c>
      <c r="C133" s="4">
        <v>21</v>
      </c>
      <c r="D133" s="8">
        <v>1.33</v>
      </c>
      <c r="E133" s="4">
        <v>10</v>
      </c>
      <c r="F133" s="8">
        <v>1.1200000000000001</v>
      </c>
      <c r="G133" s="4">
        <v>11</v>
      </c>
      <c r="H133" s="8">
        <v>1.66</v>
      </c>
      <c r="I133" s="4">
        <v>0</v>
      </c>
    </row>
    <row r="134" spans="1:9" x14ac:dyDescent="0.2">
      <c r="A134" s="2">
        <v>20</v>
      </c>
      <c r="B134" s="1" t="s">
        <v>185</v>
      </c>
      <c r="C134" s="4">
        <v>21</v>
      </c>
      <c r="D134" s="8">
        <v>1.33</v>
      </c>
      <c r="E134" s="4">
        <v>11</v>
      </c>
      <c r="F134" s="8">
        <v>1.24</v>
      </c>
      <c r="G134" s="4">
        <v>10</v>
      </c>
      <c r="H134" s="8">
        <v>1.51</v>
      </c>
      <c r="I134" s="4">
        <v>0</v>
      </c>
    </row>
    <row r="135" spans="1:9" x14ac:dyDescent="0.2">
      <c r="A135" s="2">
        <v>20</v>
      </c>
      <c r="B135" s="1" t="s">
        <v>169</v>
      </c>
      <c r="C135" s="4">
        <v>21</v>
      </c>
      <c r="D135" s="8">
        <v>1.33</v>
      </c>
      <c r="E135" s="4">
        <v>7</v>
      </c>
      <c r="F135" s="8">
        <v>0.79</v>
      </c>
      <c r="G135" s="4">
        <v>14</v>
      </c>
      <c r="H135" s="8">
        <v>2.12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174</v>
      </c>
      <c r="C138" s="4">
        <v>108</v>
      </c>
      <c r="D138" s="8">
        <v>5.9</v>
      </c>
      <c r="E138" s="4">
        <v>87</v>
      </c>
      <c r="F138" s="8">
        <v>8.93</v>
      </c>
      <c r="G138" s="4">
        <v>21</v>
      </c>
      <c r="H138" s="8">
        <v>2.4900000000000002</v>
      </c>
      <c r="I138" s="4">
        <v>0</v>
      </c>
    </row>
    <row r="139" spans="1:9" x14ac:dyDescent="0.2">
      <c r="A139" s="2">
        <v>2</v>
      </c>
      <c r="B139" s="1" t="s">
        <v>173</v>
      </c>
      <c r="C139" s="4">
        <v>70</v>
      </c>
      <c r="D139" s="8">
        <v>3.83</v>
      </c>
      <c r="E139" s="4">
        <v>69</v>
      </c>
      <c r="F139" s="8">
        <v>7.08</v>
      </c>
      <c r="G139" s="4">
        <v>1</v>
      </c>
      <c r="H139" s="8">
        <v>0.12</v>
      </c>
      <c r="I139" s="4">
        <v>0</v>
      </c>
    </row>
    <row r="140" spans="1:9" x14ac:dyDescent="0.2">
      <c r="A140" s="2">
        <v>3</v>
      </c>
      <c r="B140" s="1" t="s">
        <v>176</v>
      </c>
      <c r="C140" s="4">
        <v>64</v>
      </c>
      <c r="D140" s="8">
        <v>3.5</v>
      </c>
      <c r="E140" s="4">
        <v>56</v>
      </c>
      <c r="F140" s="8">
        <v>5.75</v>
      </c>
      <c r="G140" s="4">
        <v>8</v>
      </c>
      <c r="H140" s="8">
        <v>0.95</v>
      </c>
      <c r="I140" s="4">
        <v>0</v>
      </c>
    </row>
    <row r="141" spans="1:9" x14ac:dyDescent="0.2">
      <c r="A141" s="2">
        <v>4</v>
      </c>
      <c r="B141" s="1" t="s">
        <v>175</v>
      </c>
      <c r="C141" s="4">
        <v>52</v>
      </c>
      <c r="D141" s="8">
        <v>2.84</v>
      </c>
      <c r="E141" s="4">
        <v>47</v>
      </c>
      <c r="F141" s="8">
        <v>4.83</v>
      </c>
      <c r="G141" s="4">
        <v>5</v>
      </c>
      <c r="H141" s="8">
        <v>0.59</v>
      </c>
      <c r="I141" s="4">
        <v>0</v>
      </c>
    </row>
    <row r="142" spans="1:9" x14ac:dyDescent="0.2">
      <c r="A142" s="2">
        <v>5</v>
      </c>
      <c r="B142" s="1" t="s">
        <v>172</v>
      </c>
      <c r="C142" s="4">
        <v>50</v>
      </c>
      <c r="D142" s="8">
        <v>2.73</v>
      </c>
      <c r="E142" s="4">
        <v>48</v>
      </c>
      <c r="F142" s="8">
        <v>4.93</v>
      </c>
      <c r="G142" s="4">
        <v>2</v>
      </c>
      <c r="H142" s="8">
        <v>0.24</v>
      </c>
      <c r="I142" s="4">
        <v>0</v>
      </c>
    </row>
    <row r="143" spans="1:9" x14ac:dyDescent="0.2">
      <c r="A143" s="2">
        <v>6</v>
      </c>
      <c r="B143" s="1" t="s">
        <v>168</v>
      </c>
      <c r="C143" s="4">
        <v>49</v>
      </c>
      <c r="D143" s="8">
        <v>2.68</v>
      </c>
      <c r="E143" s="4">
        <v>24</v>
      </c>
      <c r="F143" s="8">
        <v>2.46</v>
      </c>
      <c r="G143" s="4">
        <v>24</v>
      </c>
      <c r="H143" s="8">
        <v>2.85</v>
      </c>
      <c r="I143" s="4">
        <v>0</v>
      </c>
    </row>
    <row r="144" spans="1:9" x14ac:dyDescent="0.2">
      <c r="A144" s="2">
        <v>7</v>
      </c>
      <c r="B144" s="1" t="s">
        <v>170</v>
      </c>
      <c r="C144" s="4">
        <v>46</v>
      </c>
      <c r="D144" s="8">
        <v>2.5099999999999998</v>
      </c>
      <c r="E144" s="4">
        <v>33</v>
      </c>
      <c r="F144" s="8">
        <v>3.39</v>
      </c>
      <c r="G144" s="4">
        <v>13</v>
      </c>
      <c r="H144" s="8">
        <v>1.54</v>
      </c>
      <c r="I144" s="4">
        <v>0</v>
      </c>
    </row>
    <row r="145" spans="1:9" x14ac:dyDescent="0.2">
      <c r="A145" s="2">
        <v>8</v>
      </c>
      <c r="B145" s="1" t="s">
        <v>177</v>
      </c>
      <c r="C145" s="4">
        <v>40</v>
      </c>
      <c r="D145" s="8">
        <v>2.19</v>
      </c>
      <c r="E145" s="4">
        <v>29</v>
      </c>
      <c r="F145" s="8">
        <v>2.98</v>
      </c>
      <c r="G145" s="4">
        <v>11</v>
      </c>
      <c r="H145" s="8">
        <v>1.3</v>
      </c>
      <c r="I145" s="4">
        <v>0</v>
      </c>
    </row>
    <row r="146" spans="1:9" x14ac:dyDescent="0.2">
      <c r="A146" s="2">
        <v>9</v>
      </c>
      <c r="B146" s="1" t="s">
        <v>171</v>
      </c>
      <c r="C146" s="4">
        <v>38</v>
      </c>
      <c r="D146" s="8">
        <v>2.08</v>
      </c>
      <c r="E146" s="4">
        <v>31</v>
      </c>
      <c r="F146" s="8">
        <v>3.18</v>
      </c>
      <c r="G146" s="4">
        <v>7</v>
      </c>
      <c r="H146" s="8">
        <v>0.83</v>
      </c>
      <c r="I146" s="4">
        <v>0</v>
      </c>
    </row>
    <row r="147" spans="1:9" x14ac:dyDescent="0.2">
      <c r="A147" s="2">
        <v>10</v>
      </c>
      <c r="B147" s="1" t="s">
        <v>166</v>
      </c>
      <c r="C147" s="4">
        <v>37</v>
      </c>
      <c r="D147" s="8">
        <v>2.02</v>
      </c>
      <c r="E147" s="4">
        <v>25</v>
      </c>
      <c r="F147" s="8">
        <v>2.57</v>
      </c>
      <c r="G147" s="4">
        <v>12</v>
      </c>
      <c r="H147" s="8">
        <v>1.42</v>
      </c>
      <c r="I147" s="4">
        <v>0</v>
      </c>
    </row>
    <row r="148" spans="1:9" x14ac:dyDescent="0.2">
      <c r="A148" s="2">
        <v>11</v>
      </c>
      <c r="B148" s="1" t="s">
        <v>160</v>
      </c>
      <c r="C148" s="4">
        <v>36</v>
      </c>
      <c r="D148" s="8">
        <v>1.97</v>
      </c>
      <c r="E148" s="4">
        <v>22</v>
      </c>
      <c r="F148" s="8">
        <v>2.2599999999999998</v>
      </c>
      <c r="G148" s="4">
        <v>14</v>
      </c>
      <c r="H148" s="8">
        <v>1.66</v>
      </c>
      <c r="I148" s="4">
        <v>0</v>
      </c>
    </row>
    <row r="149" spans="1:9" x14ac:dyDescent="0.2">
      <c r="A149" s="2">
        <v>12</v>
      </c>
      <c r="B149" s="1" t="s">
        <v>158</v>
      </c>
      <c r="C149" s="4">
        <v>35</v>
      </c>
      <c r="D149" s="8">
        <v>1.91</v>
      </c>
      <c r="E149" s="4">
        <v>9</v>
      </c>
      <c r="F149" s="8">
        <v>0.92</v>
      </c>
      <c r="G149" s="4">
        <v>26</v>
      </c>
      <c r="H149" s="8">
        <v>3.08</v>
      </c>
      <c r="I149" s="4">
        <v>0</v>
      </c>
    </row>
    <row r="150" spans="1:9" x14ac:dyDescent="0.2">
      <c r="A150" s="2">
        <v>13</v>
      </c>
      <c r="B150" s="1" t="s">
        <v>164</v>
      </c>
      <c r="C150" s="4">
        <v>32</v>
      </c>
      <c r="D150" s="8">
        <v>1.75</v>
      </c>
      <c r="E150" s="4">
        <v>17</v>
      </c>
      <c r="F150" s="8">
        <v>1.75</v>
      </c>
      <c r="G150" s="4">
        <v>15</v>
      </c>
      <c r="H150" s="8">
        <v>1.78</v>
      </c>
      <c r="I150" s="4">
        <v>0</v>
      </c>
    </row>
    <row r="151" spans="1:9" x14ac:dyDescent="0.2">
      <c r="A151" s="2">
        <v>14</v>
      </c>
      <c r="B151" s="1" t="s">
        <v>163</v>
      </c>
      <c r="C151" s="4">
        <v>29</v>
      </c>
      <c r="D151" s="8">
        <v>1.58</v>
      </c>
      <c r="E151" s="4">
        <v>21</v>
      </c>
      <c r="F151" s="8">
        <v>2.16</v>
      </c>
      <c r="G151" s="4">
        <v>8</v>
      </c>
      <c r="H151" s="8">
        <v>0.95</v>
      </c>
      <c r="I151" s="4">
        <v>0</v>
      </c>
    </row>
    <row r="152" spans="1:9" x14ac:dyDescent="0.2">
      <c r="A152" s="2">
        <v>15</v>
      </c>
      <c r="B152" s="1" t="s">
        <v>162</v>
      </c>
      <c r="C152" s="4">
        <v>26</v>
      </c>
      <c r="D152" s="8">
        <v>1.42</v>
      </c>
      <c r="E152" s="4">
        <v>7</v>
      </c>
      <c r="F152" s="8">
        <v>0.72</v>
      </c>
      <c r="G152" s="4">
        <v>19</v>
      </c>
      <c r="H152" s="8">
        <v>2.25</v>
      </c>
      <c r="I152" s="4">
        <v>0</v>
      </c>
    </row>
    <row r="153" spans="1:9" x14ac:dyDescent="0.2">
      <c r="A153" s="2">
        <v>16</v>
      </c>
      <c r="B153" s="1" t="s">
        <v>165</v>
      </c>
      <c r="C153" s="4">
        <v>25</v>
      </c>
      <c r="D153" s="8">
        <v>1.37</v>
      </c>
      <c r="E153" s="4">
        <v>9</v>
      </c>
      <c r="F153" s="8">
        <v>0.92</v>
      </c>
      <c r="G153" s="4">
        <v>16</v>
      </c>
      <c r="H153" s="8">
        <v>1.9</v>
      </c>
      <c r="I153" s="4">
        <v>0</v>
      </c>
    </row>
    <row r="154" spans="1:9" x14ac:dyDescent="0.2">
      <c r="A154" s="2">
        <v>17</v>
      </c>
      <c r="B154" s="1" t="s">
        <v>187</v>
      </c>
      <c r="C154" s="4">
        <v>24</v>
      </c>
      <c r="D154" s="8">
        <v>1.31</v>
      </c>
      <c r="E154" s="4">
        <v>11</v>
      </c>
      <c r="F154" s="8">
        <v>1.1299999999999999</v>
      </c>
      <c r="G154" s="4">
        <v>13</v>
      </c>
      <c r="H154" s="8">
        <v>1.54</v>
      </c>
      <c r="I154" s="4">
        <v>0</v>
      </c>
    </row>
    <row r="155" spans="1:9" x14ac:dyDescent="0.2">
      <c r="A155" s="2">
        <v>17</v>
      </c>
      <c r="B155" s="1" t="s">
        <v>178</v>
      </c>
      <c r="C155" s="4">
        <v>24</v>
      </c>
      <c r="D155" s="8">
        <v>1.31</v>
      </c>
      <c r="E155" s="4">
        <v>19</v>
      </c>
      <c r="F155" s="8">
        <v>1.95</v>
      </c>
      <c r="G155" s="4">
        <v>5</v>
      </c>
      <c r="H155" s="8">
        <v>0.59</v>
      </c>
      <c r="I155" s="4">
        <v>0</v>
      </c>
    </row>
    <row r="156" spans="1:9" x14ac:dyDescent="0.2">
      <c r="A156" s="2">
        <v>17</v>
      </c>
      <c r="B156" s="1" t="s">
        <v>184</v>
      </c>
      <c r="C156" s="4">
        <v>24</v>
      </c>
      <c r="D156" s="8">
        <v>1.31</v>
      </c>
      <c r="E156" s="4">
        <v>20</v>
      </c>
      <c r="F156" s="8">
        <v>2.0499999999999998</v>
      </c>
      <c r="G156" s="4">
        <v>4</v>
      </c>
      <c r="H156" s="8">
        <v>0.47</v>
      </c>
      <c r="I156" s="4">
        <v>0</v>
      </c>
    </row>
    <row r="157" spans="1:9" x14ac:dyDescent="0.2">
      <c r="A157" s="2">
        <v>20</v>
      </c>
      <c r="B157" s="1" t="s">
        <v>188</v>
      </c>
      <c r="C157" s="4">
        <v>23</v>
      </c>
      <c r="D157" s="8">
        <v>1.26</v>
      </c>
      <c r="E157" s="4">
        <v>5</v>
      </c>
      <c r="F157" s="8">
        <v>0.51</v>
      </c>
      <c r="G157" s="4">
        <v>18</v>
      </c>
      <c r="H157" s="8">
        <v>2.14</v>
      </c>
      <c r="I157" s="4">
        <v>0</v>
      </c>
    </row>
    <row r="158" spans="1:9" x14ac:dyDescent="0.2">
      <c r="A158" s="2">
        <v>20</v>
      </c>
      <c r="B158" s="1" t="s">
        <v>189</v>
      </c>
      <c r="C158" s="4">
        <v>23</v>
      </c>
      <c r="D158" s="8">
        <v>1.26</v>
      </c>
      <c r="E158" s="4">
        <v>6</v>
      </c>
      <c r="F158" s="8">
        <v>0.62</v>
      </c>
      <c r="G158" s="4">
        <v>17</v>
      </c>
      <c r="H158" s="8">
        <v>2.02</v>
      </c>
      <c r="I158" s="4">
        <v>0</v>
      </c>
    </row>
    <row r="159" spans="1:9" x14ac:dyDescent="0.2">
      <c r="A159" s="1"/>
      <c r="C159" s="4"/>
      <c r="D159" s="8"/>
      <c r="E159" s="4"/>
      <c r="F159" s="8"/>
      <c r="G159" s="4"/>
      <c r="H159" s="8"/>
      <c r="I159" s="4"/>
    </row>
    <row r="160" spans="1:9" x14ac:dyDescent="0.2">
      <c r="A160" s="1" t="s">
        <v>7</v>
      </c>
      <c r="C160" s="4"/>
      <c r="D160" s="8"/>
      <c r="E160" s="4"/>
      <c r="F160" s="8"/>
      <c r="G160" s="4"/>
      <c r="H160" s="8"/>
      <c r="I160" s="4"/>
    </row>
    <row r="161" spans="1:9" x14ac:dyDescent="0.2">
      <c r="A161" s="2">
        <v>1</v>
      </c>
      <c r="B161" s="1" t="s">
        <v>174</v>
      </c>
      <c r="C161" s="4">
        <v>82</v>
      </c>
      <c r="D161" s="8">
        <v>6.11</v>
      </c>
      <c r="E161" s="4">
        <v>79</v>
      </c>
      <c r="F161" s="8">
        <v>9.14</v>
      </c>
      <c r="G161" s="4">
        <v>3</v>
      </c>
      <c r="H161" s="8">
        <v>0.65</v>
      </c>
      <c r="I161" s="4">
        <v>0</v>
      </c>
    </row>
    <row r="162" spans="1:9" x14ac:dyDescent="0.2">
      <c r="A162" s="2">
        <v>2</v>
      </c>
      <c r="B162" s="1" t="s">
        <v>173</v>
      </c>
      <c r="C162" s="4">
        <v>77</v>
      </c>
      <c r="D162" s="8">
        <v>5.73</v>
      </c>
      <c r="E162" s="4">
        <v>77</v>
      </c>
      <c r="F162" s="8">
        <v>8.91</v>
      </c>
      <c r="G162" s="4">
        <v>0</v>
      </c>
      <c r="H162" s="8">
        <v>0</v>
      </c>
      <c r="I162" s="4">
        <v>0</v>
      </c>
    </row>
    <row r="163" spans="1:9" x14ac:dyDescent="0.2">
      <c r="A163" s="2">
        <v>3</v>
      </c>
      <c r="B163" s="1" t="s">
        <v>170</v>
      </c>
      <c r="C163" s="4">
        <v>42</v>
      </c>
      <c r="D163" s="8">
        <v>3.13</v>
      </c>
      <c r="E163" s="4">
        <v>35</v>
      </c>
      <c r="F163" s="8">
        <v>4.05</v>
      </c>
      <c r="G163" s="4">
        <v>7</v>
      </c>
      <c r="H163" s="8">
        <v>1.52</v>
      </c>
      <c r="I163" s="4">
        <v>0</v>
      </c>
    </row>
    <row r="164" spans="1:9" x14ac:dyDescent="0.2">
      <c r="A164" s="2">
        <v>4</v>
      </c>
      <c r="B164" s="1" t="s">
        <v>168</v>
      </c>
      <c r="C164" s="4">
        <v>41</v>
      </c>
      <c r="D164" s="8">
        <v>3.05</v>
      </c>
      <c r="E164" s="4">
        <v>30</v>
      </c>
      <c r="F164" s="8">
        <v>3.47</v>
      </c>
      <c r="G164" s="4">
        <v>11</v>
      </c>
      <c r="H164" s="8">
        <v>2.38</v>
      </c>
      <c r="I164" s="4">
        <v>0</v>
      </c>
    </row>
    <row r="165" spans="1:9" x14ac:dyDescent="0.2">
      <c r="A165" s="2">
        <v>5</v>
      </c>
      <c r="B165" s="1" t="s">
        <v>160</v>
      </c>
      <c r="C165" s="4">
        <v>39</v>
      </c>
      <c r="D165" s="8">
        <v>2.9</v>
      </c>
      <c r="E165" s="4">
        <v>32</v>
      </c>
      <c r="F165" s="8">
        <v>3.7</v>
      </c>
      <c r="G165" s="4">
        <v>7</v>
      </c>
      <c r="H165" s="8">
        <v>1.52</v>
      </c>
      <c r="I165" s="4">
        <v>0</v>
      </c>
    </row>
    <row r="166" spans="1:9" x14ac:dyDescent="0.2">
      <c r="A166" s="2">
        <v>6</v>
      </c>
      <c r="B166" s="1" t="s">
        <v>191</v>
      </c>
      <c r="C166" s="4">
        <v>36</v>
      </c>
      <c r="D166" s="8">
        <v>2.68</v>
      </c>
      <c r="E166" s="4">
        <v>28</v>
      </c>
      <c r="F166" s="8">
        <v>3.24</v>
      </c>
      <c r="G166" s="4">
        <v>8</v>
      </c>
      <c r="H166" s="8">
        <v>1.73</v>
      </c>
      <c r="I166" s="4">
        <v>0</v>
      </c>
    </row>
    <row r="167" spans="1:9" x14ac:dyDescent="0.2">
      <c r="A167" s="2">
        <v>7</v>
      </c>
      <c r="B167" s="1" t="s">
        <v>172</v>
      </c>
      <c r="C167" s="4">
        <v>31</v>
      </c>
      <c r="D167" s="8">
        <v>2.31</v>
      </c>
      <c r="E167" s="4">
        <v>30</v>
      </c>
      <c r="F167" s="8">
        <v>3.47</v>
      </c>
      <c r="G167" s="4">
        <v>1</v>
      </c>
      <c r="H167" s="8">
        <v>0.22</v>
      </c>
      <c r="I167" s="4">
        <v>0</v>
      </c>
    </row>
    <row r="168" spans="1:9" x14ac:dyDescent="0.2">
      <c r="A168" s="2">
        <v>8</v>
      </c>
      <c r="B168" s="1" t="s">
        <v>163</v>
      </c>
      <c r="C168" s="4">
        <v>29</v>
      </c>
      <c r="D168" s="8">
        <v>2.16</v>
      </c>
      <c r="E168" s="4">
        <v>22</v>
      </c>
      <c r="F168" s="8">
        <v>2.5499999999999998</v>
      </c>
      <c r="G168" s="4">
        <v>7</v>
      </c>
      <c r="H168" s="8">
        <v>1.52</v>
      </c>
      <c r="I168" s="4">
        <v>0</v>
      </c>
    </row>
    <row r="169" spans="1:9" x14ac:dyDescent="0.2">
      <c r="A169" s="2">
        <v>8</v>
      </c>
      <c r="B169" s="1" t="s">
        <v>164</v>
      </c>
      <c r="C169" s="4">
        <v>29</v>
      </c>
      <c r="D169" s="8">
        <v>2.16</v>
      </c>
      <c r="E169" s="4">
        <v>23</v>
      </c>
      <c r="F169" s="8">
        <v>2.66</v>
      </c>
      <c r="G169" s="4">
        <v>6</v>
      </c>
      <c r="H169" s="8">
        <v>1.3</v>
      </c>
      <c r="I169" s="4">
        <v>0</v>
      </c>
    </row>
    <row r="170" spans="1:9" x14ac:dyDescent="0.2">
      <c r="A170" s="2">
        <v>10</v>
      </c>
      <c r="B170" s="1" t="s">
        <v>166</v>
      </c>
      <c r="C170" s="4">
        <v>27</v>
      </c>
      <c r="D170" s="8">
        <v>2.0099999999999998</v>
      </c>
      <c r="E170" s="4">
        <v>23</v>
      </c>
      <c r="F170" s="8">
        <v>2.66</v>
      </c>
      <c r="G170" s="4">
        <v>4</v>
      </c>
      <c r="H170" s="8">
        <v>0.87</v>
      </c>
      <c r="I170" s="4">
        <v>0</v>
      </c>
    </row>
    <row r="171" spans="1:9" x14ac:dyDescent="0.2">
      <c r="A171" s="2">
        <v>11</v>
      </c>
      <c r="B171" s="1" t="s">
        <v>185</v>
      </c>
      <c r="C171" s="4">
        <v>25</v>
      </c>
      <c r="D171" s="8">
        <v>1.86</v>
      </c>
      <c r="E171" s="4">
        <v>9</v>
      </c>
      <c r="F171" s="8">
        <v>1.04</v>
      </c>
      <c r="G171" s="4">
        <v>16</v>
      </c>
      <c r="H171" s="8">
        <v>3.46</v>
      </c>
      <c r="I171" s="4">
        <v>0</v>
      </c>
    </row>
    <row r="172" spans="1:9" x14ac:dyDescent="0.2">
      <c r="A172" s="2">
        <v>12</v>
      </c>
      <c r="B172" s="1" t="s">
        <v>161</v>
      </c>
      <c r="C172" s="4">
        <v>24</v>
      </c>
      <c r="D172" s="8">
        <v>1.79</v>
      </c>
      <c r="E172" s="4">
        <v>11</v>
      </c>
      <c r="F172" s="8">
        <v>1.27</v>
      </c>
      <c r="G172" s="4">
        <v>13</v>
      </c>
      <c r="H172" s="8">
        <v>2.81</v>
      </c>
      <c r="I172" s="4">
        <v>0</v>
      </c>
    </row>
    <row r="173" spans="1:9" x14ac:dyDescent="0.2">
      <c r="A173" s="2">
        <v>12</v>
      </c>
      <c r="B173" s="1" t="s">
        <v>175</v>
      </c>
      <c r="C173" s="4">
        <v>24</v>
      </c>
      <c r="D173" s="8">
        <v>1.79</v>
      </c>
      <c r="E173" s="4">
        <v>15</v>
      </c>
      <c r="F173" s="8">
        <v>1.74</v>
      </c>
      <c r="G173" s="4">
        <v>9</v>
      </c>
      <c r="H173" s="8">
        <v>1.95</v>
      </c>
      <c r="I173" s="4">
        <v>0</v>
      </c>
    </row>
    <row r="174" spans="1:9" x14ac:dyDescent="0.2">
      <c r="A174" s="2">
        <v>14</v>
      </c>
      <c r="B174" s="1" t="s">
        <v>158</v>
      </c>
      <c r="C174" s="4">
        <v>23</v>
      </c>
      <c r="D174" s="8">
        <v>1.71</v>
      </c>
      <c r="E174" s="4">
        <v>5</v>
      </c>
      <c r="F174" s="8">
        <v>0.57999999999999996</v>
      </c>
      <c r="G174" s="4">
        <v>18</v>
      </c>
      <c r="H174" s="8">
        <v>3.9</v>
      </c>
      <c r="I174" s="4">
        <v>0</v>
      </c>
    </row>
    <row r="175" spans="1:9" x14ac:dyDescent="0.2">
      <c r="A175" s="2">
        <v>14</v>
      </c>
      <c r="B175" s="1" t="s">
        <v>190</v>
      </c>
      <c r="C175" s="4">
        <v>23</v>
      </c>
      <c r="D175" s="8">
        <v>1.71</v>
      </c>
      <c r="E175" s="4">
        <v>13</v>
      </c>
      <c r="F175" s="8">
        <v>1.5</v>
      </c>
      <c r="G175" s="4">
        <v>10</v>
      </c>
      <c r="H175" s="8">
        <v>2.16</v>
      </c>
      <c r="I175" s="4">
        <v>0</v>
      </c>
    </row>
    <row r="176" spans="1:9" x14ac:dyDescent="0.2">
      <c r="A176" s="2">
        <v>16</v>
      </c>
      <c r="B176" s="1" t="s">
        <v>181</v>
      </c>
      <c r="C176" s="4">
        <v>22</v>
      </c>
      <c r="D176" s="8">
        <v>1.64</v>
      </c>
      <c r="E176" s="4">
        <v>22</v>
      </c>
      <c r="F176" s="8">
        <v>2.5499999999999998</v>
      </c>
      <c r="G176" s="4">
        <v>0</v>
      </c>
      <c r="H176" s="8">
        <v>0</v>
      </c>
      <c r="I176" s="4">
        <v>0</v>
      </c>
    </row>
    <row r="177" spans="1:9" x14ac:dyDescent="0.2">
      <c r="A177" s="2">
        <v>17</v>
      </c>
      <c r="B177" s="1" t="s">
        <v>178</v>
      </c>
      <c r="C177" s="4">
        <v>21</v>
      </c>
      <c r="D177" s="8">
        <v>1.56</v>
      </c>
      <c r="E177" s="4">
        <v>19</v>
      </c>
      <c r="F177" s="8">
        <v>2.2000000000000002</v>
      </c>
      <c r="G177" s="4">
        <v>2</v>
      </c>
      <c r="H177" s="8">
        <v>0.43</v>
      </c>
      <c r="I177" s="4">
        <v>0</v>
      </c>
    </row>
    <row r="178" spans="1:9" x14ac:dyDescent="0.2">
      <c r="A178" s="2">
        <v>17</v>
      </c>
      <c r="B178" s="1" t="s">
        <v>171</v>
      </c>
      <c r="C178" s="4">
        <v>21</v>
      </c>
      <c r="D178" s="8">
        <v>1.56</v>
      </c>
      <c r="E178" s="4">
        <v>19</v>
      </c>
      <c r="F178" s="8">
        <v>2.2000000000000002</v>
      </c>
      <c r="G178" s="4">
        <v>2</v>
      </c>
      <c r="H178" s="8">
        <v>0.43</v>
      </c>
      <c r="I178" s="4">
        <v>0</v>
      </c>
    </row>
    <row r="179" spans="1:9" x14ac:dyDescent="0.2">
      <c r="A179" s="2">
        <v>19</v>
      </c>
      <c r="B179" s="1" t="s">
        <v>186</v>
      </c>
      <c r="C179" s="4">
        <v>20</v>
      </c>
      <c r="D179" s="8">
        <v>1.49</v>
      </c>
      <c r="E179" s="4">
        <v>3</v>
      </c>
      <c r="F179" s="8">
        <v>0.35</v>
      </c>
      <c r="G179" s="4">
        <v>15</v>
      </c>
      <c r="H179" s="8">
        <v>3.25</v>
      </c>
      <c r="I179" s="4">
        <v>0</v>
      </c>
    </row>
    <row r="180" spans="1:9" x14ac:dyDescent="0.2">
      <c r="A180" s="2">
        <v>19</v>
      </c>
      <c r="B180" s="1" t="s">
        <v>177</v>
      </c>
      <c r="C180" s="4">
        <v>20</v>
      </c>
      <c r="D180" s="8">
        <v>1.49</v>
      </c>
      <c r="E180" s="4">
        <v>16</v>
      </c>
      <c r="F180" s="8">
        <v>1.85</v>
      </c>
      <c r="G180" s="4">
        <v>4</v>
      </c>
      <c r="H180" s="8">
        <v>0.87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174</v>
      </c>
      <c r="C183" s="4">
        <v>66</v>
      </c>
      <c r="D183" s="8">
        <v>6.8</v>
      </c>
      <c r="E183" s="4">
        <v>65</v>
      </c>
      <c r="F183" s="8">
        <v>11.46</v>
      </c>
      <c r="G183" s="4">
        <v>1</v>
      </c>
      <c r="H183" s="8">
        <v>0.26</v>
      </c>
      <c r="I183" s="4">
        <v>0</v>
      </c>
    </row>
    <row r="184" spans="1:9" x14ac:dyDescent="0.2">
      <c r="A184" s="2">
        <v>2</v>
      </c>
      <c r="B184" s="1" t="s">
        <v>168</v>
      </c>
      <c r="C184" s="4">
        <v>45</v>
      </c>
      <c r="D184" s="8">
        <v>4.6399999999999997</v>
      </c>
      <c r="E184" s="4">
        <v>35</v>
      </c>
      <c r="F184" s="8">
        <v>6.17</v>
      </c>
      <c r="G184" s="4">
        <v>10</v>
      </c>
      <c r="H184" s="8">
        <v>2.58</v>
      </c>
      <c r="I184" s="4">
        <v>0</v>
      </c>
    </row>
    <row r="185" spans="1:9" x14ac:dyDescent="0.2">
      <c r="A185" s="2">
        <v>3</v>
      </c>
      <c r="B185" s="1" t="s">
        <v>173</v>
      </c>
      <c r="C185" s="4">
        <v>37</v>
      </c>
      <c r="D185" s="8">
        <v>3.81</v>
      </c>
      <c r="E185" s="4">
        <v>37</v>
      </c>
      <c r="F185" s="8">
        <v>6.53</v>
      </c>
      <c r="G185" s="4">
        <v>0</v>
      </c>
      <c r="H185" s="8">
        <v>0</v>
      </c>
      <c r="I185" s="4">
        <v>0</v>
      </c>
    </row>
    <row r="186" spans="1:9" x14ac:dyDescent="0.2">
      <c r="A186" s="2">
        <v>4</v>
      </c>
      <c r="B186" s="1" t="s">
        <v>171</v>
      </c>
      <c r="C186" s="4">
        <v>32</v>
      </c>
      <c r="D186" s="8">
        <v>3.3</v>
      </c>
      <c r="E186" s="4">
        <v>29</v>
      </c>
      <c r="F186" s="8">
        <v>5.1100000000000003</v>
      </c>
      <c r="G186" s="4">
        <v>3</v>
      </c>
      <c r="H186" s="8">
        <v>0.78</v>
      </c>
      <c r="I186" s="4">
        <v>0</v>
      </c>
    </row>
    <row r="187" spans="1:9" x14ac:dyDescent="0.2">
      <c r="A187" s="2">
        <v>5</v>
      </c>
      <c r="B187" s="1" t="s">
        <v>172</v>
      </c>
      <c r="C187" s="4">
        <v>31</v>
      </c>
      <c r="D187" s="8">
        <v>3.2</v>
      </c>
      <c r="E187" s="4">
        <v>30</v>
      </c>
      <c r="F187" s="8">
        <v>5.29</v>
      </c>
      <c r="G187" s="4">
        <v>1</v>
      </c>
      <c r="H187" s="8">
        <v>0.26</v>
      </c>
      <c r="I187" s="4">
        <v>0</v>
      </c>
    </row>
    <row r="188" spans="1:9" x14ac:dyDescent="0.2">
      <c r="A188" s="2">
        <v>6</v>
      </c>
      <c r="B188" s="1" t="s">
        <v>170</v>
      </c>
      <c r="C188" s="4">
        <v>29</v>
      </c>
      <c r="D188" s="8">
        <v>2.99</v>
      </c>
      <c r="E188" s="4">
        <v>23</v>
      </c>
      <c r="F188" s="8">
        <v>4.0599999999999996</v>
      </c>
      <c r="G188" s="4">
        <v>6</v>
      </c>
      <c r="H188" s="8">
        <v>1.55</v>
      </c>
      <c r="I188" s="4">
        <v>0</v>
      </c>
    </row>
    <row r="189" spans="1:9" x14ac:dyDescent="0.2">
      <c r="A189" s="2">
        <v>7</v>
      </c>
      <c r="B189" s="1" t="s">
        <v>166</v>
      </c>
      <c r="C189" s="4">
        <v>28</v>
      </c>
      <c r="D189" s="8">
        <v>2.89</v>
      </c>
      <c r="E189" s="4">
        <v>16</v>
      </c>
      <c r="F189" s="8">
        <v>2.82</v>
      </c>
      <c r="G189" s="4">
        <v>12</v>
      </c>
      <c r="H189" s="8">
        <v>3.1</v>
      </c>
      <c r="I189" s="4">
        <v>0</v>
      </c>
    </row>
    <row r="190" spans="1:9" x14ac:dyDescent="0.2">
      <c r="A190" s="2">
        <v>8</v>
      </c>
      <c r="B190" s="1" t="s">
        <v>161</v>
      </c>
      <c r="C190" s="4">
        <v>22</v>
      </c>
      <c r="D190" s="8">
        <v>2.27</v>
      </c>
      <c r="E190" s="4">
        <v>11</v>
      </c>
      <c r="F190" s="8">
        <v>1.94</v>
      </c>
      <c r="G190" s="4">
        <v>11</v>
      </c>
      <c r="H190" s="8">
        <v>2.84</v>
      </c>
      <c r="I190" s="4">
        <v>0</v>
      </c>
    </row>
    <row r="191" spans="1:9" x14ac:dyDescent="0.2">
      <c r="A191" s="2">
        <v>8</v>
      </c>
      <c r="B191" s="1" t="s">
        <v>165</v>
      </c>
      <c r="C191" s="4">
        <v>22</v>
      </c>
      <c r="D191" s="8">
        <v>2.27</v>
      </c>
      <c r="E191" s="4">
        <v>9</v>
      </c>
      <c r="F191" s="8">
        <v>1.59</v>
      </c>
      <c r="G191" s="4">
        <v>13</v>
      </c>
      <c r="H191" s="8">
        <v>3.36</v>
      </c>
      <c r="I191" s="4">
        <v>0</v>
      </c>
    </row>
    <row r="192" spans="1:9" x14ac:dyDescent="0.2">
      <c r="A192" s="2">
        <v>10</v>
      </c>
      <c r="B192" s="1" t="s">
        <v>158</v>
      </c>
      <c r="C192" s="4">
        <v>21</v>
      </c>
      <c r="D192" s="8">
        <v>2.16</v>
      </c>
      <c r="E192" s="4">
        <v>3</v>
      </c>
      <c r="F192" s="8">
        <v>0.53</v>
      </c>
      <c r="G192" s="4">
        <v>18</v>
      </c>
      <c r="H192" s="8">
        <v>4.6500000000000004</v>
      </c>
      <c r="I192" s="4">
        <v>0</v>
      </c>
    </row>
    <row r="193" spans="1:9" x14ac:dyDescent="0.2">
      <c r="A193" s="2">
        <v>10</v>
      </c>
      <c r="B193" s="1" t="s">
        <v>160</v>
      </c>
      <c r="C193" s="4">
        <v>21</v>
      </c>
      <c r="D193" s="8">
        <v>2.16</v>
      </c>
      <c r="E193" s="4">
        <v>14</v>
      </c>
      <c r="F193" s="8">
        <v>2.4700000000000002</v>
      </c>
      <c r="G193" s="4">
        <v>7</v>
      </c>
      <c r="H193" s="8">
        <v>1.81</v>
      </c>
      <c r="I193" s="4">
        <v>0</v>
      </c>
    </row>
    <row r="194" spans="1:9" x14ac:dyDescent="0.2">
      <c r="A194" s="2">
        <v>12</v>
      </c>
      <c r="B194" s="1" t="s">
        <v>177</v>
      </c>
      <c r="C194" s="4">
        <v>19</v>
      </c>
      <c r="D194" s="8">
        <v>1.96</v>
      </c>
      <c r="E194" s="4">
        <v>17</v>
      </c>
      <c r="F194" s="8">
        <v>3</v>
      </c>
      <c r="G194" s="4">
        <v>2</v>
      </c>
      <c r="H194" s="8">
        <v>0.52</v>
      </c>
      <c r="I194" s="4">
        <v>0</v>
      </c>
    </row>
    <row r="195" spans="1:9" x14ac:dyDescent="0.2">
      <c r="A195" s="2">
        <v>13</v>
      </c>
      <c r="B195" s="1" t="s">
        <v>163</v>
      </c>
      <c r="C195" s="4">
        <v>18</v>
      </c>
      <c r="D195" s="8">
        <v>1.86</v>
      </c>
      <c r="E195" s="4">
        <v>6</v>
      </c>
      <c r="F195" s="8">
        <v>1.06</v>
      </c>
      <c r="G195" s="4">
        <v>12</v>
      </c>
      <c r="H195" s="8">
        <v>3.1</v>
      </c>
      <c r="I195" s="4">
        <v>0</v>
      </c>
    </row>
    <row r="196" spans="1:9" x14ac:dyDescent="0.2">
      <c r="A196" s="2">
        <v>14</v>
      </c>
      <c r="B196" s="1" t="s">
        <v>190</v>
      </c>
      <c r="C196" s="4">
        <v>15</v>
      </c>
      <c r="D196" s="8">
        <v>1.55</v>
      </c>
      <c r="E196" s="4">
        <v>8</v>
      </c>
      <c r="F196" s="8">
        <v>1.41</v>
      </c>
      <c r="G196" s="4">
        <v>7</v>
      </c>
      <c r="H196" s="8">
        <v>1.81</v>
      </c>
      <c r="I196" s="4">
        <v>0</v>
      </c>
    </row>
    <row r="197" spans="1:9" x14ac:dyDescent="0.2">
      <c r="A197" s="2">
        <v>14</v>
      </c>
      <c r="B197" s="1" t="s">
        <v>175</v>
      </c>
      <c r="C197" s="4">
        <v>15</v>
      </c>
      <c r="D197" s="8">
        <v>1.55</v>
      </c>
      <c r="E197" s="4">
        <v>13</v>
      </c>
      <c r="F197" s="8">
        <v>2.29</v>
      </c>
      <c r="G197" s="4">
        <v>2</v>
      </c>
      <c r="H197" s="8">
        <v>0.52</v>
      </c>
      <c r="I197" s="4">
        <v>0</v>
      </c>
    </row>
    <row r="198" spans="1:9" x14ac:dyDescent="0.2">
      <c r="A198" s="2">
        <v>14</v>
      </c>
      <c r="B198" s="1" t="s">
        <v>176</v>
      </c>
      <c r="C198" s="4">
        <v>15</v>
      </c>
      <c r="D198" s="8">
        <v>1.55</v>
      </c>
      <c r="E198" s="4">
        <v>13</v>
      </c>
      <c r="F198" s="8">
        <v>2.29</v>
      </c>
      <c r="G198" s="4">
        <v>2</v>
      </c>
      <c r="H198" s="8">
        <v>0.52</v>
      </c>
      <c r="I198" s="4">
        <v>0</v>
      </c>
    </row>
    <row r="199" spans="1:9" x14ac:dyDescent="0.2">
      <c r="A199" s="2">
        <v>17</v>
      </c>
      <c r="B199" s="1" t="s">
        <v>185</v>
      </c>
      <c r="C199" s="4">
        <v>14</v>
      </c>
      <c r="D199" s="8">
        <v>1.44</v>
      </c>
      <c r="E199" s="4">
        <v>1</v>
      </c>
      <c r="F199" s="8">
        <v>0.18</v>
      </c>
      <c r="G199" s="4">
        <v>13</v>
      </c>
      <c r="H199" s="8">
        <v>3.36</v>
      </c>
      <c r="I199" s="4">
        <v>0</v>
      </c>
    </row>
    <row r="200" spans="1:9" x14ac:dyDescent="0.2">
      <c r="A200" s="2">
        <v>17</v>
      </c>
      <c r="B200" s="1" t="s">
        <v>169</v>
      </c>
      <c r="C200" s="4">
        <v>14</v>
      </c>
      <c r="D200" s="8">
        <v>1.44</v>
      </c>
      <c r="E200" s="4">
        <v>2</v>
      </c>
      <c r="F200" s="8">
        <v>0.35</v>
      </c>
      <c r="G200" s="4">
        <v>11</v>
      </c>
      <c r="H200" s="8">
        <v>2.84</v>
      </c>
      <c r="I200" s="4">
        <v>0</v>
      </c>
    </row>
    <row r="201" spans="1:9" x14ac:dyDescent="0.2">
      <c r="A201" s="2">
        <v>19</v>
      </c>
      <c r="B201" s="1" t="s">
        <v>192</v>
      </c>
      <c r="C201" s="4">
        <v>12</v>
      </c>
      <c r="D201" s="8">
        <v>1.24</v>
      </c>
      <c r="E201" s="4">
        <v>1</v>
      </c>
      <c r="F201" s="8">
        <v>0.18</v>
      </c>
      <c r="G201" s="4">
        <v>11</v>
      </c>
      <c r="H201" s="8">
        <v>2.84</v>
      </c>
      <c r="I201" s="4">
        <v>0</v>
      </c>
    </row>
    <row r="202" spans="1:9" x14ac:dyDescent="0.2">
      <c r="A202" s="2">
        <v>19</v>
      </c>
      <c r="B202" s="1" t="s">
        <v>178</v>
      </c>
      <c r="C202" s="4">
        <v>12</v>
      </c>
      <c r="D202" s="8">
        <v>1.24</v>
      </c>
      <c r="E202" s="4">
        <v>7</v>
      </c>
      <c r="F202" s="8">
        <v>1.23</v>
      </c>
      <c r="G202" s="4">
        <v>5</v>
      </c>
      <c r="H202" s="8">
        <v>1.29</v>
      </c>
      <c r="I202" s="4">
        <v>0</v>
      </c>
    </row>
    <row r="203" spans="1:9" x14ac:dyDescent="0.2">
      <c r="A203" s="2">
        <v>19</v>
      </c>
      <c r="B203" s="1" t="s">
        <v>193</v>
      </c>
      <c r="C203" s="4">
        <v>12</v>
      </c>
      <c r="D203" s="8">
        <v>1.24</v>
      </c>
      <c r="E203" s="4">
        <v>10</v>
      </c>
      <c r="F203" s="8">
        <v>1.76</v>
      </c>
      <c r="G203" s="4">
        <v>2</v>
      </c>
      <c r="H203" s="8">
        <v>0.52</v>
      </c>
      <c r="I203" s="4">
        <v>0</v>
      </c>
    </row>
    <row r="204" spans="1:9" x14ac:dyDescent="0.2">
      <c r="A204" s="1"/>
      <c r="C204" s="4"/>
      <c r="D204" s="8"/>
      <c r="E204" s="4"/>
      <c r="F204" s="8"/>
      <c r="G204" s="4"/>
      <c r="H204" s="8"/>
      <c r="I204" s="4"/>
    </row>
    <row r="205" spans="1:9" x14ac:dyDescent="0.2">
      <c r="A205" s="1" t="s">
        <v>9</v>
      </c>
      <c r="C205" s="4"/>
      <c r="D205" s="8"/>
      <c r="E205" s="4"/>
      <c r="F205" s="8"/>
      <c r="G205" s="4"/>
      <c r="H205" s="8"/>
      <c r="I205" s="4"/>
    </row>
    <row r="206" spans="1:9" x14ac:dyDescent="0.2">
      <c r="A206" s="2">
        <v>1</v>
      </c>
      <c r="B206" s="1" t="s">
        <v>168</v>
      </c>
      <c r="C206" s="4">
        <v>111</v>
      </c>
      <c r="D206" s="8">
        <v>7.85</v>
      </c>
      <c r="E206" s="4">
        <v>99</v>
      </c>
      <c r="F206" s="8">
        <v>11.55</v>
      </c>
      <c r="G206" s="4">
        <v>12</v>
      </c>
      <c r="H206" s="8">
        <v>2.23</v>
      </c>
      <c r="I206" s="4">
        <v>0</v>
      </c>
    </row>
    <row r="207" spans="1:9" x14ac:dyDescent="0.2">
      <c r="A207" s="2">
        <v>2</v>
      </c>
      <c r="B207" s="1" t="s">
        <v>174</v>
      </c>
      <c r="C207" s="4">
        <v>77</v>
      </c>
      <c r="D207" s="8">
        <v>5.45</v>
      </c>
      <c r="E207" s="4">
        <v>75</v>
      </c>
      <c r="F207" s="8">
        <v>8.75</v>
      </c>
      <c r="G207" s="4">
        <v>2</v>
      </c>
      <c r="H207" s="8">
        <v>0.37</v>
      </c>
      <c r="I207" s="4">
        <v>0</v>
      </c>
    </row>
    <row r="208" spans="1:9" x14ac:dyDescent="0.2">
      <c r="A208" s="2">
        <v>3</v>
      </c>
      <c r="B208" s="1" t="s">
        <v>173</v>
      </c>
      <c r="C208" s="4">
        <v>55</v>
      </c>
      <c r="D208" s="8">
        <v>3.89</v>
      </c>
      <c r="E208" s="4">
        <v>52</v>
      </c>
      <c r="F208" s="8">
        <v>6.07</v>
      </c>
      <c r="G208" s="4">
        <v>3</v>
      </c>
      <c r="H208" s="8">
        <v>0.56000000000000005</v>
      </c>
      <c r="I208" s="4">
        <v>0</v>
      </c>
    </row>
    <row r="209" spans="1:9" x14ac:dyDescent="0.2">
      <c r="A209" s="2">
        <v>4</v>
      </c>
      <c r="B209" s="1" t="s">
        <v>158</v>
      </c>
      <c r="C209" s="4">
        <v>33</v>
      </c>
      <c r="D209" s="8">
        <v>2.33</v>
      </c>
      <c r="E209" s="4">
        <v>8</v>
      </c>
      <c r="F209" s="8">
        <v>0.93</v>
      </c>
      <c r="G209" s="4">
        <v>25</v>
      </c>
      <c r="H209" s="8">
        <v>4.6500000000000004</v>
      </c>
      <c r="I209" s="4">
        <v>0</v>
      </c>
    </row>
    <row r="210" spans="1:9" x14ac:dyDescent="0.2">
      <c r="A210" s="2">
        <v>4</v>
      </c>
      <c r="B210" s="1" t="s">
        <v>166</v>
      </c>
      <c r="C210" s="4">
        <v>33</v>
      </c>
      <c r="D210" s="8">
        <v>2.33</v>
      </c>
      <c r="E210" s="4">
        <v>18</v>
      </c>
      <c r="F210" s="8">
        <v>2.1</v>
      </c>
      <c r="G210" s="4">
        <v>15</v>
      </c>
      <c r="H210" s="8">
        <v>2.79</v>
      </c>
      <c r="I210" s="4">
        <v>0</v>
      </c>
    </row>
    <row r="211" spans="1:9" x14ac:dyDescent="0.2">
      <c r="A211" s="2">
        <v>6</v>
      </c>
      <c r="B211" s="1" t="s">
        <v>177</v>
      </c>
      <c r="C211" s="4">
        <v>32</v>
      </c>
      <c r="D211" s="8">
        <v>2.2599999999999998</v>
      </c>
      <c r="E211" s="4">
        <v>25</v>
      </c>
      <c r="F211" s="8">
        <v>2.92</v>
      </c>
      <c r="G211" s="4">
        <v>7</v>
      </c>
      <c r="H211" s="8">
        <v>1.3</v>
      </c>
      <c r="I211" s="4">
        <v>0</v>
      </c>
    </row>
    <row r="212" spans="1:9" x14ac:dyDescent="0.2">
      <c r="A212" s="2">
        <v>7</v>
      </c>
      <c r="B212" s="1" t="s">
        <v>163</v>
      </c>
      <c r="C212" s="4">
        <v>31</v>
      </c>
      <c r="D212" s="8">
        <v>2.19</v>
      </c>
      <c r="E212" s="4">
        <v>23</v>
      </c>
      <c r="F212" s="8">
        <v>2.68</v>
      </c>
      <c r="G212" s="4">
        <v>8</v>
      </c>
      <c r="H212" s="8">
        <v>1.49</v>
      </c>
      <c r="I212" s="4">
        <v>0</v>
      </c>
    </row>
    <row r="213" spans="1:9" x14ac:dyDescent="0.2">
      <c r="A213" s="2">
        <v>8</v>
      </c>
      <c r="B213" s="1" t="s">
        <v>160</v>
      </c>
      <c r="C213" s="4">
        <v>30</v>
      </c>
      <c r="D213" s="8">
        <v>2.12</v>
      </c>
      <c r="E213" s="4">
        <v>25</v>
      </c>
      <c r="F213" s="8">
        <v>2.92</v>
      </c>
      <c r="G213" s="4">
        <v>5</v>
      </c>
      <c r="H213" s="8">
        <v>0.93</v>
      </c>
      <c r="I213" s="4">
        <v>0</v>
      </c>
    </row>
    <row r="214" spans="1:9" x14ac:dyDescent="0.2">
      <c r="A214" s="2">
        <v>8</v>
      </c>
      <c r="B214" s="1" t="s">
        <v>172</v>
      </c>
      <c r="C214" s="4">
        <v>30</v>
      </c>
      <c r="D214" s="8">
        <v>2.12</v>
      </c>
      <c r="E214" s="4">
        <v>29</v>
      </c>
      <c r="F214" s="8">
        <v>3.38</v>
      </c>
      <c r="G214" s="4">
        <v>1</v>
      </c>
      <c r="H214" s="8">
        <v>0.19</v>
      </c>
      <c r="I214" s="4">
        <v>0</v>
      </c>
    </row>
    <row r="215" spans="1:9" x14ac:dyDescent="0.2">
      <c r="A215" s="2">
        <v>10</v>
      </c>
      <c r="B215" s="1" t="s">
        <v>178</v>
      </c>
      <c r="C215" s="4">
        <v>29</v>
      </c>
      <c r="D215" s="8">
        <v>2.0499999999999998</v>
      </c>
      <c r="E215" s="4">
        <v>21</v>
      </c>
      <c r="F215" s="8">
        <v>2.4500000000000002</v>
      </c>
      <c r="G215" s="4">
        <v>8</v>
      </c>
      <c r="H215" s="8">
        <v>1.49</v>
      </c>
      <c r="I215" s="4">
        <v>0</v>
      </c>
    </row>
    <row r="216" spans="1:9" x14ac:dyDescent="0.2">
      <c r="A216" s="2">
        <v>11</v>
      </c>
      <c r="B216" s="1" t="s">
        <v>181</v>
      </c>
      <c r="C216" s="4">
        <v>28</v>
      </c>
      <c r="D216" s="8">
        <v>1.98</v>
      </c>
      <c r="E216" s="4">
        <v>21</v>
      </c>
      <c r="F216" s="8">
        <v>2.4500000000000002</v>
      </c>
      <c r="G216" s="4">
        <v>7</v>
      </c>
      <c r="H216" s="8">
        <v>1.3</v>
      </c>
      <c r="I216" s="4">
        <v>0</v>
      </c>
    </row>
    <row r="217" spans="1:9" x14ac:dyDescent="0.2">
      <c r="A217" s="2">
        <v>12</v>
      </c>
      <c r="B217" s="1" t="s">
        <v>161</v>
      </c>
      <c r="C217" s="4">
        <v>24</v>
      </c>
      <c r="D217" s="8">
        <v>1.7</v>
      </c>
      <c r="E217" s="4">
        <v>9</v>
      </c>
      <c r="F217" s="8">
        <v>1.05</v>
      </c>
      <c r="G217" s="4">
        <v>15</v>
      </c>
      <c r="H217" s="8">
        <v>2.79</v>
      </c>
      <c r="I217" s="4">
        <v>0</v>
      </c>
    </row>
    <row r="218" spans="1:9" x14ac:dyDescent="0.2">
      <c r="A218" s="2">
        <v>13</v>
      </c>
      <c r="B218" s="1" t="s">
        <v>170</v>
      </c>
      <c r="C218" s="4">
        <v>23</v>
      </c>
      <c r="D218" s="8">
        <v>1.63</v>
      </c>
      <c r="E218" s="4">
        <v>13</v>
      </c>
      <c r="F218" s="8">
        <v>1.52</v>
      </c>
      <c r="G218" s="4">
        <v>10</v>
      </c>
      <c r="H218" s="8">
        <v>1.86</v>
      </c>
      <c r="I218" s="4">
        <v>0</v>
      </c>
    </row>
    <row r="219" spans="1:9" x14ac:dyDescent="0.2">
      <c r="A219" s="2">
        <v>14</v>
      </c>
      <c r="B219" s="1" t="s">
        <v>191</v>
      </c>
      <c r="C219" s="4">
        <v>22</v>
      </c>
      <c r="D219" s="8">
        <v>1.56</v>
      </c>
      <c r="E219" s="4">
        <v>18</v>
      </c>
      <c r="F219" s="8">
        <v>2.1</v>
      </c>
      <c r="G219" s="4">
        <v>4</v>
      </c>
      <c r="H219" s="8">
        <v>0.74</v>
      </c>
      <c r="I219" s="4">
        <v>0</v>
      </c>
    </row>
    <row r="220" spans="1:9" x14ac:dyDescent="0.2">
      <c r="A220" s="2">
        <v>14</v>
      </c>
      <c r="B220" s="1" t="s">
        <v>176</v>
      </c>
      <c r="C220" s="4">
        <v>22</v>
      </c>
      <c r="D220" s="8">
        <v>1.56</v>
      </c>
      <c r="E220" s="4">
        <v>22</v>
      </c>
      <c r="F220" s="8">
        <v>2.57</v>
      </c>
      <c r="G220" s="4">
        <v>0</v>
      </c>
      <c r="H220" s="8">
        <v>0</v>
      </c>
      <c r="I220" s="4">
        <v>0</v>
      </c>
    </row>
    <row r="221" spans="1:9" x14ac:dyDescent="0.2">
      <c r="A221" s="2">
        <v>16</v>
      </c>
      <c r="B221" s="1" t="s">
        <v>194</v>
      </c>
      <c r="C221" s="4">
        <v>21</v>
      </c>
      <c r="D221" s="8">
        <v>1.49</v>
      </c>
      <c r="E221" s="4">
        <v>12</v>
      </c>
      <c r="F221" s="8">
        <v>1.4</v>
      </c>
      <c r="G221" s="4">
        <v>9</v>
      </c>
      <c r="H221" s="8">
        <v>1.67</v>
      </c>
      <c r="I221" s="4">
        <v>0</v>
      </c>
    </row>
    <row r="222" spans="1:9" x14ac:dyDescent="0.2">
      <c r="A222" s="2">
        <v>16</v>
      </c>
      <c r="B222" s="1" t="s">
        <v>195</v>
      </c>
      <c r="C222" s="4">
        <v>21</v>
      </c>
      <c r="D222" s="8">
        <v>1.49</v>
      </c>
      <c r="E222" s="4">
        <v>12</v>
      </c>
      <c r="F222" s="8">
        <v>1.4</v>
      </c>
      <c r="G222" s="4">
        <v>9</v>
      </c>
      <c r="H222" s="8">
        <v>1.67</v>
      </c>
      <c r="I222" s="4">
        <v>0</v>
      </c>
    </row>
    <row r="223" spans="1:9" x14ac:dyDescent="0.2">
      <c r="A223" s="2">
        <v>16</v>
      </c>
      <c r="B223" s="1" t="s">
        <v>165</v>
      </c>
      <c r="C223" s="4">
        <v>21</v>
      </c>
      <c r="D223" s="8">
        <v>1.49</v>
      </c>
      <c r="E223" s="4">
        <v>6</v>
      </c>
      <c r="F223" s="8">
        <v>0.7</v>
      </c>
      <c r="G223" s="4">
        <v>15</v>
      </c>
      <c r="H223" s="8">
        <v>2.79</v>
      </c>
      <c r="I223" s="4">
        <v>0</v>
      </c>
    </row>
    <row r="224" spans="1:9" x14ac:dyDescent="0.2">
      <c r="A224" s="2">
        <v>16</v>
      </c>
      <c r="B224" s="1" t="s">
        <v>171</v>
      </c>
      <c r="C224" s="4">
        <v>21</v>
      </c>
      <c r="D224" s="8">
        <v>1.49</v>
      </c>
      <c r="E224" s="4">
        <v>18</v>
      </c>
      <c r="F224" s="8">
        <v>2.1</v>
      </c>
      <c r="G224" s="4">
        <v>3</v>
      </c>
      <c r="H224" s="8">
        <v>0.56000000000000005</v>
      </c>
      <c r="I224" s="4">
        <v>0</v>
      </c>
    </row>
    <row r="225" spans="1:9" x14ac:dyDescent="0.2">
      <c r="A225" s="2">
        <v>20</v>
      </c>
      <c r="B225" s="1" t="s">
        <v>193</v>
      </c>
      <c r="C225" s="4">
        <v>20</v>
      </c>
      <c r="D225" s="8">
        <v>1.41</v>
      </c>
      <c r="E225" s="4">
        <v>10</v>
      </c>
      <c r="F225" s="8">
        <v>1.17</v>
      </c>
      <c r="G225" s="4">
        <v>10</v>
      </c>
      <c r="H225" s="8">
        <v>1.86</v>
      </c>
      <c r="I225" s="4">
        <v>0</v>
      </c>
    </row>
    <row r="226" spans="1:9" x14ac:dyDescent="0.2">
      <c r="A226" s="1"/>
      <c r="C226" s="4"/>
      <c r="D226" s="8"/>
      <c r="E226" s="4"/>
      <c r="F226" s="8"/>
      <c r="G226" s="4"/>
      <c r="H226" s="8"/>
      <c r="I226" s="4"/>
    </row>
    <row r="227" spans="1:9" x14ac:dyDescent="0.2">
      <c r="A227" s="1" t="s">
        <v>10</v>
      </c>
      <c r="C227" s="4"/>
      <c r="D227" s="8"/>
      <c r="E227" s="4"/>
      <c r="F227" s="8"/>
      <c r="G227" s="4"/>
      <c r="H227" s="8"/>
      <c r="I227" s="4"/>
    </row>
    <row r="228" spans="1:9" x14ac:dyDescent="0.2">
      <c r="A228" s="2">
        <v>1</v>
      </c>
      <c r="B228" s="1" t="s">
        <v>173</v>
      </c>
      <c r="C228" s="4">
        <v>58</v>
      </c>
      <c r="D228" s="8">
        <v>5.82</v>
      </c>
      <c r="E228" s="4">
        <v>57</v>
      </c>
      <c r="F228" s="8">
        <v>9.68</v>
      </c>
      <c r="G228" s="4">
        <v>1</v>
      </c>
      <c r="H228" s="8">
        <v>0.25</v>
      </c>
      <c r="I228" s="4">
        <v>0</v>
      </c>
    </row>
    <row r="229" spans="1:9" x14ac:dyDescent="0.2">
      <c r="A229" s="2">
        <v>2</v>
      </c>
      <c r="B229" s="1" t="s">
        <v>174</v>
      </c>
      <c r="C229" s="4">
        <v>44</v>
      </c>
      <c r="D229" s="8">
        <v>4.41</v>
      </c>
      <c r="E229" s="4">
        <v>42</v>
      </c>
      <c r="F229" s="8">
        <v>7.13</v>
      </c>
      <c r="G229" s="4">
        <v>2</v>
      </c>
      <c r="H229" s="8">
        <v>0.51</v>
      </c>
      <c r="I229" s="4">
        <v>0</v>
      </c>
    </row>
    <row r="230" spans="1:9" x14ac:dyDescent="0.2">
      <c r="A230" s="2">
        <v>3</v>
      </c>
      <c r="B230" s="1" t="s">
        <v>160</v>
      </c>
      <c r="C230" s="4">
        <v>41</v>
      </c>
      <c r="D230" s="8">
        <v>4.1100000000000003</v>
      </c>
      <c r="E230" s="4">
        <v>31</v>
      </c>
      <c r="F230" s="8">
        <v>5.26</v>
      </c>
      <c r="G230" s="4">
        <v>10</v>
      </c>
      <c r="H230" s="8">
        <v>2.5299999999999998</v>
      </c>
      <c r="I230" s="4">
        <v>0</v>
      </c>
    </row>
    <row r="231" spans="1:9" x14ac:dyDescent="0.2">
      <c r="A231" s="2">
        <v>4</v>
      </c>
      <c r="B231" s="1" t="s">
        <v>177</v>
      </c>
      <c r="C231" s="4">
        <v>30</v>
      </c>
      <c r="D231" s="8">
        <v>3.01</v>
      </c>
      <c r="E231" s="4">
        <v>20</v>
      </c>
      <c r="F231" s="8">
        <v>3.4</v>
      </c>
      <c r="G231" s="4">
        <v>10</v>
      </c>
      <c r="H231" s="8">
        <v>2.5299999999999998</v>
      </c>
      <c r="I231" s="4">
        <v>0</v>
      </c>
    </row>
    <row r="232" spans="1:9" x14ac:dyDescent="0.2">
      <c r="A232" s="2">
        <v>5</v>
      </c>
      <c r="B232" s="1" t="s">
        <v>158</v>
      </c>
      <c r="C232" s="4">
        <v>29</v>
      </c>
      <c r="D232" s="8">
        <v>2.91</v>
      </c>
      <c r="E232" s="4">
        <v>7</v>
      </c>
      <c r="F232" s="8">
        <v>1.19</v>
      </c>
      <c r="G232" s="4">
        <v>22</v>
      </c>
      <c r="H232" s="8">
        <v>5.56</v>
      </c>
      <c r="I232" s="4">
        <v>0</v>
      </c>
    </row>
    <row r="233" spans="1:9" x14ac:dyDescent="0.2">
      <c r="A233" s="2">
        <v>6</v>
      </c>
      <c r="B233" s="1" t="s">
        <v>166</v>
      </c>
      <c r="C233" s="4">
        <v>26</v>
      </c>
      <c r="D233" s="8">
        <v>2.61</v>
      </c>
      <c r="E233" s="4">
        <v>15</v>
      </c>
      <c r="F233" s="8">
        <v>2.5499999999999998</v>
      </c>
      <c r="G233" s="4">
        <v>11</v>
      </c>
      <c r="H233" s="8">
        <v>2.78</v>
      </c>
      <c r="I233" s="4">
        <v>0</v>
      </c>
    </row>
    <row r="234" spans="1:9" x14ac:dyDescent="0.2">
      <c r="A234" s="2">
        <v>7</v>
      </c>
      <c r="B234" s="1" t="s">
        <v>159</v>
      </c>
      <c r="C234" s="4">
        <v>25</v>
      </c>
      <c r="D234" s="8">
        <v>2.5099999999999998</v>
      </c>
      <c r="E234" s="4">
        <v>8</v>
      </c>
      <c r="F234" s="8">
        <v>1.36</v>
      </c>
      <c r="G234" s="4">
        <v>17</v>
      </c>
      <c r="H234" s="8">
        <v>4.29</v>
      </c>
      <c r="I234" s="4">
        <v>0</v>
      </c>
    </row>
    <row r="235" spans="1:9" x14ac:dyDescent="0.2">
      <c r="A235" s="2">
        <v>8</v>
      </c>
      <c r="B235" s="1" t="s">
        <v>164</v>
      </c>
      <c r="C235" s="4">
        <v>24</v>
      </c>
      <c r="D235" s="8">
        <v>2.41</v>
      </c>
      <c r="E235" s="4">
        <v>14</v>
      </c>
      <c r="F235" s="8">
        <v>2.38</v>
      </c>
      <c r="G235" s="4">
        <v>10</v>
      </c>
      <c r="H235" s="8">
        <v>2.5299999999999998</v>
      </c>
      <c r="I235" s="4">
        <v>0</v>
      </c>
    </row>
    <row r="236" spans="1:9" x14ac:dyDescent="0.2">
      <c r="A236" s="2">
        <v>9</v>
      </c>
      <c r="B236" s="1" t="s">
        <v>194</v>
      </c>
      <c r="C236" s="4">
        <v>23</v>
      </c>
      <c r="D236" s="8">
        <v>2.31</v>
      </c>
      <c r="E236" s="4">
        <v>13</v>
      </c>
      <c r="F236" s="8">
        <v>2.21</v>
      </c>
      <c r="G236" s="4">
        <v>10</v>
      </c>
      <c r="H236" s="8">
        <v>2.5299999999999998</v>
      </c>
      <c r="I236" s="4">
        <v>0</v>
      </c>
    </row>
    <row r="237" spans="1:9" x14ac:dyDescent="0.2">
      <c r="A237" s="2">
        <v>9</v>
      </c>
      <c r="B237" s="1" t="s">
        <v>168</v>
      </c>
      <c r="C237" s="4">
        <v>23</v>
      </c>
      <c r="D237" s="8">
        <v>2.31</v>
      </c>
      <c r="E237" s="4">
        <v>21</v>
      </c>
      <c r="F237" s="8">
        <v>3.57</v>
      </c>
      <c r="G237" s="4">
        <v>2</v>
      </c>
      <c r="H237" s="8">
        <v>0.51</v>
      </c>
      <c r="I237" s="4">
        <v>0</v>
      </c>
    </row>
    <row r="238" spans="1:9" x14ac:dyDescent="0.2">
      <c r="A238" s="2">
        <v>11</v>
      </c>
      <c r="B238" s="1" t="s">
        <v>191</v>
      </c>
      <c r="C238" s="4">
        <v>21</v>
      </c>
      <c r="D238" s="8">
        <v>2.11</v>
      </c>
      <c r="E238" s="4">
        <v>18</v>
      </c>
      <c r="F238" s="8">
        <v>3.06</v>
      </c>
      <c r="G238" s="4">
        <v>3</v>
      </c>
      <c r="H238" s="8">
        <v>0.76</v>
      </c>
      <c r="I238" s="4">
        <v>0</v>
      </c>
    </row>
    <row r="239" spans="1:9" x14ac:dyDescent="0.2">
      <c r="A239" s="2">
        <v>12</v>
      </c>
      <c r="B239" s="1" t="s">
        <v>163</v>
      </c>
      <c r="C239" s="4">
        <v>19</v>
      </c>
      <c r="D239" s="8">
        <v>1.91</v>
      </c>
      <c r="E239" s="4">
        <v>17</v>
      </c>
      <c r="F239" s="8">
        <v>2.89</v>
      </c>
      <c r="G239" s="4">
        <v>2</v>
      </c>
      <c r="H239" s="8">
        <v>0.51</v>
      </c>
      <c r="I239" s="4">
        <v>0</v>
      </c>
    </row>
    <row r="240" spans="1:9" x14ac:dyDescent="0.2">
      <c r="A240" s="2">
        <v>13</v>
      </c>
      <c r="B240" s="1" t="s">
        <v>178</v>
      </c>
      <c r="C240" s="4">
        <v>18</v>
      </c>
      <c r="D240" s="8">
        <v>1.81</v>
      </c>
      <c r="E240" s="4">
        <v>13</v>
      </c>
      <c r="F240" s="8">
        <v>2.21</v>
      </c>
      <c r="G240" s="4">
        <v>5</v>
      </c>
      <c r="H240" s="8">
        <v>1.26</v>
      </c>
      <c r="I240" s="4">
        <v>0</v>
      </c>
    </row>
    <row r="241" spans="1:9" x14ac:dyDescent="0.2">
      <c r="A241" s="2">
        <v>13</v>
      </c>
      <c r="B241" s="1" t="s">
        <v>185</v>
      </c>
      <c r="C241" s="4">
        <v>18</v>
      </c>
      <c r="D241" s="8">
        <v>1.81</v>
      </c>
      <c r="E241" s="4">
        <v>6</v>
      </c>
      <c r="F241" s="8">
        <v>1.02</v>
      </c>
      <c r="G241" s="4">
        <v>12</v>
      </c>
      <c r="H241" s="8">
        <v>3.03</v>
      </c>
      <c r="I241" s="4">
        <v>0</v>
      </c>
    </row>
    <row r="242" spans="1:9" x14ac:dyDescent="0.2">
      <c r="A242" s="2">
        <v>15</v>
      </c>
      <c r="B242" s="1" t="s">
        <v>161</v>
      </c>
      <c r="C242" s="4">
        <v>17</v>
      </c>
      <c r="D242" s="8">
        <v>1.71</v>
      </c>
      <c r="E242" s="4">
        <v>10</v>
      </c>
      <c r="F242" s="8">
        <v>1.7</v>
      </c>
      <c r="G242" s="4">
        <v>7</v>
      </c>
      <c r="H242" s="8">
        <v>1.77</v>
      </c>
      <c r="I242" s="4">
        <v>0</v>
      </c>
    </row>
    <row r="243" spans="1:9" x14ac:dyDescent="0.2">
      <c r="A243" s="2">
        <v>16</v>
      </c>
      <c r="B243" s="1" t="s">
        <v>171</v>
      </c>
      <c r="C243" s="4">
        <v>16</v>
      </c>
      <c r="D243" s="8">
        <v>1.6</v>
      </c>
      <c r="E243" s="4">
        <v>14</v>
      </c>
      <c r="F243" s="8">
        <v>2.38</v>
      </c>
      <c r="G243" s="4">
        <v>2</v>
      </c>
      <c r="H243" s="8">
        <v>0.51</v>
      </c>
      <c r="I243" s="4">
        <v>0</v>
      </c>
    </row>
    <row r="244" spans="1:9" x14ac:dyDescent="0.2">
      <c r="A244" s="2">
        <v>16</v>
      </c>
      <c r="B244" s="1" t="s">
        <v>176</v>
      </c>
      <c r="C244" s="4">
        <v>16</v>
      </c>
      <c r="D244" s="8">
        <v>1.6</v>
      </c>
      <c r="E244" s="4">
        <v>14</v>
      </c>
      <c r="F244" s="8">
        <v>2.38</v>
      </c>
      <c r="G244" s="4">
        <v>2</v>
      </c>
      <c r="H244" s="8">
        <v>0.51</v>
      </c>
      <c r="I244" s="4">
        <v>0</v>
      </c>
    </row>
    <row r="245" spans="1:9" x14ac:dyDescent="0.2">
      <c r="A245" s="2">
        <v>18</v>
      </c>
      <c r="B245" s="1" t="s">
        <v>190</v>
      </c>
      <c r="C245" s="4">
        <v>14</v>
      </c>
      <c r="D245" s="8">
        <v>1.4</v>
      </c>
      <c r="E245" s="4">
        <v>12</v>
      </c>
      <c r="F245" s="8">
        <v>2.04</v>
      </c>
      <c r="G245" s="4">
        <v>2</v>
      </c>
      <c r="H245" s="8">
        <v>0.51</v>
      </c>
      <c r="I245" s="4">
        <v>0</v>
      </c>
    </row>
    <row r="246" spans="1:9" x14ac:dyDescent="0.2">
      <c r="A246" s="2">
        <v>19</v>
      </c>
      <c r="B246" s="1" t="s">
        <v>196</v>
      </c>
      <c r="C246" s="4">
        <v>13</v>
      </c>
      <c r="D246" s="8">
        <v>1.3</v>
      </c>
      <c r="E246" s="4">
        <v>2</v>
      </c>
      <c r="F246" s="8">
        <v>0.34</v>
      </c>
      <c r="G246" s="4">
        <v>11</v>
      </c>
      <c r="H246" s="8">
        <v>2.78</v>
      </c>
      <c r="I246" s="4">
        <v>0</v>
      </c>
    </row>
    <row r="247" spans="1:9" x14ac:dyDescent="0.2">
      <c r="A247" s="2">
        <v>19</v>
      </c>
      <c r="B247" s="1" t="s">
        <v>193</v>
      </c>
      <c r="C247" s="4">
        <v>13</v>
      </c>
      <c r="D247" s="8">
        <v>1.3</v>
      </c>
      <c r="E247" s="4">
        <v>7</v>
      </c>
      <c r="F247" s="8">
        <v>1.19</v>
      </c>
      <c r="G247" s="4">
        <v>6</v>
      </c>
      <c r="H247" s="8">
        <v>1.52</v>
      </c>
      <c r="I247" s="4">
        <v>0</v>
      </c>
    </row>
    <row r="248" spans="1:9" x14ac:dyDescent="0.2">
      <c r="A248" s="2">
        <v>19</v>
      </c>
      <c r="B248" s="1" t="s">
        <v>165</v>
      </c>
      <c r="C248" s="4">
        <v>13</v>
      </c>
      <c r="D248" s="8">
        <v>1.3</v>
      </c>
      <c r="E248" s="4">
        <v>4</v>
      </c>
      <c r="F248" s="8">
        <v>0.68</v>
      </c>
      <c r="G248" s="4">
        <v>9</v>
      </c>
      <c r="H248" s="8">
        <v>2.27</v>
      </c>
      <c r="I248" s="4">
        <v>0</v>
      </c>
    </row>
    <row r="249" spans="1:9" x14ac:dyDescent="0.2">
      <c r="A249" s="1"/>
      <c r="C249" s="4"/>
      <c r="D249" s="8"/>
      <c r="E249" s="4"/>
      <c r="F249" s="8"/>
      <c r="G249" s="4"/>
      <c r="H249" s="8"/>
      <c r="I249" s="4"/>
    </row>
    <row r="250" spans="1:9" x14ac:dyDescent="0.2">
      <c r="A250" s="1" t="s">
        <v>11</v>
      </c>
      <c r="C250" s="4"/>
      <c r="D250" s="8"/>
      <c r="E250" s="4"/>
      <c r="F250" s="8"/>
      <c r="G250" s="4"/>
      <c r="H250" s="8"/>
      <c r="I250" s="4"/>
    </row>
    <row r="251" spans="1:9" x14ac:dyDescent="0.2">
      <c r="A251" s="2">
        <v>1</v>
      </c>
      <c r="B251" s="1" t="s">
        <v>168</v>
      </c>
      <c r="C251" s="4">
        <v>90</v>
      </c>
      <c r="D251" s="8">
        <v>5.92</v>
      </c>
      <c r="E251" s="4">
        <v>74</v>
      </c>
      <c r="F251" s="8">
        <v>9.27</v>
      </c>
      <c r="G251" s="4">
        <v>16</v>
      </c>
      <c r="H251" s="8">
        <v>2.33</v>
      </c>
      <c r="I251" s="4">
        <v>0</v>
      </c>
    </row>
    <row r="252" spans="1:9" x14ac:dyDescent="0.2">
      <c r="A252" s="2">
        <v>2</v>
      </c>
      <c r="B252" s="1" t="s">
        <v>174</v>
      </c>
      <c r="C252" s="4">
        <v>82</v>
      </c>
      <c r="D252" s="8">
        <v>5.4</v>
      </c>
      <c r="E252" s="4">
        <v>75</v>
      </c>
      <c r="F252" s="8">
        <v>9.4</v>
      </c>
      <c r="G252" s="4">
        <v>7</v>
      </c>
      <c r="H252" s="8">
        <v>1.02</v>
      </c>
      <c r="I252" s="4">
        <v>0</v>
      </c>
    </row>
    <row r="253" spans="1:9" x14ac:dyDescent="0.2">
      <c r="A253" s="2">
        <v>3</v>
      </c>
      <c r="B253" s="1" t="s">
        <v>173</v>
      </c>
      <c r="C253" s="4">
        <v>64</v>
      </c>
      <c r="D253" s="8">
        <v>4.21</v>
      </c>
      <c r="E253" s="4">
        <v>61</v>
      </c>
      <c r="F253" s="8">
        <v>7.64</v>
      </c>
      <c r="G253" s="4">
        <v>3</v>
      </c>
      <c r="H253" s="8">
        <v>0.44</v>
      </c>
      <c r="I253" s="4">
        <v>0</v>
      </c>
    </row>
    <row r="254" spans="1:9" x14ac:dyDescent="0.2">
      <c r="A254" s="2">
        <v>4</v>
      </c>
      <c r="B254" s="1" t="s">
        <v>158</v>
      </c>
      <c r="C254" s="4">
        <v>44</v>
      </c>
      <c r="D254" s="8">
        <v>2.9</v>
      </c>
      <c r="E254" s="4">
        <v>4</v>
      </c>
      <c r="F254" s="8">
        <v>0.5</v>
      </c>
      <c r="G254" s="4">
        <v>40</v>
      </c>
      <c r="H254" s="8">
        <v>5.81</v>
      </c>
      <c r="I254" s="4">
        <v>0</v>
      </c>
    </row>
    <row r="255" spans="1:9" x14ac:dyDescent="0.2">
      <c r="A255" s="2">
        <v>5</v>
      </c>
      <c r="B255" s="1" t="s">
        <v>176</v>
      </c>
      <c r="C255" s="4">
        <v>39</v>
      </c>
      <c r="D255" s="8">
        <v>2.57</v>
      </c>
      <c r="E255" s="4">
        <v>35</v>
      </c>
      <c r="F255" s="8">
        <v>4.3899999999999997</v>
      </c>
      <c r="G255" s="4">
        <v>4</v>
      </c>
      <c r="H255" s="8">
        <v>0.57999999999999996</v>
      </c>
      <c r="I255" s="4">
        <v>0</v>
      </c>
    </row>
    <row r="256" spans="1:9" x14ac:dyDescent="0.2">
      <c r="A256" s="2">
        <v>6</v>
      </c>
      <c r="B256" s="1" t="s">
        <v>160</v>
      </c>
      <c r="C256" s="4">
        <v>38</v>
      </c>
      <c r="D256" s="8">
        <v>2.5</v>
      </c>
      <c r="E256" s="4">
        <v>18</v>
      </c>
      <c r="F256" s="8">
        <v>2.2599999999999998</v>
      </c>
      <c r="G256" s="4">
        <v>20</v>
      </c>
      <c r="H256" s="8">
        <v>2.91</v>
      </c>
      <c r="I256" s="4">
        <v>0</v>
      </c>
    </row>
    <row r="257" spans="1:9" x14ac:dyDescent="0.2">
      <c r="A257" s="2">
        <v>7</v>
      </c>
      <c r="B257" s="1" t="s">
        <v>172</v>
      </c>
      <c r="C257" s="4">
        <v>32</v>
      </c>
      <c r="D257" s="8">
        <v>2.11</v>
      </c>
      <c r="E257" s="4">
        <v>32</v>
      </c>
      <c r="F257" s="8">
        <v>4.01</v>
      </c>
      <c r="G257" s="4">
        <v>0</v>
      </c>
      <c r="H257" s="8">
        <v>0</v>
      </c>
      <c r="I257" s="4">
        <v>0</v>
      </c>
    </row>
    <row r="258" spans="1:9" x14ac:dyDescent="0.2">
      <c r="A258" s="2">
        <v>8</v>
      </c>
      <c r="B258" s="1" t="s">
        <v>166</v>
      </c>
      <c r="C258" s="4">
        <v>29</v>
      </c>
      <c r="D258" s="8">
        <v>1.91</v>
      </c>
      <c r="E258" s="4">
        <v>16</v>
      </c>
      <c r="F258" s="8">
        <v>2.0099999999999998</v>
      </c>
      <c r="G258" s="4">
        <v>13</v>
      </c>
      <c r="H258" s="8">
        <v>1.89</v>
      </c>
      <c r="I258" s="4">
        <v>0</v>
      </c>
    </row>
    <row r="259" spans="1:9" x14ac:dyDescent="0.2">
      <c r="A259" s="2">
        <v>9</v>
      </c>
      <c r="B259" s="1" t="s">
        <v>177</v>
      </c>
      <c r="C259" s="4">
        <v>28</v>
      </c>
      <c r="D259" s="8">
        <v>1.84</v>
      </c>
      <c r="E259" s="4">
        <v>21</v>
      </c>
      <c r="F259" s="8">
        <v>2.63</v>
      </c>
      <c r="G259" s="4">
        <v>7</v>
      </c>
      <c r="H259" s="8">
        <v>1.02</v>
      </c>
      <c r="I259" s="4">
        <v>0</v>
      </c>
    </row>
    <row r="260" spans="1:9" x14ac:dyDescent="0.2">
      <c r="A260" s="2">
        <v>10</v>
      </c>
      <c r="B260" s="1" t="s">
        <v>190</v>
      </c>
      <c r="C260" s="4">
        <v>27</v>
      </c>
      <c r="D260" s="8">
        <v>1.78</v>
      </c>
      <c r="E260" s="4">
        <v>14</v>
      </c>
      <c r="F260" s="8">
        <v>1.75</v>
      </c>
      <c r="G260" s="4">
        <v>13</v>
      </c>
      <c r="H260" s="8">
        <v>1.89</v>
      </c>
      <c r="I260" s="4">
        <v>0</v>
      </c>
    </row>
    <row r="261" spans="1:9" x14ac:dyDescent="0.2">
      <c r="A261" s="2">
        <v>10</v>
      </c>
      <c r="B261" s="1" t="s">
        <v>175</v>
      </c>
      <c r="C261" s="4">
        <v>27</v>
      </c>
      <c r="D261" s="8">
        <v>1.78</v>
      </c>
      <c r="E261" s="4">
        <v>23</v>
      </c>
      <c r="F261" s="8">
        <v>2.88</v>
      </c>
      <c r="G261" s="4">
        <v>4</v>
      </c>
      <c r="H261" s="8">
        <v>0.57999999999999996</v>
      </c>
      <c r="I261" s="4">
        <v>0</v>
      </c>
    </row>
    <row r="262" spans="1:9" x14ac:dyDescent="0.2">
      <c r="A262" s="2">
        <v>12</v>
      </c>
      <c r="B262" s="1" t="s">
        <v>171</v>
      </c>
      <c r="C262" s="4">
        <v>26</v>
      </c>
      <c r="D262" s="8">
        <v>1.71</v>
      </c>
      <c r="E262" s="4">
        <v>26</v>
      </c>
      <c r="F262" s="8">
        <v>3.26</v>
      </c>
      <c r="G262" s="4">
        <v>0</v>
      </c>
      <c r="H262" s="8">
        <v>0</v>
      </c>
      <c r="I262" s="4">
        <v>0</v>
      </c>
    </row>
    <row r="263" spans="1:9" x14ac:dyDescent="0.2">
      <c r="A263" s="2">
        <v>13</v>
      </c>
      <c r="B263" s="1" t="s">
        <v>161</v>
      </c>
      <c r="C263" s="4">
        <v>24</v>
      </c>
      <c r="D263" s="8">
        <v>1.58</v>
      </c>
      <c r="E263" s="4">
        <v>6</v>
      </c>
      <c r="F263" s="8">
        <v>0.75</v>
      </c>
      <c r="G263" s="4">
        <v>18</v>
      </c>
      <c r="H263" s="8">
        <v>2.62</v>
      </c>
      <c r="I263" s="4">
        <v>0</v>
      </c>
    </row>
    <row r="264" spans="1:9" x14ac:dyDescent="0.2">
      <c r="A264" s="2">
        <v>13</v>
      </c>
      <c r="B264" s="1" t="s">
        <v>164</v>
      </c>
      <c r="C264" s="4">
        <v>24</v>
      </c>
      <c r="D264" s="8">
        <v>1.58</v>
      </c>
      <c r="E264" s="4">
        <v>14</v>
      </c>
      <c r="F264" s="8">
        <v>1.75</v>
      </c>
      <c r="G264" s="4">
        <v>10</v>
      </c>
      <c r="H264" s="8">
        <v>1.45</v>
      </c>
      <c r="I264" s="4">
        <v>0</v>
      </c>
    </row>
    <row r="265" spans="1:9" x14ac:dyDescent="0.2">
      <c r="A265" s="2">
        <v>15</v>
      </c>
      <c r="B265" s="1" t="s">
        <v>163</v>
      </c>
      <c r="C265" s="4">
        <v>23</v>
      </c>
      <c r="D265" s="8">
        <v>1.51</v>
      </c>
      <c r="E265" s="4">
        <v>15</v>
      </c>
      <c r="F265" s="8">
        <v>1.88</v>
      </c>
      <c r="G265" s="4">
        <v>7</v>
      </c>
      <c r="H265" s="8">
        <v>1.02</v>
      </c>
      <c r="I265" s="4">
        <v>1</v>
      </c>
    </row>
    <row r="266" spans="1:9" x14ac:dyDescent="0.2">
      <c r="A266" s="2">
        <v>16</v>
      </c>
      <c r="B266" s="1" t="s">
        <v>170</v>
      </c>
      <c r="C266" s="4">
        <v>22</v>
      </c>
      <c r="D266" s="8">
        <v>1.45</v>
      </c>
      <c r="E266" s="4">
        <v>19</v>
      </c>
      <c r="F266" s="8">
        <v>2.38</v>
      </c>
      <c r="G266" s="4">
        <v>3</v>
      </c>
      <c r="H266" s="8">
        <v>0.44</v>
      </c>
      <c r="I266" s="4">
        <v>0</v>
      </c>
    </row>
    <row r="267" spans="1:9" x14ac:dyDescent="0.2">
      <c r="A267" s="2">
        <v>17</v>
      </c>
      <c r="B267" s="1" t="s">
        <v>181</v>
      </c>
      <c r="C267" s="4">
        <v>21</v>
      </c>
      <c r="D267" s="8">
        <v>1.38</v>
      </c>
      <c r="E267" s="4">
        <v>14</v>
      </c>
      <c r="F267" s="8">
        <v>1.75</v>
      </c>
      <c r="G267" s="4">
        <v>7</v>
      </c>
      <c r="H267" s="8">
        <v>1.02</v>
      </c>
      <c r="I267" s="4">
        <v>0</v>
      </c>
    </row>
    <row r="268" spans="1:9" x14ac:dyDescent="0.2">
      <c r="A268" s="2">
        <v>17</v>
      </c>
      <c r="B268" s="1" t="s">
        <v>197</v>
      </c>
      <c r="C268" s="4">
        <v>21</v>
      </c>
      <c r="D268" s="8">
        <v>1.38</v>
      </c>
      <c r="E268" s="4">
        <v>0</v>
      </c>
      <c r="F268" s="8">
        <v>0</v>
      </c>
      <c r="G268" s="4">
        <v>2</v>
      </c>
      <c r="H268" s="8">
        <v>0.28999999999999998</v>
      </c>
      <c r="I268" s="4">
        <v>0</v>
      </c>
    </row>
    <row r="269" spans="1:9" x14ac:dyDescent="0.2">
      <c r="A269" s="2">
        <v>19</v>
      </c>
      <c r="B269" s="1" t="s">
        <v>162</v>
      </c>
      <c r="C269" s="4">
        <v>20</v>
      </c>
      <c r="D269" s="8">
        <v>1.32</v>
      </c>
      <c r="E269" s="4">
        <v>2</v>
      </c>
      <c r="F269" s="8">
        <v>0.25</v>
      </c>
      <c r="G269" s="4">
        <v>18</v>
      </c>
      <c r="H269" s="8">
        <v>2.62</v>
      </c>
      <c r="I269" s="4">
        <v>0</v>
      </c>
    </row>
    <row r="270" spans="1:9" x14ac:dyDescent="0.2">
      <c r="A270" s="2">
        <v>19</v>
      </c>
      <c r="B270" s="1" t="s">
        <v>188</v>
      </c>
      <c r="C270" s="4">
        <v>20</v>
      </c>
      <c r="D270" s="8">
        <v>1.32</v>
      </c>
      <c r="E270" s="4">
        <v>2</v>
      </c>
      <c r="F270" s="8">
        <v>0.25</v>
      </c>
      <c r="G270" s="4">
        <v>18</v>
      </c>
      <c r="H270" s="8">
        <v>2.62</v>
      </c>
      <c r="I270" s="4">
        <v>0</v>
      </c>
    </row>
    <row r="271" spans="1:9" x14ac:dyDescent="0.2">
      <c r="A271" s="2">
        <v>19</v>
      </c>
      <c r="B271" s="1" t="s">
        <v>169</v>
      </c>
      <c r="C271" s="4">
        <v>20</v>
      </c>
      <c r="D271" s="8">
        <v>1.32</v>
      </c>
      <c r="E271" s="4">
        <v>9</v>
      </c>
      <c r="F271" s="8">
        <v>1.1299999999999999</v>
      </c>
      <c r="G271" s="4">
        <v>11</v>
      </c>
      <c r="H271" s="8">
        <v>1.6</v>
      </c>
      <c r="I271" s="4">
        <v>0</v>
      </c>
    </row>
    <row r="272" spans="1:9" x14ac:dyDescent="0.2">
      <c r="A272" s="1"/>
      <c r="C272" s="4"/>
      <c r="D272" s="8"/>
      <c r="E272" s="4"/>
      <c r="F272" s="8"/>
      <c r="G272" s="4"/>
      <c r="H272" s="8"/>
      <c r="I272" s="4"/>
    </row>
    <row r="273" spans="1:9" x14ac:dyDescent="0.2">
      <c r="A273" s="1" t="s">
        <v>12</v>
      </c>
      <c r="C273" s="4"/>
      <c r="D273" s="8"/>
      <c r="E273" s="4"/>
      <c r="F273" s="8"/>
      <c r="G273" s="4"/>
      <c r="H273" s="8"/>
      <c r="I273" s="4"/>
    </row>
    <row r="274" spans="1:9" x14ac:dyDescent="0.2">
      <c r="A274" s="2">
        <v>1</v>
      </c>
      <c r="B274" s="1" t="s">
        <v>168</v>
      </c>
      <c r="C274" s="4">
        <v>117</v>
      </c>
      <c r="D274" s="8">
        <v>7.69</v>
      </c>
      <c r="E274" s="4">
        <v>103</v>
      </c>
      <c r="F274" s="8">
        <v>10.62</v>
      </c>
      <c r="G274" s="4">
        <v>14</v>
      </c>
      <c r="H274" s="8">
        <v>2.6</v>
      </c>
      <c r="I274" s="4">
        <v>0</v>
      </c>
    </row>
    <row r="275" spans="1:9" x14ac:dyDescent="0.2">
      <c r="A275" s="2">
        <v>2</v>
      </c>
      <c r="B275" s="1" t="s">
        <v>174</v>
      </c>
      <c r="C275" s="4">
        <v>83</v>
      </c>
      <c r="D275" s="8">
        <v>5.46</v>
      </c>
      <c r="E275" s="4">
        <v>78</v>
      </c>
      <c r="F275" s="8">
        <v>8.0399999999999991</v>
      </c>
      <c r="G275" s="4">
        <v>5</v>
      </c>
      <c r="H275" s="8">
        <v>0.93</v>
      </c>
      <c r="I275" s="4">
        <v>0</v>
      </c>
    </row>
    <row r="276" spans="1:9" x14ac:dyDescent="0.2">
      <c r="A276" s="2">
        <v>3</v>
      </c>
      <c r="B276" s="1" t="s">
        <v>173</v>
      </c>
      <c r="C276" s="4">
        <v>64</v>
      </c>
      <c r="D276" s="8">
        <v>4.21</v>
      </c>
      <c r="E276" s="4">
        <v>63</v>
      </c>
      <c r="F276" s="8">
        <v>6.49</v>
      </c>
      <c r="G276" s="4">
        <v>1</v>
      </c>
      <c r="H276" s="8">
        <v>0.19</v>
      </c>
      <c r="I276" s="4">
        <v>0</v>
      </c>
    </row>
    <row r="277" spans="1:9" x14ac:dyDescent="0.2">
      <c r="A277" s="2">
        <v>4</v>
      </c>
      <c r="B277" s="1" t="s">
        <v>160</v>
      </c>
      <c r="C277" s="4">
        <v>46</v>
      </c>
      <c r="D277" s="8">
        <v>3.02</v>
      </c>
      <c r="E277" s="4">
        <v>26</v>
      </c>
      <c r="F277" s="8">
        <v>2.68</v>
      </c>
      <c r="G277" s="4">
        <v>20</v>
      </c>
      <c r="H277" s="8">
        <v>3.72</v>
      </c>
      <c r="I277" s="4">
        <v>0</v>
      </c>
    </row>
    <row r="278" spans="1:9" x14ac:dyDescent="0.2">
      <c r="A278" s="2">
        <v>4</v>
      </c>
      <c r="B278" s="1" t="s">
        <v>172</v>
      </c>
      <c r="C278" s="4">
        <v>46</v>
      </c>
      <c r="D278" s="8">
        <v>3.02</v>
      </c>
      <c r="E278" s="4">
        <v>46</v>
      </c>
      <c r="F278" s="8">
        <v>4.74</v>
      </c>
      <c r="G278" s="4">
        <v>0</v>
      </c>
      <c r="H278" s="8">
        <v>0</v>
      </c>
      <c r="I278" s="4">
        <v>0</v>
      </c>
    </row>
    <row r="279" spans="1:9" x14ac:dyDescent="0.2">
      <c r="A279" s="2">
        <v>6</v>
      </c>
      <c r="B279" s="1" t="s">
        <v>166</v>
      </c>
      <c r="C279" s="4">
        <v>35</v>
      </c>
      <c r="D279" s="8">
        <v>2.2999999999999998</v>
      </c>
      <c r="E279" s="4">
        <v>24</v>
      </c>
      <c r="F279" s="8">
        <v>2.4700000000000002</v>
      </c>
      <c r="G279" s="4">
        <v>10</v>
      </c>
      <c r="H279" s="8">
        <v>1.86</v>
      </c>
      <c r="I279" s="4">
        <v>1</v>
      </c>
    </row>
    <row r="280" spans="1:9" x14ac:dyDescent="0.2">
      <c r="A280" s="2">
        <v>7</v>
      </c>
      <c r="B280" s="1" t="s">
        <v>164</v>
      </c>
      <c r="C280" s="4">
        <v>33</v>
      </c>
      <c r="D280" s="8">
        <v>2.17</v>
      </c>
      <c r="E280" s="4">
        <v>17</v>
      </c>
      <c r="F280" s="8">
        <v>1.75</v>
      </c>
      <c r="G280" s="4">
        <v>16</v>
      </c>
      <c r="H280" s="8">
        <v>2.97</v>
      </c>
      <c r="I280" s="4">
        <v>0</v>
      </c>
    </row>
    <row r="281" spans="1:9" x14ac:dyDescent="0.2">
      <c r="A281" s="2">
        <v>8</v>
      </c>
      <c r="B281" s="1" t="s">
        <v>158</v>
      </c>
      <c r="C281" s="4">
        <v>31</v>
      </c>
      <c r="D281" s="8">
        <v>2.04</v>
      </c>
      <c r="E281" s="4">
        <v>9</v>
      </c>
      <c r="F281" s="8">
        <v>0.93</v>
      </c>
      <c r="G281" s="4">
        <v>22</v>
      </c>
      <c r="H281" s="8">
        <v>4.09</v>
      </c>
      <c r="I281" s="4">
        <v>0</v>
      </c>
    </row>
    <row r="282" spans="1:9" x14ac:dyDescent="0.2">
      <c r="A282" s="2">
        <v>9</v>
      </c>
      <c r="B282" s="1" t="s">
        <v>177</v>
      </c>
      <c r="C282" s="4">
        <v>29</v>
      </c>
      <c r="D282" s="8">
        <v>1.91</v>
      </c>
      <c r="E282" s="4">
        <v>23</v>
      </c>
      <c r="F282" s="8">
        <v>2.37</v>
      </c>
      <c r="G282" s="4">
        <v>6</v>
      </c>
      <c r="H282" s="8">
        <v>1.1200000000000001</v>
      </c>
      <c r="I282" s="4">
        <v>0</v>
      </c>
    </row>
    <row r="283" spans="1:9" x14ac:dyDescent="0.2">
      <c r="A283" s="2">
        <v>10</v>
      </c>
      <c r="B283" s="1" t="s">
        <v>178</v>
      </c>
      <c r="C283" s="4">
        <v>28</v>
      </c>
      <c r="D283" s="8">
        <v>1.84</v>
      </c>
      <c r="E283" s="4">
        <v>23</v>
      </c>
      <c r="F283" s="8">
        <v>2.37</v>
      </c>
      <c r="G283" s="4">
        <v>5</v>
      </c>
      <c r="H283" s="8">
        <v>0.93</v>
      </c>
      <c r="I283" s="4">
        <v>0</v>
      </c>
    </row>
    <row r="284" spans="1:9" x14ac:dyDescent="0.2">
      <c r="A284" s="2">
        <v>11</v>
      </c>
      <c r="B284" s="1" t="s">
        <v>165</v>
      </c>
      <c r="C284" s="4">
        <v>26</v>
      </c>
      <c r="D284" s="8">
        <v>1.71</v>
      </c>
      <c r="E284" s="4">
        <v>7</v>
      </c>
      <c r="F284" s="8">
        <v>0.72</v>
      </c>
      <c r="G284" s="4">
        <v>19</v>
      </c>
      <c r="H284" s="8">
        <v>3.53</v>
      </c>
      <c r="I284" s="4">
        <v>0</v>
      </c>
    </row>
    <row r="285" spans="1:9" x14ac:dyDescent="0.2">
      <c r="A285" s="2">
        <v>11</v>
      </c>
      <c r="B285" s="1" t="s">
        <v>167</v>
      </c>
      <c r="C285" s="4">
        <v>26</v>
      </c>
      <c r="D285" s="8">
        <v>1.71</v>
      </c>
      <c r="E285" s="4">
        <v>13</v>
      </c>
      <c r="F285" s="8">
        <v>1.34</v>
      </c>
      <c r="G285" s="4">
        <v>13</v>
      </c>
      <c r="H285" s="8">
        <v>2.42</v>
      </c>
      <c r="I285" s="4">
        <v>0</v>
      </c>
    </row>
    <row r="286" spans="1:9" x14ac:dyDescent="0.2">
      <c r="A286" s="2">
        <v>13</v>
      </c>
      <c r="B286" s="1" t="s">
        <v>159</v>
      </c>
      <c r="C286" s="4">
        <v>25</v>
      </c>
      <c r="D286" s="8">
        <v>1.64</v>
      </c>
      <c r="E286" s="4">
        <v>7</v>
      </c>
      <c r="F286" s="8">
        <v>0.72</v>
      </c>
      <c r="G286" s="4">
        <v>18</v>
      </c>
      <c r="H286" s="8">
        <v>3.35</v>
      </c>
      <c r="I286" s="4">
        <v>0</v>
      </c>
    </row>
    <row r="287" spans="1:9" x14ac:dyDescent="0.2">
      <c r="A287" s="2">
        <v>13</v>
      </c>
      <c r="B287" s="1" t="s">
        <v>176</v>
      </c>
      <c r="C287" s="4">
        <v>25</v>
      </c>
      <c r="D287" s="8">
        <v>1.64</v>
      </c>
      <c r="E287" s="4">
        <v>25</v>
      </c>
      <c r="F287" s="8">
        <v>2.58</v>
      </c>
      <c r="G287" s="4">
        <v>0</v>
      </c>
      <c r="H287" s="8">
        <v>0</v>
      </c>
      <c r="I287" s="4">
        <v>0</v>
      </c>
    </row>
    <row r="288" spans="1:9" x14ac:dyDescent="0.2">
      <c r="A288" s="2">
        <v>15</v>
      </c>
      <c r="B288" s="1" t="s">
        <v>161</v>
      </c>
      <c r="C288" s="4">
        <v>24</v>
      </c>
      <c r="D288" s="8">
        <v>1.58</v>
      </c>
      <c r="E288" s="4">
        <v>7</v>
      </c>
      <c r="F288" s="8">
        <v>0.72</v>
      </c>
      <c r="G288" s="4">
        <v>17</v>
      </c>
      <c r="H288" s="8">
        <v>3.16</v>
      </c>
      <c r="I288" s="4">
        <v>0</v>
      </c>
    </row>
    <row r="289" spans="1:9" x14ac:dyDescent="0.2">
      <c r="A289" s="2">
        <v>16</v>
      </c>
      <c r="B289" s="1" t="s">
        <v>171</v>
      </c>
      <c r="C289" s="4">
        <v>23</v>
      </c>
      <c r="D289" s="8">
        <v>1.51</v>
      </c>
      <c r="E289" s="4">
        <v>20</v>
      </c>
      <c r="F289" s="8">
        <v>2.06</v>
      </c>
      <c r="G289" s="4">
        <v>3</v>
      </c>
      <c r="H289" s="8">
        <v>0.56000000000000005</v>
      </c>
      <c r="I289" s="4">
        <v>0</v>
      </c>
    </row>
    <row r="290" spans="1:9" x14ac:dyDescent="0.2">
      <c r="A290" s="2">
        <v>17</v>
      </c>
      <c r="B290" s="1" t="s">
        <v>162</v>
      </c>
      <c r="C290" s="4">
        <v>21</v>
      </c>
      <c r="D290" s="8">
        <v>1.38</v>
      </c>
      <c r="E290" s="4">
        <v>5</v>
      </c>
      <c r="F290" s="8">
        <v>0.52</v>
      </c>
      <c r="G290" s="4">
        <v>16</v>
      </c>
      <c r="H290" s="8">
        <v>2.97</v>
      </c>
      <c r="I290" s="4">
        <v>0</v>
      </c>
    </row>
    <row r="291" spans="1:9" x14ac:dyDescent="0.2">
      <c r="A291" s="2">
        <v>17</v>
      </c>
      <c r="B291" s="1" t="s">
        <v>182</v>
      </c>
      <c r="C291" s="4">
        <v>21</v>
      </c>
      <c r="D291" s="8">
        <v>1.38</v>
      </c>
      <c r="E291" s="4">
        <v>9</v>
      </c>
      <c r="F291" s="8">
        <v>0.93</v>
      </c>
      <c r="G291" s="4">
        <v>12</v>
      </c>
      <c r="H291" s="8">
        <v>2.23</v>
      </c>
      <c r="I291" s="4">
        <v>0</v>
      </c>
    </row>
    <row r="292" spans="1:9" x14ac:dyDescent="0.2">
      <c r="A292" s="2">
        <v>19</v>
      </c>
      <c r="B292" s="1" t="s">
        <v>198</v>
      </c>
      <c r="C292" s="4">
        <v>20</v>
      </c>
      <c r="D292" s="8">
        <v>1.31</v>
      </c>
      <c r="E292" s="4">
        <v>13</v>
      </c>
      <c r="F292" s="8">
        <v>1.34</v>
      </c>
      <c r="G292" s="4">
        <v>7</v>
      </c>
      <c r="H292" s="8">
        <v>1.3</v>
      </c>
      <c r="I292" s="4">
        <v>0</v>
      </c>
    </row>
    <row r="293" spans="1:9" x14ac:dyDescent="0.2">
      <c r="A293" s="2">
        <v>19</v>
      </c>
      <c r="B293" s="1" t="s">
        <v>179</v>
      </c>
      <c r="C293" s="4">
        <v>20</v>
      </c>
      <c r="D293" s="8">
        <v>1.31</v>
      </c>
      <c r="E293" s="4">
        <v>18</v>
      </c>
      <c r="F293" s="8">
        <v>1.86</v>
      </c>
      <c r="G293" s="4">
        <v>2</v>
      </c>
      <c r="H293" s="8">
        <v>0.37</v>
      </c>
      <c r="I293" s="4">
        <v>0</v>
      </c>
    </row>
    <row r="294" spans="1:9" x14ac:dyDescent="0.2">
      <c r="A294" s="1"/>
      <c r="C294" s="4"/>
      <c r="D294" s="8"/>
      <c r="E294" s="4"/>
      <c r="F294" s="8"/>
      <c r="G294" s="4"/>
      <c r="H294" s="8"/>
      <c r="I294" s="4"/>
    </row>
    <row r="295" spans="1:9" x14ac:dyDescent="0.2">
      <c r="A295" s="1" t="s">
        <v>13</v>
      </c>
      <c r="C295" s="4"/>
      <c r="D295" s="8"/>
      <c r="E295" s="4"/>
      <c r="F295" s="8"/>
      <c r="G295" s="4"/>
      <c r="H295" s="8"/>
      <c r="I295" s="4"/>
    </row>
    <row r="296" spans="1:9" x14ac:dyDescent="0.2">
      <c r="A296" s="2">
        <v>1</v>
      </c>
      <c r="B296" s="1" t="s">
        <v>168</v>
      </c>
      <c r="C296" s="4">
        <v>63</v>
      </c>
      <c r="D296" s="8">
        <v>8.51</v>
      </c>
      <c r="E296" s="4">
        <v>47</v>
      </c>
      <c r="F296" s="8">
        <v>11.27</v>
      </c>
      <c r="G296" s="4">
        <v>16</v>
      </c>
      <c r="H296" s="8">
        <v>5.05</v>
      </c>
      <c r="I296" s="4">
        <v>0</v>
      </c>
    </row>
    <row r="297" spans="1:9" x14ac:dyDescent="0.2">
      <c r="A297" s="2">
        <v>2</v>
      </c>
      <c r="B297" s="1" t="s">
        <v>174</v>
      </c>
      <c r="C297" s="4">
        <v>37</v>
      </c>
      <c r="D297" s="8">
        <v>5</v>
      </c>
      <c r="E297" s="4">
        <v>31</v>
      </c>
      <c r="F297" s="8">
        <v>7.43</v>
      </c>
      <c r="G297" s="4">
        <v>6</v>
      </c>
      <c r="H297" s="8">
        <v>1.89</v>
      </c>
      <c r="I297" s="4">
        <v>0</v>
      </c>
    </row>
    <row r="298" spans="1:9" x14ac:dyDescent="0.2">
      <c r="A298" s="2">
        <v>3</v>
      </c>
      <c r="B298" s="1" t="s">
        <v>173</v>
      </c>
      <c r="C298" s="4">
        <v>29</v>
      </c>
      <c r="D298" s="8">
        <v>3.92</v>
      </c>
      <c r="E298" s="4">
        <v>29</v>
      </c>
      <c r="F298" s="8">
        <v>6.95</v>
      </c>
      <c r="G298" s="4">
        <v>0</v>
      </c>
      <c r="H298" s="8">
        <v>0</v>
      </c>
      <c r="I298" s="4">
        <v>0</v>
      </c>
    </row>
    <row r="299" spans="1:9" x14ac:dyDescent="0.2">
      <c r="A299" s="2">
        <v>4</v>
      </c>
      <c r="B299" s="1" t="s">
        <v>159</v>
      </c>
      <c r="C299" s="4">
        <v>28</v>
      </c>
      <c r="D299" s="8">
        <v>3.78</v>
      </c>
      <c r="E299" s="4">
        <v>6</v>
      </c>
      <c r="F299" s="8">
        <v>1.44</v>
      </c>
      <c r="G299" s="4">
        <v>22</v>
      </c>
      <c r="H299" s="8">
        <v>6.94</v>
      </c>
      <c r="I299" s="4">
        <v>0</v>
      </c>
    </row>
    <row r="300" spans="1:9" x14ac:dyDescent="0.2">
      <c r="A300" s="2">
        <v>5</v>
      </c>
      <c r="B300" s="1" t="s">
        <v>160</v>
      </c>
      <c r="C300" s="4">
        <v>21</v>
      </c>
      <c r="D300" s="8">
        <v>2.84</v>
      </c>
      <c r="E300" s="4">
        <v>14</v>
      </c>
      <c r="F300" s="8">
        <v>3.36</v>
      </c>
      <c r="G300" s="4">
        <v>7</v>
      </c>
      <c r="H300" s="8">
        <v>2.21</v>
      </c>
      <c r="I300" s="4">
        <v>0</v>
      </c>
    </row>
    <row r="301" spans="1:9" x14ac:dyDescent="0.2">
      <c r="A301" s="2">
        <v>6</v>
      </c>
      <c r="B301" s="1" t="s">
        <v>176</v>
      </c>
      <c r="C301" s="4">
        <v>19</v>
      </c>
      <c r="D301" s="8">
        <v>2.57</v>
      </c>
      <c r="E301" s="4">
        <v>15</v>
      </c>
      <c r="F301" s="8">
        <v>3.6</v>
      </c>
      <c r="G301" s="4">
        <v>4</v>
      </c>
      <c r="H301" s="8">
        <v>1.26</v>
      </c>
      <c r="I301" s="4">
        <v>0</v>
      </c>
    </row>
    <row r="302" spans="1:9" x14ac:dyDescent="0.2">
      <c r="A302" s="2">
        <v>7</v>
      </c>
      <c r="B302" s="1" t="s">
        <v>171</v>
      </c>
      <c r="C302" s="4">
        <v>17</v>
      </c>
      <c r="D302" s="8">
        <v>2.2999999999999998</v>
      </c>
      <c r="E302" s="4">
        <v>15</v>
      </c>
      <c r="F302" s="8">
        <v>3.6</v>
      </c>
      <c r="G302" s="4">
        <v>2</v>
      </c>
      <c r="H302" s="8">
        <v>0.63</v>
      </c>
      <c r="I302" s="4">
        <v>0</v>
      </c>
    </row>
    <row r="303" spans="1:9" x14ac:dyDescent="0.2">
      <c r="A303" s="2">
        <v>8</v>
      </c>
      <c r="B303" s="1" t="s">
        <v>194</v>
      </c>
      <c r="C303" s="4">
        <v>16</v>
      </c>
      <c r="D303" s="8">
        <v>2.16</v>
      </c>
      <c r="E303" s="4">
        <v>9</v>
      </c>
      <c r="F303" s="8">
        <v>2.16</v>
      </c>
      <c r="G303" s="4">
        <v>7</v>
      </c>
      <c r="H303" s="8">
        <v>2.21</v>
      </c>
      <c r="I303" s="4">
        <v>0</v>
      </c>
    </row>
    <row r="304" spans="1:9" x14ac:dyDescent="0.2">
      <c r="A304" s="2">
        <v>9</v>
      </c>
      <c r="B304" s="1" t="s">
        <v>166</v>
      </c>
      <c r="C304" s="4">
        <v>14</v>
      </c>
      <c r="D304" s="8">
        <v>1.89</v>
      </c>
      <c r="E304" s="4">
        <v>10</v>
      </c>
      <c r="F304" s="8">
        <v>2.4</v>
      </c>
      <c r="G304" s="4">
        <v>4</v>
      </c>
      <c r="H304" s="8">
        <v>1.26</v>
      </c>
      <c r="I304" s="4">
        <v>0</v>
      </c>
    </row>
    <row r="305" spans="1:9" x14ac:dyDescent="0.2">
      <c r="A305" s="2">
        <v>10</v>
      </c>
      <c r="B305" s="1" t="s">
        <v>158</v>
      </c>
      <c r="C305" s="4">
        <v>13</v>
      </c>
      <c r="D305" s="8">
        <v>1.76</v>
      </c>
      <c r="E305" s="4">
        <v>6</v>
      </c>
      <c r="F305" s="8">
        <v>1.44</v>
      </c>
      <c r="G305" s="4">
        <v>7</v>
      </c>
      <c r="H305" s="8">
        <v>2.21</v>
      </c>
      <c r="I305" s="4">
        <v>0</v>
      </c>
    </row>
    <row r="306" spans="1:9" x14ac:dyDescent="0.2">
      <c r="A306" s="2">
        <v>10</v>
      </c>
      <c r="B306" s="1" t="s">
        <v>177</v>
      </c>
      <c r="C306" s="4">
        <v>13</v>
      </c>
      <c r="D306" s="8">
        <v>1.76</v>
      </c>
      <c r="E306" s="4">
        <v>11</v>
      </c>
      <c r="F306" s="8">
        <v>2.64</v>
      </c>
      <c r="G306" s="4">
        <v>2</v>
      </c>
      <c r="H306" s="8">
        <v>0.63</v>
      </c>
      <c r="I306" s="4">
        <v>0</v>
      </c>
    </row>
    <row r="307" spans="1:9" x14ac:dyDescent="0.2">
      <c r="A307" s="2">
        <v>12</v>
      </c>
      <c r="B307" s="1" t="s">
        <v>178</v>
      </c>
      <c r="C307" s="4">
        <v>12</v>
      </c>
      <c r="D307" s="8">
        <v>1.62</v>
      </c>
      <c r="E307" s="4">
        <v>9</v>
      </c>
      <c r="F307" s="8">
        <v>2.16</v>
      </c>
      <c r="G307" s="4">
        <v>3</v>
      </c>
      <c r="H307" s="8">
        <v>0.95</v>
      </c>
      <c r="I307" s="4">
        <v>0</v>
      </c>
    </row>
    <row r="308" spans="1:9" x14ac:dyDescent="0.2">
      <c r="A308" s="2">
        <v>13</v>
      </c>
      <c r="B308" s="1" t="s">
        <v>161</v>
      </c>
      <c r="C308" s="4">
        <v>11</v>
      </c>
      <c r="D308" s="8">
        <v>1.49</v>
      </c>
      <c r="E308" s="4">
        <v>6</v>
      </c>
      <c r="F308" s="8">
        <v>1.44</v>
      </c>
      <c r="G308" s="4">
        <v>5</v>
      </c>
      <c r="H308" s="8">
        <v>1.58</v>
      </c>
      <c r="I308" s="4">
        <v>0</v>
      </c>
    </row>
    <row r="309" spans="1:9" x14ac:dyDescent="0.2">
      <c r="A309" s="2">
        <v>13</v>
      </c>
      <c r="B309" s="1" t="s">
        <v>170</v>
      </c>
      <c r="C309" s="4">
        <v>11</v>
      </c>
      <c r="D309" s="8">
        <v>1.49</v>
      </c>
      <c r="E309" s="4">
        <v>5</v>
      </c>
      <c r="F309" s="8">
        <v>1.2</v>
      </c>
      <c r="G309" s="4">
        <v>6</v>
      </c>
      <c r="H309" s="8">
        <v>1.89</v>
      </c>
      <c r="I309" s="4">
        <v>0</v>
      </c>
    </row>
    <row r="310" spans="1:9" x14ac:dyDescent="0.2">
      <c r="A310" s="2">
        <v>15</v>
      </c>
      <c r="B310" s="1" t="s">
        <v>193</v>
      </c>
      <c r="C310" s="4">
        <v>10</v>
      </c>
      <c r="D310" s="8">
        <v>1.35</v>
      </c>
      <c r="E310" s="4">
        <v>6</v>
      </c>
      <c r="F310" s="8">
        <v>1.44</v>
      </c>
      <c r="G310" s="4">
        <v>4</v>
      </c>
      <c r="H310" s="8">
        <v>1.26</v>
      </c>
      <c r="I310" s="4">
        <v>0</v>
      </c>
    </row>
    <row r="311" spans="1:9" x14ac:dyDescent="0.2">
      <c r="A311" s="2">
        <v>15</v>
      </c>
      <c r="B311" s="1" t="s">
        <v>167</v>
      </c>
      <c r="C311" s="4">
        <v>10</v>
      </c>
      <c r="D311" s="8">
        <v>1.35</v>
      </c>
      <c r="E311" s="4">
        <v>4</v>
      </c>
      <c r="F311" s="8">
        <v>0.96</v>
      </c>
      <c r="G311" s="4">
        <v>6</v>
      </c>
      <c r="H311" s="8">
        <v>1.89</v>
      </c>
      <c r="I311" s="4">
        <v>0</v>
      </c>
    </row>
    <row r="312" spans="1:9" x14ac:dyDescent="0.2">
      <c r="A312" s="2">
        <v>15</v>
      </c>
      <c r="B312" s="1" t="s">
        <v>181</v>
      </c>
      <c r="C312" s="4">
        <v>10</v>
      </c>
      <c r="D312" s="8">
        <v>1.35</v>
      </c>
      <c r="E312" s="4">
        <v>9</v>
      </c>
      <c r="F312" s="8">
        <v>2.16</v>
      </c>
      <c r="G312" s="4">
        <v>1</v>
      </c>
      <c r="H312" s="8">
        <v>0.32</v>
      </c>
      <c r="I312" s="4">
        <v>0</v>
      </c>
    </row>
    <row r="313" spans="1:9" x14ac:dyDescent="0.2">
      <c r="A313" s="2">
        <v>15</v>
      </c>
      <c r="B313" s="1" t="s">
        <v>172</v>
      </c>
      <c r="C313" s="4">
        <v>10</v>
      </c>
      <c r="D313" s="8">
        <v>1.35</v>
      </c>
      <c r="E313" s="4">
        <v>10</v>
      </c>
      <c r="F313" s="8">
        <v>2.4</v>
      </c>
      <c r="G313" s="4">
        <v>0</v>
      </c>
      <c r="H313" s="8">
        <v>0</v>
      </c>
      <c r="I313" s="4">
        <v>0</v>
      </c>
    </row>
    <row r="314" spans="1:9" x14ac:dyDescent="0.2">
      <c r="A314" s="2">
        <v>15</v>
      </c>
      <c r="B314" s="1" t="s">
        <v>200</v>
      </c>
      <c r="C314" s="4">
        <v>10</v>
      </c>
      <c r="D314" s="8">
        <v>1.35</v>
      </c>
      <c r="E314" s="4">
        <v>0</v>
      </c>
      <c r="F314" s="8">
        <v>0</v>
      </c>
      <c r="G314" s="4">
        <v>8</v>
      </c>
      <c r="H314" s="8">
        <v>2.52</v>
      </c>
      <c r="I314" s="4">
        <v>0</v>
      </c>
    </row>
    <row r="315" spans="1:9" x14ac:dyDescent="0.2">
      <c r="A315" s="2">
        <v>20</v>
      </c>
      <c r="B315" s="1" t="s">
        <v>199</v>
      </c>
      <c r="C315" s="4">
        <v>9</v>
      </c>
      <c r="D315" s="8">
        <v>1.22</v>
      </c>
      <c r="E315" s="4">
        <v>6</v>
      </c>
      <c r="F315" s="8">
        <v>1.44</v>
      </c>
      <c r="G315" s="4">
        <v>3</v>
      </c>
      <c r="H315" s="8">
        <v>0.95</v>
      </c>
      <c r="I315" s="4">
        <v>0</v>
      </c>
    </row>
    <row r="316" spans="1:9" x14ac:dyDescent="0.2">
      <c r="A316" s="2">
        <v>20</v>
      </c>
      <c r="B316" s="1" t="s">
        <v>163</v>
      </c>
      <c r="C316" s="4">
        <v>9</v>
      </c>
      <c r="D316" s="8">
        <v>1.22</v>
      </c>
      <c r="E316" s="4">
        <v>5</v>
      </c>
      <c r="F316" s="8">
        <v>1.2</v>
      </c>
      <c r="G316" s="4">
        <v>4</v>
      </c>
      <c r="H316" s="8">
        <v>1.26</v>
      </c>
      <c r="I316" s="4">
        <v>0</v>
      </c>
    </row>
    <row r="317" spans="1:9" x14ac:dyDescent="0.2">
      <c r="A317" s="2">
        <v>20</v>
      </c>
      <c r="B317" s="1" t="s">
        <v>169</v>
      </c>
      <c r="C317" s="4">
        <v>9</v>
      </c>
      <c r="D317" s="8">
        <v>1.22</v>
      </c>
      <c r="E317" s="4">
        <v>3</v>
      </c>
      <c r="F317" s="8">
        <v>0.72</v>
      </c>
      <c r="G317" s="4">
        <v>6</v>
      </c>
      <c r="H317" s="8">
        <v>1.89</v>
      </c>
      <c r="I317" s="4">
        <v>0</v>
      </c>
    </row>
    <row r="318" spans="1:9" x14ac:dyDescent="0.2">
      <c r="A318" s="1"/>
      <c r="C318" s="4"/>
      <c r="D318" s="8"/>
      <c r="E318" s="4"/>
      <c r="F318" s="8"/>
      <c r="G318" s="4"/>
      <c r="H318" s="8"/>
      <c r="I318" s="4"/>
    </row>
    <row r="319" spans="1:9" x14ac:dyDescent="0.2">
      <c r="A319" s="1" t="s">
        <v>14</v>
      </c>
      <c r="C319" s="4"/>
      <c r="D319" s="8"/>
      <c r="E319" s="4"/>
      <c r="F319" s="8"/>
      <c r="G319" s="4"/>
      <c r="H319" s="8"/>
      <c r="I319" s="4"/>
    </row>
    <row r="320" spans="1:9" x14ac:dyDescent="0.2">
      <c r="A320" s="2">
        <v>1</v>
      </c>
      <c r="B320" s="1" t="s">
        <v>168</v>
      </c>
      <c r="C320" s="4">
        <v>19</v>
      </c>
      <c r="D320" s="8">
        <v>7.22</v>
      </c>
      <c r="E320" s="4">
        <v>14</v>
      </c>
      <c r="F320" s="8">
        <v>8.86</v>
      </c>
      <c r="G320" s="4">
        <v>5</v>
      </c>
      <c r="H320" s="8">
        <v>5</v>
      </c>
      <c r="I320" s="4">
        <v>0</v>
      </c>
    </row>
    <row r="321" spans="1:9" x14ac:dyDescent="0.2">
      <c r="A321" s="2">
        <v>2</v>
      </c>
      <c r="B321" s="1" t="s">
        <v>173</v>
      </c>
      <c r="C321" s="4">
        <v>12</v>
      </c>
      <c r="D321" s="8">
        <v>4.5599999999999996</v>
      </c>
      <c r="E321" s="4">
        <v>12</v>
      </c>
      <c r="F321" s="8">
        <v>7.59</v>
      </c>
      <c r="G321" s="4">
        <v>0</v>
      </c>
      <c r="H321" s="8">
        <v>0</v>
      </c>
      <c r="I321" s="4">
        <v>0</v>
      </c>
    </row>
    <row r="322" spans="1:9" x14ac:dyDescent="0.2">
      <c r="A322" s="2">
        <v>3</v>
      </c>
      <c r="B322" s="1" t="s">
        <v>164</v>
      </c>
      <c r="C322" s="4">
        <v>11</v>
      </c>
      <c r="D322" s="8">
        <v>4.18</v>
      </c>
      <c r="E322" s="4">
        <v>6</v>
      </c>
      <c r="F322" s="8">
        <v>3.8</v>
      </c>
      <c r="G322" s="4">
        <v>5</v>
      </c>
      <c r="H322" s="8">
        <v>5</v>
      </c>
      <c r="I322" s="4">
        <v>0</v>
      </c>
    </row>
    <row r="323" spans="1:9" x14ac:dyDescent="0.2">
      <c r="A323" s="2">
        <v>3</v>
      </c>
      <c r="B323" s="1" t="s">
        <v>174</v>
      </c>
      <c r="C323" s="4">
        <v>11</v>
      </c>
      <c r="D323" s="8">
        <v>4.18</v>
      </c>
      <c r="E323" s="4">
        <v>11</v>
      </c>
      <c r="F323" s="8">
        <v>6.96</v>
      </c>
      <c r="G323" s="4">
        <v>0</v>
      </c>
      <c r="H323" s="8">
        <v>0</v>
      </c>
      <c r="I323" s="4">
        <v>0</v>
      </c>
    </row>
    <row r="324" spans="1:9" x14ac:dyDescent="0.2">
      <c r="A324" s="2">
        <v>5</v>
      </c>
      <c r="B324" s="1" t="s">
        <v>175</v>
      </c>
      <c r="C324" s="4">
        <v>10</v>
      </c>
      <c r="D324" s="8">
        <v>3.8</v>
      </c>
      <c r="E324" s="4">
        <v>8</v>
      </c>
      <c r="F324" s="8">
        <v>5.0599999999999996</v>
      </c>
      <c r="G324" s="4">
        <v>2</v>
      </c>
      <c r="H324" s="8">
        <v>2</v>
      </c>
      <c r="I324" s="4">
        <v>0</v>
      </c>
    </row>
    <row r="325" spans="1:9" x14ac:dyDescent="0.2">
      <c r="A325" s="2">
        <v>6</v>
      </c>
      <c r="B325" s="1" t="s">
        <v>166</v>
      </c>
      <c r="C325" s="4">
        <v>7</v>
      </c>
      <c r="D325" s="8">
        <v>2.66</v>
      </c>
      <c r="E325" s="4">
        <v>3</v>
      </c>
      <c r="F325" s="8">
        <v>1.9</v>
      </c>
      <c r="G325" s="4">
        <v>4</v>
      </c>
      <c r="H325" s="8">
        <v>4</v>
      </c>
      <c r="I325" s="4">
        <v>0</v>
      </c>
    </row>
    <row r="326" spans="1:9" x14ac:dyDescent="0.2">
      <c r="A326" s="2">
        <v>6</v>
      </c>
      <c r="B326" s="1" t="s">
        <v>176</v>
      </c>
      <c r="C326" s="4">
        <v>7</v>
      </c>
      <c r="D326" s="8">
        <v>2.66</v>
      </c>
      <c r="E326" s="4">
        <v>7</v>
      </c>
      <c r="F326" s="8">
        <v>4.43</v>
      </c>
      <c r="G326" s="4">
        <v>0</v>
      </c>
      <c r="H326" s="8">
        <v>0</v>
      </c>
      <c r="I326" s="4">
        <v>0</v>
      </c>
    </row>
    <row r="327" spans="1:9" x14ac:dyDescent="0.2">
      <c r="A327" s="2">
        <v>8</v>
      </c>
      <c r="B327" s="1" t="s">
        <v>159</v>
      </c>
      <c r="C327" s="4">
        <v>6</v>
      </c>
      <c r="D327" s="8">
        <v>2.2799999999999998</v>
      </c>
      <c r="E327" s="4">
        <v>1</v>
      </c>
      <c r="F327" s="8">
        <v>0.63</v>
      </c>
      <c r="G327" s="4">
        <v>5</v>
      </c>
      <c r="H327" s="8">
        <v>5</v>
      </c>
      <c r="I327" s="4">
        <v>0</v>
      </c>
    </row>
    <row r="328" spans="1:9" x14ac:dyDescent="0.2">
      <c r="A328" s="2">
        <v>8</v>
      </c>
      <c r="B328" s="1" t="s">
        <v>177</v>
      </c>
      <c r="C328" s="4">
        <v>6</v>
      </c>
      <c r="D328" s="8">
        <v>2.2799999999999998</v>
      </c>
      <c r="E328" s="4">
        <v>3</v>
      </c>
      <c r="F328" s="8">
        <v>1.9</v>
      </c>
      <c r="G328" s="4">
        <v>3</v>
      </c>
      <c r="H328" s="8">
        <v>3</v>
      </c>
      <c r="I328" s="4">
        <v>0</v>
      </c>
    </row>
    <row r="329" spans="1:9" x14ac:dyDescent="0.2">
      <c r="A329" s="2">
        <v>10</v>
      </c>
      <c r="B329" s="1" t="s">
        <v>187</v>
      </c>
      <c r="C329" s="4">
        <v>5</v>
      </c>
      <c r="D329" s="8">
        <v>1.9</v>
      </c>
      <c r="E329" s="4">
        <v>1</v>
      </c>
      <c r="F329" s="8">
        <v>0.63</v>
      </c>
      <c r="G329" s="4">
        <v>4</v>
      </c>
      <c r="H329" s="8">
        <v>4</v>
      </c>
      <c r="I329" s="4">
        <v>0</v>
      </c>
    </row>
    <row r="330" spans="1:9" x14ac:dyDescent="0.2">
      <c r="A330" s="2">
        <v>10</v>
      </c>
      <c r="B330" s="1" t="s">
        <v>161</v>
      </c>
      <c r="C330" s="4">
        <v>5</v>
      </c>
      <c r="D330" s="8">
        <v>1.9</v>
      </c>
      <c r="E330" s="4">
        <v>2</v>
      </c>
      <c r="F330" s="8">
        <v>1.27</v>
      </c>
      <c r="G330" s="4">
        <v>3</v>
      </c>
      <c r="H330" s="8">
        <v>3</v>
      </c>
      <c r="I330" s="4">
        <v>0</v>
      </c>
    </row>
    <row r="331" spans="1:9" x14ac:dyDescent="0.2">
      <c r="A331" s="2">
        <v>10</v>
      </c>
      <c r="B331" s="1" t="s">
        <v>188</v>
      </c>
      <c r="C331" s="4">
        <v>5</v>
      </c>
      <c r="D331" s="8">
        <v>1.9</v>
      </c>
      <c r="E331" s="4">
        <v>3</v>
      </c>
      <c r="F331" s="8">
        <v>1.9</v>
      </c>
      <c r="G331" s="4">
        <v>2</v>
      </c>
      <c r="H331" s="8">
        <v>2</v>
      </c>
      <c r="I331" s="4">
        <v>0</v>
      </c>
    </row>
    <row r="332" spans="1:9" x14ac:dyDescent="0.2">
      <c r="A332" s="2">
        <v>13</v>
      </c>
      <c r="B332" s="1" t="s">
        <v>160</v>
      </c>
      <c r="C332" s="4">
        <v>4</v>
      </c>
      <c r="D332" s="8">
        <v>1.52</v>
      </c>
      <c r="E332" s="4">
        <v>2</v>
      </c>
      <c r="F332" s="8">
        <v>1.27</v>
      </c>
      <c r="G332" s="4">
        <v>2</v>
      </c>
      <c r="H332" s="8">
        <v>2</v>
      </c>
      <c r="I332" s="4">
        <v>0</v>
      </c>
    </row>
    <row r="333" spans="1:9" x14ac:dyDescent="0.2">
      <c r="A333" s="2">
        <v>13</v>
      </c>
      <c r="B333" s="1" t="s">
        <v>198</v>
      </c>
      <c r="C333" s="4">
        <v>4</v>
      </c>
      <c r="D333" s="8">
        <v>1.52</v>
      </c>
      <c r="E333" s="4">
        <v>2</v>
      </c>
      <c r="F333" s="8">
        <v>1.27</v>
      </c>
      <c r="G333" s="4">
        <v>2</v>
      </c>
      <c r="H333" s="8">
        <v>2</v>
      </c>
      <c r="I333" s="4">
        <v>0</v>
      </c>
    </row>
    <row r="334" spans="1:9" x14ac:dyDescent="0.2">
      <c r="A334" s="2">
        <v>13</v>
      </c>
      <c r="B334" s="1" t="s">
        <v>202</v>
      </c>
      <c r="C334" s="4">
        <v>4</v>
      </c>
      <c r="D334" s="8">
        <v>1.52</v>
      </c>
      <c r="E334" s="4">
        <v>3</v>
      </c>
      <c r="F334" s="8">
        <v>1.9</v>
      </c>
      <c r="G334" s="4">
        <v>1</v>
      </c>
      <c r="H334" s="8">
        <v>1</v>
      </c>
      <c r="I334" s="4">
        <v>0</v>
      </c>
    </row>
    <row r="335" spans="1:9" x14ac:dyDescent="0.2">
      <c r="A335" s="2">
        <v>13</v>
      </c>
      <c r="B335" s="1" t="s">
        <v>182</v>
      </c>
      <c r="C335" s="4">
        <v>4</v>
      </c>
      <c r="D335" s="8">
        <v>1.52</v>
      </c>
      <c r="E335" s="4">
        <v>3</v>
      </c>
      <c r="F335" s="8">
        <v>1.9</v>
      </c>
      <c r="G335" s="4">
        <v>1</v>
      </c>
      <c r="H335" s="8">
        <v>1</v>
      </c>
      <c r="I335" s="4">
        <v>0</v>
      </c>
    </row>
    <row r="336" spans="1:9" x14ac:dyDescent="0.2">
      <c r="A336" s="2">
        <v>13</v>
      </c>
      <c r="B336" s="1" t="s">
        <v>184</v>
      </c>
      <c r="C336" s="4">
        <v>4</v>
      </c>
      <c r="D336" s="8">
        <v>1.52</v>
      </c>
      <c r="E336" s="4">
        <v>3</v>
      </c>
      <c r="F336" s="8">
        <v>1.9</v>
      </c>
      <c r="G336" s="4">
        <v>1</v>
      </c>
      <c r="H336" s="8">
        <v>1</v>
      </c>
      <c r="I336" s="4">
        <v>0</v>
      </c>
    </row>
    <row r="337" spans="1:9" x14ac:dyDescent="0.2">
      <c r="A337" s="2">
        <v>18</v>
      </c>
      <c r="B337" s="1" t="s">
        <v>158</v>
      </c>
      <c r="C337" s="4">
        <v>3</v>
      </c>
      <c r="D337" s="8">
        <v>1.1399999999999999</v>
      </c>
      <c r="E337" s="4">
        <v>2</v>
      </c>
      <c r="F337" s="8">
        <v>1.27</v>
      </c>
      <c r="G337" s="4">
        <v>1</v>
      </c>
      <c r="H337" s="8">
        <v>1</v>
      </c>
      <c r="I337" s="4">
        <v>0</v>
      </c>
    </row>
    <row r="338" spans="1:9" x14ac:dyDescent="0.2">
      <c r="A338" s="2">
        <v>18</v>
      </c>
      <c r="B338" s="1" t="s">
        <v>194</v>
      </c>
      <c r="C338" s="4">
        <v>3</v>
      </c>
      <c r="D338" s="8">
        <v>1.1399999999999999</v>
      </c>
      <c r="E338" s="4">
        <v>1</v>
      </c>
      <c r="F338" s="8">
        <v>0.63</v>
      </c>
      <c r="G338" s="4">
        <v>2</v>
      </c>
      <c r="H338" s="8">
        <v>2</v>
      </c>
      <c r="I338" s="4">
        <v>0</v>
      </c>
    </row>
    <row r="339" spans="1:9" x14ac:dyDescent="0.2">
      <c r="A339" s="2">
        <v>18</v>
      </c>
      <c r="B339" s="1" t="s">
        <v>201</v>
      </c>
      <c r="C339" s="4">
        <v>3</v>
      </c>
      <c r="D339" s="8">
        <v>1.1399999999999999</v>
      </c>
      <c r="E339" s="4">
        <v>3</v>
      </c>
      <c r="F339" s="8">
        <v>1.9</v>
      </c>
      <c r="G339" s="4">
        <v>0</v>
      </c>
      <c r="H339" s="8">
        <v>0</v>
      </c>
      <c r="I339" s="4">
        <v>0</v>
      </c>
    </row>
    <row r="340" spans="1:9" x14ac:dyDescent="0.2">
      <c r="A340" s="2">
        <v>18</v>
      </c>
      <c r="B340" s="1" t="s">
        <v>195</v>
      </c>
      <c r="C340" s="4">
        <v>3</v>
      </c>
      <c r="D340" s="8">
        <v>1.1399999999999999</v>
      </c>
      <c r="E340" s="4">
        <v>3</v>
      </c>
      <c r="F340" s="8">
        <v>1.9</v>
      </c>
      <c r="G340" s="4">
        <v>0</v>
      </c>
      <c r="H340" s="8">
        <v>0</v>
      </c>
      <c r="I340" s="4">
        <v>0</v>
      </c>
    </row>
    <row r="341" spans="1:9" x14ac:dyDescent="0.2">
      <c r="A341" s="2">
        <v>18</v>
      </c>
      <c r="B341" s="1" t="s">
        <v>203</v>
      </c>
      <c r="C341" s="4">
        <v>3</v>
      </c>
      <c r="D341" s="8">
        <v>1.1399999999999999</v>
      </c>
      <c r="E341" s="4">
        <v>0</v>
      </c>
      <c r="F341" s="8">
        <v>0</v>
      </c>
      <c r="G341" s="4">
        <v>3</v>
      </c>
      <c r="H341" s="8">
        <v>3</v>
      </c>
      <c r="I341" s="4">
        <v>0</v>
      </c>
    </row>
    <row r="342" spans="1:9" x14ac:dyDescent="0.2">
      <c r="A342" s="2">
        <v>18</v>
      </c>
      <c r="B342" s="1" t="s">
        <v>191</v>
      </c>
      <c r="C342" s="4">
        <v>3</v>
      </c>
      <c r="D342" s="8">
        <v>1.1399999999999999</v>
      </c>
      <c r="E342" s="4">
        <v>3</v>
      </c>
      <c r="F342" s="8">
        <v>1.9</v>
      </c>
      <c r="G342" s="4">
        <v>0</v>
      </c>
      <c r="H342" s="8">
        <v>0</v>
      </c>
      <c r="I342" s="4">
        <v>0</v>
      </c>
    </row>
    <row r="343" spans="1:9" x14ac:dyDescent="0.2">
      <c r="A343" s="2">
        <v>18</v>
      </c>
      <c r="B343" s="1" t="s">
        <v>178</v>
      </c>
      <c r="C343" s="4">
        <v>3</v>
      </c>
      <c r="D343" s="8">
        <v>1.1399999999999999</v>
      </c>
      <c r="E343" s="4">
        <v>3</v>
      </c>
      <c r="F343" s="8">
        <v>1.9</v>
      </c>
      <c r="G343" s="4">
        <v>0</v>
      </c>
      <c r="H343" s="8">
        <v>0</v>
      </c>
      <c r="I343" s="4">
        <v>0</v>
      </c>
    </row>
    <row r="344" spans="1:9" x14ac:dyDescent="0.2">
      <c r="A344" s="2">
        <v>18</v>
      </c>
      <c r="B344" s="1" t="s">
        <v>193</v>
      </c>
      <c r="C344" s="4">
        <v>3</v>
      </c>
      <c r="D344" s="8">
        <v>1.1399999999999999</v>
      </c>
      <c r="E344" s="4">
        <v>0</v>
      </c>
      <c r="F344" s="8">
        <v>0</v>
      </c>
      <c r="G344" s="4">
        <v>3</v>
      </c>
      <c r="H344" s="8">
        <v>3</v>
      </c>
      <c r="I344" s="4">
        <v>0</v>
      </c>
    </row>
    <row r="345" spans="1:9" x14ac:dyDescent="0.2">
      <c r="A345" s="2">
        <v>18</v>
      </c>
      <c r="B345" s="1" t="s">
        <v>165</v>
      </c>
      <c r="C345" s="4">
        <v>3</v>
      </c>
      <c r="D345" s="8">
        <v>1.1399999999999999</v>
      </c>
      <c r="E345" s="4">
        <v>0</v>
      </c>
      <c r="F345" s="8">
        <v>0</v>
      </c>
      <c r="G345" s="4">
        <v>3</v>
      </c>
      <c r="H345" s="8">
        <v>3</v>
      </c>
      <c r="I345" s="4">
        <v>0</v>
      </c>
    </row>
    <row r="346" spans="1:9" x14ac:dyDescent="0.2">
      <c r="A346" s="2">
        <v>18</v>
      </c>
      <c r="B346" s="1" t="s">
        <v>185</v>
      </c>
      <c r="C346" s="4">
        <v>3</v>
      </c>
      <c r="D346" s="8">
        <v>1.1399999999999999</v>
      </c>
      <c r="E346" s="4">
        <v>3</v>
      </c>
      <c r="F346" s="8">
        <v>1.9</v>
      </c>
      <c r="G346" s="4">
        <v>0</v>
      </c>
      <c r="H346" s="8">
        <v>0</v>
      </c>
      <c r="I346" s="4">
        <v>0</v>
      </c>
    </row>
    <row r="347" spans="1:9" x14ac:dyDescent="0.2">
      <c r="A347" s="2">
        <v>18</v>
      </c>
      <c r="B347" s="1" t="s">
        <v>204</v>
      </c>
      <c r="C347" s="4">
        <v>3</v>
      </c>
      <c r="D347" s="8">
        <v>1.1399999999999999</v>
      </c>
      <c r="E347" s="4">
        <v>1</v>
      </c>
      <c r="F347" s="8">
        <v>0.63</v>
      </c>
      <c r="G347" s="4">
        <v>2</v>
      </c>
      <c r="H347" s="8">
        <v>2</v>
      </c>
      <c r="I347" s="4">
        <v>0</v>
      </c>
    </row>
    <row r="348" spans="1:9" x14ac:dyDescent="0.2">
      <c r="A348" s="2">
        <v>18</v>
      </c>
      <c r="B348" s="1" t="s">
        <v>167</v>
      </c>
      <c r="C348" s="4">
        <v>3</v>
      </c>
      <c r="D348" s="8">
        <v>1.1399999999999999</v>
      </c>
      <c r="E348" s="4">
        <v>1</v>
      </c>
      <c r="F348" s="8">
        <v>0.63</v>
      </c>
      <c r="G348" s="4">
        <v>2</v>
      </c>
      <c r="H348" s="8">
        <v>2</v>
      </c>
      <c r="I348" s="4">
        <v>0</v>
      </c>
    </row>
    <row r="349" spans="1:9" x14ac:dyDescent="0.2">
      <c r="A349" s="2">
        <v>18</v>
      </c>
      <c r="B349" s="1" t="s">
        <v>205</v>
      </c>
      <c r="C349" s="4">
        <v>3</v>
      </c>
      <c r="D349" s="8">
        <v>1.1399999999999999</v>
      </c>
      <c r="E349" s="4">
        <v>1</v>
      </c>
      <c r="F349" s="8">
        <v>0.63</v>
      </c>
      <c r="G349" s="4">
        <v>2</v>
      </c>
      <c r="H349" s="8">
        <v>2</v>
      </c>
      <c r="I349" s="4">
        <v>0</v>
      </c>
    </row>
    <row r="350" spans="1:9" x14ac:dyDescent="0.2">
      <c r="A350" s="2">
        <v>18</v>
      </c>
      <c r="B350" s="1" t="s">
        <v>172</v>
      </c>
      <c r="C350" s="4">
        <v>3</v>
      </c>
      <c r="D350" s="8">
        <v>1.1399999999999999</v>
      </c>
      <c r="E350" s="4">
        <v>3</v>
      </c>
      <c r="F350" s="8">
        <v>1.9</v>
      </c>
      <c r="G350" s="4">
        <v>0</v>
      </c>
      <c r="H350" s="8">
        <v>0</v>
      </c>
      <c r="I350" s="4">
        <v>0</v>
      </c>
    </row>
    <row r="351" spans="1:9" x14ac:dyDescent="0.2">
      <c r="A351" s="2">
        <v>18</v>
      </c>
      <c r="B351" s="1" t="s">
        <v>206</v>
      </c>
      <c r="C351" s="4">
        <v>3</v>
      </c>
      <c r="D351" s="8">
        <v>1.1399999999999999</v>
      </c>
      <c r="E351" s="4">
        <v>0</v>
      </c>
      <c r="F351" s="8">
        <v>0</v>
      </c>
      <c r="G351" s="4">
        <v>3</v>
      </c>
      <c r="H351" s="8">
        <v>3</v>
      </c>
      <c r="I351" s="4">
        <v>0</v>
      </c>
    </row>
    <row r="352" spans="1:9" x14ac:dyDescent="0.2">
      <c r="A352" s="1"/>
      <c r="C352" s="4"/>
      <c r="D352" s="8"/>
      <c r="E352" s="4"/>
      <c r="F352" s="8"/>
      <c r="G352" s="4"/>
      <c r="H352" s="8"/>
      <c r="I352" s="4"/>
    </row>
    <row r="353" spans="1:9" x14ac:dyDescent="0.2">
      <c r="A353" s="1" t="s">
        <v>15</v>
      </c>
      <c r="C353" s="4"/>
      <c r="D353" s="8"/>
      <c r="E353" s="4"/>
      <c r="F353" s="8"/>
      <c r="G353" s="4"/>
      <c r="H353" s="8"/>
      <c r="I353" s="4"/>
    </row>
    <row r="354" spans="1:9" x14ac:dyDescent="0.2">
      <c r="A354" s="2">
        <v>1</v>
      </c>
      <c r="B354" s="1" t="s">
        <v>174</v>
      </c>
      <c r="C354" s="4">
        <v>12</v>
      </c>
      <c r="D354" s="8">
        <v>6.52</v>
      </c>
      <c r="E354" s="4">
        <v>11</v>
      </c>
      <c r="F354" s="8">
        <v>12.09</v>
      </c>
      <c r="G354" s="4">
        <v>1</v>
      </c>
      <c r="H354" s="8">
        <v>1.1200000000000001</v>
      </c>
      <c r="I354" s="4">
        <v>0</v>
      </c>
    </row>
    <row r="355" spans="1:9" x14ac:dyDescent="0.2">
      <c r="A355" s="2">
        <v>2</v>
      </c>
      <c r="B355" s="1" t="s">
        <v>158</v>
      </c>
      <c r="C355" s="4">
        <v>6</v>
      </c>
      <c r="D355" s="8">
        <v>3.26</v>
      </c>
      <c r="E355" s="4">
        <v>0</v>
      </c>
      <c r="F355" s="8">
        <v>0</v>
      </c>
      <c r="G355" s="4">
        <v>6</v>
      </c>
      <c r="H355" s="8">
        <v>6.74</v>
      </c>
      <c r="I355" s="4">
        <v>0</v>
      </c>
    </row>
    <row r="356" spans="1:9" x14ac:dyDescent="0.2">
      <c r="A356" s="2">
        <v>2</v>
      </c>
      <c r="B356" s="1" t="s">
        <v>202</v>
      </c>
      <c r="C356" s="4">
        <v>6</v>
      </c>
      <c r="D356" s="8">
        <v>3.26</v>
      </c>
      <c r="E356" s="4">
        <v>4</v>
      </c>
      <c r="F356" s="8">
        <v>4.4000000000000004</v>
      </c>
      <c r="G356" s="4">
        <v>2</v>
      </c>
      <c r="H356" s="8">
        <v>2.25</v>
      </c>
      <c r="I356" s="4">
        <v>0</v>
      </c>
    </row>
    <row r="357" spans="1:9" x14ac:dyDescent="0.2">
      <c r="A357" s="2">
        <v>2</v>
      </c>
      <c r="B357" s="1" t="s">
        <v>162</v>
      </c>
      <c r="C357" s="4">
        <v>6</v>
      </c>
      <c r="D357" s="8">
        <v>3.26</v>
      </c>
      <c r="E357" s="4">
        <v>4</v>
      </c>
      <c r="F357" s="8">
        <v>4.4000000000000004</v>
      </c>
      <c r="G357" s="4">
        <v>2</v>
      </c>
      <c r="H357" s="8">
        <v>2.25</v>
      </c>
      <c r="I357" s="4">
        <v>0</v>
      </c>
    </row>
    <row r="358" spans="1:9" x14ac:dyDescent="0.2">
      <c r="A358" s="2">
        <v>2</v>
      </c>
      <c r="B358" s="1" t="s">
        <v>166</v>
      </c>
      <c r="C358" s="4">
        <v>6</v>
      </c>
      <c r="D358" s="8">
        <v>3.26</v>
      </c>
      <c r="E358" s="4">
        <v>3</v>
      </c>
      <c r="F358" s="8">
        <v>3.3</v>
      </c>
      <c r="G358" s="4">
        <v>3</v>
      </c>
      <c r="H358" s="8">
        <v>3.37</v>
      </c>
      <c r="I358" s="4">
        <v>0</v>
      </c>
    </row>
    <row r="359" spans="1:9" x14ac:dyDescent="0.2">
      <c r="A359" s="2">
        <v>2</v>
      </c>
      <c r="B359" s="1" t="s">
        <v>173</v>
      </c>
      <c r="C359" s="4">
        <v>6</v>
      </c>
      <c r="D359" s="8">
        <v>3.26</v>
      </c>
      <c r="E359" s="4">
        <v>6</v>
      </c>
      <c r="F359" s="8">
        <v>6.59</v>
      </c>
      <c r="G359" s="4">
        <v>0</v>
      </c>
      <c r="H359" s="8">
        <v>0</v>
      </c>
      <c r="I359" s="4">
        <v>0</v>
      </c>
    </row>
    <row r="360" spans="1:9" x14ac:dyDescent="0.2">
      <c r="A360" s="2">
        <v>7</v>
      </c>
      <c r="B360" s="1" t="s">
        <v>160</v>
      </c>
      <c r="C360" s="4">
        <v>5</v>
      </c>
      <c r="D360" s="8">
        <v>2.72</v>
      </c>
      <c r="E360" s="4">
        <v>0</v>
      </c>
      <c r="F360" s="8">
        <v>0</v>
      </c>
      <c r="G360" s="4">
        <v>5</v>
      </c>
      <c r="H360" s="8">
        <v>5.62</v>
      </c>
      <c r="I360" s="4">
        <v>0</v>
      </c>
    </row>
    <row r="361" spans="1:9" x14ac:dyDescent="0.2">
      <c r="A361" s="2">
        <v>7</v>
      </c>
      <c r="B361" s="1" t="s">
        <v>178</v>
      </c>
      <c r="C361" s="4">
        <v>5</v>
      </c>
      <c r="D361" s="8">
        <v>2.72</v>
      </c>
      <c r="E361" s="4">
        <v>3</v>
      </c>
      <c r="F361" s="8">
        <v>3.3</v>
      </c>
      <c r="G361" s="4">
        <v>2</v>
      </c>
      <c r="H361" s="8">
        <v>2.25</v>
      </c>
      <c r="I361" s="4">
        <v>0</v>
      </c>
    </row>
    <row r="362" spans="1:9" x14ac:dyDescent="0.2">
      <c r="A362" s="2">
        <v>7</v>
      </c>
      <c r="B362" s="1" t="s">
        <v>208</v>
      </c>
      <c r="C362" s="4">
        <v>5</v>
      </c>
      <c r="D362" s="8">
        <v>2.72</v>
      </c>
      <c r="E362" s="4">
        <v>1</v>
      </c>
      <c r="F362" s="8">
        <v>1.1000000000000001</v>
      </c>
      <c r="G362" s="4">
        <v>4</v>
      </c>
      <c r="H362" s="8">
        <v>4.49</v>
      </c>
      <c r="I362" s="4">
        <v>0</v>
      </c>
    </row>
    <row r="363" spans="1:9" x14ac:dyDescent="0.2">
      <c r="A363" s="2">
        <v>7</v>
      </c>
      <c r="B363" s="1" t="s">
        <v>168</v>
      </c>
      <c r="C363" s="4">
        <v>5</v>
      </c>
      <c r="D363" s="8">
        <v>2.72</v>
      </c>
      <c r="E363" s="4">
        <v>3</v>
      </c>
      <c r="F363" s="8">
        <v>3.3</v>
      </c>
      <c r="G363" s="4">
        <v>2</v>
      </c>
      <c r="H363" s="8">
        <v>2.25</v>
      </c>
      <c r="I363" s="4">
        <v>0</v>
      </c>
    </row>
    <row r="364" spans="1:9" x14ac:dyDescent="0.2">
      <c r="A364" s="2">
        <v>11</v>
      </c>
      <c r="B364" s="1" t="s">
        <v>207</v>
      </c>
      <c r="C364" s="4">
        <v>4</v>
      </c>
      <c r="D364" s="8">
        <v>2.17</v>
      </c>
      <c r="E364" s="4">
        <v>3</v>
      </c>
      <c r="F364" s="8">
        <v>3.3</v>
      </c>
      <c r="G364" s="4">
        <v>1</v>
      </c>
      <c r="H364" s="8">
        <v>1.1200000000000001</v>
      </c>
      <c r="I364" s="4">
        <v>0</v>
      </c>
    </row>
    <row r="365" spans="1:9" x14ac:dyDescent="0.2">
      <c r="A365" s="2">
        <v>11</v>
      </c>
      <c r="B365" s="1" t="s">
        <v>163</v>
      </c>
      <c r="C365" s="4">
        <v>4</v>
      </c>
      <c r="D365" s="8">
        <v>2.17</v>
      </c>
      <c r="E365" s="4">
        <v>3</v>
      </c>
      <c r="F365" s="8">
        <v>3.3</v>
      </c>
      <c r="G365" s="4">
        <v>1</v>
      </c>
      <c r="H365" s="8">
        <v>1.1200000000000001</v>
      </c>
      <c r="I365" s="4">
        <v>0</v>
      </c>
    </row>
    <row r="366" spans="1:9" x14ac:dyDescent="0.2">
      <c r="A366" s="2">
        <v>11</v>
      </c>
      <c r="B366" s="1" t="s">
        <v>164</v>
      </c>
      <c r="C366" s="4">
        <v>4</v>
      </c>
      <c r="D366" s="8">
        <v>2.17</v>
      </c>
      <c r="E366" s="4">
        <v>3</v>
      </c>
      <c r="F366" s="8">
        <v>3.3</v>
      </c>
      <c r="G366" s="4">
        <v>1</v>
      </c>
      <c r="H366" s="8">
        <v>1.1200000000000001</v>
      </c>
      <c r="I366" s="4">
        <v>0</v>
      </c>
    </row>
    <row r="367" spans="1:9" x14ac:dyDescent="0.2">
      <c r="A367" s="2">
        <v>11</v>
      </c>
      <c r="B367" s="1" t="s">
        <v>165</v>
      </c>
      <c r="C367" s="4">
        <v>4</v>
      </c>
      <c r="D367" s="8">
        <v>2.17</v>
      </c>
      <c r="E367" s="4">
        <v>2</v>
      </c>
      <c r="F367" s="8">
        <v>2.2000000000000002</v>
      </c>
      <c r="G367" s="4">
        <v>2</v>
      </c>
      <c r="H367" s="8">
        <v>2.25</v>
      </c>
      <c r="I367" s="4">
        <v>0</v>
      </c>
    </row>
    <row r="368" spans="1:9" x14ac:dyDescent="0.2">
      <c r="A368" s="2">
        <v>11</v>
      </c>
      <c r="B368" s="1" t="s">
        <v>185</v>
      </c>
      <c r="C368" s="4">
        <v>4</v>
      </c>
      <c r="D368" s="8">
        <v>2.17</v>
      </c>
      <c r="E368" s="4">
        <v>2</v>
      </c>
      <c r="F368" s="8">
        <v>2.2000000000000002</v>
      </c>
      <c r="G368" s="4">
        <v>2</v>
      </c>
      <c r="H368" s="8">
        <v>2.25</v>
      </c>
      <c r="I368" s="4">
        <v>0</v>
      </c>
    </row>
    <row r="369" spans="1:9" x14ac:dyDescent="0.2">
      <c r="A369" s="2">
        <v>11</v>
      </c>
      <c r="B369" s="1" t="s">
        <v>170</v>
      </c>
      <c r="C369" s="4">
        <v>4</v>
      </c>
      <c r="D369" s="8">
        <v>2.17</v>
      </c>
      <c r="E369" s="4">
        <v>4</v>
      </c>
      <c r="F369" s="8">
        <v>4.4000000000000004</v>
      </c>
      <c r="G369" s="4">
        <v>0</v>
      </c>
      <c r="H369" s="8">
        <v>0</v>
      </c>
      <c r="I369" s="4">
        <v>0</v>
      </c>
    </row>
    <row r="370" spans="1:9" x14ac:dyDescent="0.2">
      <c r="A370" s="2">
        <v>11</v>
      </c>
      <c r="B370" s="1" t="s">
        <v>186</v>
      </c>
      <c r="C370" s="4">
        <v>4</v>
      </c>
      <c r="D370" s="8">
        <v>2.17</v>
      </c>
      <c r="E370" s="4">
        <v>0</v>
      </c>
      <c r="F370" s="8">
        <v>0</v>
      </c>
      <c r="G370" s="4">
        <v>3</v>
      </c>
      <c r="H370" s="8">
        <v>3.37</v>
      </c>
      <c r="I370" s="4">
        <v>0</v>
      </c>
    </row>
    <row r="371" spans="1:9" x14ac:dyDescent="0.2">
      <c r="A371" s="2">
        <v>11</v>
      </c>
      <c r="B371" s="1" t="s">
        <v>177</v>
      </c>
      <c r="C371" s="4">
        <v>4</v>
      </c>
      <c r="D371" s="8">
        <v>2.17</v>
      </c>
      <c r="E371" s="4">
        <v>3</v>
      </c>
      <c r="F371" s="8">
        <v>3.3</v>
      </c>
      <c r="G371" s="4">
        <v>1</v>
      </c>
      <c r="H371" s="8">
        <v>1.1200000000000001</v>
      </c>
      <c r="I371" s="4">
        <v>0</v>
      </c>
    </row>
    <row r="372" spans="1:9" x14ac:dyDescent="0.2">
      <c r="A372" s="2">
        <v>19</v>
      </c>
      <c r="B372" s="1" t="s">
        <v>159</v>
      </c>
      <c r="C372" s="4">
        <v>3</v>
      </c>
      <c r="D372" s="8">
        <v>1.63</v>
      </c>
      <c r="E372" s="4">
        <v>1</v>
      </c>
      <c r="F372" s="8">
        <v>1.1000000000000001</v>
      </c>
      <c r="G372" s="4">
        <v>2</v>
      </c>
      <c r="H372" s="8">
        <v>2.25</v>
      </c>
      <c r="I372" s="4">
        <v>0</v>
      </c>
    </row>
    <row r="373" spans="1:9" x14ac:dyDescent="0.2">
      <c r="A373" s="2">
        <v>19</v>
      </c>
      <c r="B373" s="1" t="s">
        <v>195</v>
      </c>
      <c r="C373" s="4">
        <v>3</v>
      </c>
      <c r="D373" s="8">
        <v>1.63</v>
      </c>
      <c r="E373" s="4">
        <v>1</v>
      </c>
      <c r="F373" s="8">
        <v>1.1000000000000001</v>
      </c>
      <c r="G373" s="4">
        <v>2</v>
      </c>
      <c r="H373" s="8">
        <v>2.25</v>
      </c>
      <c r="I373" s="4">
        <v>0</v>
      </c>
    </row>
    <row r="374" spans="1:9" x14ac:dyDescent="0.2">
      <c r="A374" s="2">
        <v>19</v>
      </c>
      <c r="B374" s="1" t="s">
        <v>161</v>
      </c>
      <c r="C374" s="4">
        <v>3</v>
      </c>
      <c r="D374" s="8">
        <v>1.63</v>
      </c>
      <c r="E374" s="4">
        <v>1</v>
      </c>
      <c r="F374" s="8">
        <v>1.1000000000000001</v>
      </c>
      <c r="G374" s="4">
        <v>2</v>
      </c>
      <c r="H374" s="8">
        <v>2.25</v>
      </c>
      <c r="I374" s="4">
        <v>0</v>
      </c>
    </row>
    <row r="375" spans="1:9" x14ac:dyDescent="0.2">
      <c r="A375" s="2">
        <v>19</v>
      </c>
      <c r="B375" s="1" t="s">
        <v>190</v>
      </c>
      <c r="C375" s="4">
        <v>3</v>
      </c>
      <c r="D375" s="8">
        <v>1.63</v>
      </c>
      <c r="E375" s="4">
        <v>2</v>
      </c>
      <c r="F375" s="8">
        <v>2.2000000000000002</v>
      </c>
      <c r="G375" s="4">
        <v>1</v>
      </c>
      <c r="H375" s="8">
        <v>1.1200000000000001</v>
      </c>
      <c r="I375" s="4">
        <v>0</v>
      </c>
    </row>
    <row r="376" spans="1:9" x14ac:dyDescent="0.2">
      <c r="A376" s="2">
        <v>19</v>
      </c>
      <c r="B376" s="1" t="s">
        <v>167</v>
      </c>
      <c r="C376" s="4">
        <v>3</v>
      </c>
      <c r="D376" s="8">
        <v>1.63</v>
      </c>
      <c r="E376" s="4">
        <v>0</v>
      </c>
      <c r="F376" s="8">
        <v>0</v>
      </c>
      <c r="G376" s="4">
        <v>3</v>
      </c>
      <c r="H376" s="8">
        <v>3.37</v>
      </c>
      <c r="I376" s="4">
        <v>0</v>
      </c>
    </row>
    <row r="377" spans="1:9" x14ac:dyDescent="0.2">
      <c r="A377" s="1"/>
      <c r="C377" s="4"/>
      <c r="D377" s="8"/>
      <c r="E377" s="4"/>
      <c r="F377" s="8"/>
      <c r="G377" s="4"/>
      <c r="H377" s="8"/>
      <c r="I377" s="4"/>
    </row>
    <row r="378" spans="1:9" x14ac:dyDescent="0.2">
      <c r="A378" s="1" t="s">
        <v>16</v>
      </c>
      <c r="C378" s="4"/>
      <c r="D378" s="8"/>
      <c r="E378" s="4"/>
      <c r="F378" s="8"/>
      <c r="G378" s="4"/>
      <c r="H378" s="8"/>
      <c r="I378" s="4"/>
    </row>
    <row r="379" spans="1:9" x14ac:dyDescent="0.2">
      <c r="A379" s="2">
        <v>1</v>
      </c>
      <c r="B379" s="1" t="s">
        <v>168</v>
      </c>
      <c r="C379" s="4">
        <v>26</v>
      </c>
      <c r="D379" s="8">
        <v>6.82</v>
      </c>
      <c r="E379" s="4">
        <v>22</v>
      </c>
      <c r="F379" s="8">
        <v>9.2799999999999994</v>
      </c>
      <c r="G379" s="4">
        <v>4</v>
      </c>
      <c r="H379" s="8">
        <v>2.88</v>
      </c>
      <c r="I379" s="4">
        <v>0</v>
      </c>
    </row>
    <row r="380" spans="1:9" x14ac:dyDescent="0.2">
      <c r="A380" s="2">
        <v>2</v>
      </c>
      <c r="B380" s="1" t="s">
        <v>174</v>
      </c>
      <c r="C380" s="4">
        <v>24</v>
      </c>
      <c r="D380" s="8">
        <v>6.3</v>
      </c>
      <c r="E380" s="4">
        <v>22</v>
      </c>
      <c r="F380" s="8">
        <v>9.2799999999999994</v>
      </c>
      <c r="G380" s="4">
        <v>2</v>
      </c>
      <c r="H380" s="8">
        <v>1.44</v>
      </c>
      <c r="I380" s="4">
        <v>0</v>
      </c>
    </row>
    <row r="381" spans="1:9" x14ac:dyDescent="0.2">
      <c r="A381" s="2">
        <v>3</v>
      </c>
      <c r="B381" s="1" t="s">
        <v>173</v>
      </c>
      <c r="C381" s="4">
        <v>14</v>
      </c>
      <c r="D381" s="8">
        <v>3.67</v>
      </c>
      <c r="E381" s="4">
        <v>14</v>
      </c>
      <c r="F381" s="8">
        <v>5.91</v>
      </c>
      <c r="G381" s="4">
        <v>0</v>
      </c>
      <c r="H381" s="8">
        <v>0</v>
      </c>
      <c r="I381" s="4">
        <v>0</v>
      </c>
    </row>
    <row r="382" spans="1:9" x14ac:dyDescent="0.2">
      <c r="A382" s="2">
        <v>4</v>
      </c>
      <c r="B382" s="1" t="s">
        <v>190</v>
      </c>
      <c r="C382" s="4">
        <v>11</v>
      </c>
      <c r="D382" s="8">
        <v>2.89</v>
      </c>
      <c r="E382" s="4">
        <v>8</v>
      </c>
      <c r="F382" s="8">
        <v>3.38</v>
      </c>
      <c r="G382" s="4">
        <v>3</v>
      </c>
      <c r="H382" s="8">
        <v>2.16</v>
      </c>
      <c r="I382" s="4">
        <v>0</v>
      </c>
    </row>
    <row r="383" spans="1:9" x14ac:dyDescent="0.2">
      <c r="A383" s="2">
        <v>5</v>
      </c>
      <c r="B383" s="1" t="s">
        <v>209</v>
      </c>
      <c r="C383" s="4">
        <v>10</v>
      </c>
      <c r="D383" s="8">
        <v>2.62</v>
      </c>
      <c r="E383" s="4">
        <v>6</v>
      </c>
      <c r="F383" s="8">
        <v>2.5299999999999998</v>
      </c>
      <c r="G383" s="4">
        <v>4</v>
      </c>
      <c r="H383" s="8">
        <v>2.88</v>
      </c>
      <c r="I383" s="4">
        <v>0</v>
      </c>
    </row>
    <row r="384" spans="1:9" x14ac:dyDescent="0.2">
      <c r="A384" s="2">
        <v>6</v>
      </c>
      <c r="B384" s="1" t="s">
        <v>178</v>
      </c>
      <c r="C384" s="4">
        <v>9</v>
      </c>
      <c r="D384" s="8">
        <v>2.36</v>
      </c>
      <c r="E384" s="4">
        <v>7</v>
      </c>
      <c r="F384" s="8">
        <v>2.95</v>
      </c>
      <c r="G384" s="4">
        <v>2</v>
      </c>
      <c r="H384" s="8">
        <v>1.44</v>
      </c>
      <c r="I384" s="4">
        <v>0</v>
      </c>
    </row>
    <row r="385" spans="1:9" x14ac:dyDescent="0.2">
      <c r="A385" s="2">
        <v>7</v>
      </c>
      <c r="B385" s="1" t="s">
        <v>160</v>
      </c>
      <c r="C385" s="4">
        <v>8</v>
      </c>
      <c r="D385" s="8">
        <v>2.1</v>
      </c>
      <c r="E385" s="4">
        <v>3</v>
      </c>
      <c r="F385" s="8">
        <v>1.27</v>
      </c>
      <c r="G385" s="4">
        <v>5</v>
      </c>
      <c r="H385" s="8">
        <v>3.6</v>
      </c>
      <c r="I385" s="4">
        <v>0</v>
      </c>
    </row>
    <row r="386" spans="1:9" x14ac:dyDescent="0.2">
      <c r="A386" s="2">
        <v>7</v>
      </c>
      <c r="B386" s="1" t="s">
        <v>161</v>
      </c>
      <c r="C386" s="4">
        <v>8</v>
      </c>
      <c r="D386" s="8">
        <v>2.1</v>
      </c>
      <c r="E386" s="4">
        <v>6</v>
      </c>
      <c r="F386" s="8">
        <v>2.5299999999999998</v>
      </c>
      <c r="G386" s="4">
        <v>2</v>
      </c>
      <c r="H386" s="8">
        <v>1.44</v>
      </c>
      <c r="I386" s="4">
        <v>0</v>
      </c>
    </row>
    <row r="387" spans="1:9" x14ac:dyDescent="0.2">
      <c r="A387" s="2">
        <v>7</v>
      </c>
      <c r="B387" s="1" t="s">
        <v>164</v>
      </c>
      <c r="C387" s="4">
        <v>8</v>
      </c>
      <c r="D387" s="8">
        <v>2.1</v>
      </c>
      <c r="E387" s="4">
        <v>4</v>
      </c>
      <c r="F387" s="8">
        <v>1.69</v>
      </c>
      <c r="G387" s="4">
        <v>4</v>
      </c>
      <c r="H387" s="8">
        <v>2.88</v>
      </c>
      <c r="I387" s="4">
        <v>0</v>
      </c>
    </row>
    <row r="388" spans="1:9" x14ac:dyDescent="0.2">
      <c r="A388" s="2">
        <v>7</v>
      </c>
      <c r="B388" s="1" t="s">
        <v>177</v>
      </c>
      <c r="C388" s="4">
        <v>8</v>
      </c>
      <c r="D388" s="8">
        <v>2.1</v>
      </c>
      <c r="E388" s="4">
        <v>5</v>
      </c>
      <c r="F388" s="8">
        <v>2.11</v>
      </c>
      <c r="G388" s="4">
        <v>3</v>
      </c>
      <c r="H388" s="8">
        <v>2.16</v>
      </c>
      <c r="I388" s="4">
        <v>0</v>
      </c>
    </row>
    <row r="389" spans="1:9" x14ac:dyDescent="0.2">
      <c r="A389" s="2">
        <v>11</v>
      </c>
      <c r="B389" s="1" t="s">
        <v>162</v>
      </c>
      <c r="C389" s="4">
        <v>7</v>
      </c>
      <c r="D389" s="8">
        <v>1.84</v>
      </c>
      <c r="E389" s="4">
        <v>2</v>
      </c>
      <c r="F389" s="8">
        <v>0.84</v>
      </c>
      <c r="G389" s="4">
        <v>5</v>
      </c>
      <c r="H389" s="8">
        <v>3.6</v>
      </c>
      <c r="I389" s="4">
        <v>0</v>
      </c>
    </row>
    <row r="390" spans="1:9" x14ac:dyDescent="0.2">
      <c r="A390" s="2">
        <v>12</v>
      </c>
      <c r="B390" s="1" t="s">
        <v>198</v>
      </c>
      <c r="C390" s="4">
        <v>6</v>
      </c>
      <c r="D390" s="8">
        <v>1.57</v>
      </c>
      <c r="E390" s="4">
        <v>4</v>
      </c>
      <c r="F390" s="8">
        <v>1.69</v>
      </c>
      <c r="G390" s="4">
        <v>2</v>
      </c>
      <c r="H390" s="8">
        <v>1.44</v>
      </c>
      <c r="I390" s="4">
        <v>0</v>
      </c>
    </row>
    <row r="391" spans="1:9" x14ac:dyDescent="0.2">
      <c r="A391" s="2">
        <v>12</v>
      </c>
      <c r="B391" s="1" t="s">
        <v>193</v>
      </c>
      <c r="C391" s="4">
        <v>6</v>
      </c>
      <c r="D391" s="8">
        <v>1.57</v>
      </c>
      <c r="E391" s="4">
        <v>4</v>
      </c>
      <c r="F391" s="8">
        <v>1.69</v>
      </c>
      <c r="G391" s="4">
        <v>2</v>
      </c>
      <c r="H391" s="8">
        <v>1.44</v>
      </c>
      <c r="I391" s="4">
        <v>0</v>
      </c>
    </row>
    <row r="392" spans="1:9" x14ac:dyDescent="0.2">
      <c r="A392" s="2">
        <v>12</v>
      </c>
      <c r="B392" s="1" t="s">
        <v>167</v>
      </c>
      <c r="C392" s="4">
        <v>6</v>
      </c>
      <c r="D392" s="8">
        <v>1.57</v>
      </c>
      <c r="E392" s="4">
        <v>3</v>
      </c>
      <c r="F392" s="8">
        <v>1.27</v>
      </c>
      <c r="G392" s="4">
        <v>3</v>
      </c>
      <c r="H392" s="8">
        <v>2.16</v>
      </c>
      <c r="I392" s="4">
        <v>0</v>
      </c>
    </row>
    <row r="393" spans="1:9" x14ac:dyDescent="0.2">
      <c r="A393" s="2">
        <v>12</v>
      </c>
      <c r="B393" s="1" t="s">
        <v>171</v>
      </c>
      <c r="C393" s="4">
        <v>6</v>
      </c>
      <c r="D393" s="8">
        <v>1.57</v>
      </c>
      <c r="E393" s="4">
        <v>6</v>
      </c>
      <c r="F393" s="8">
        <v>2.5299999999999998</v>
      </c>
      <c r="G393" s="4">
        <v>0</v>
      </c>
      <c r="H393" s="8">
        <v>0</v>
      </c>
      <c r="I393" s="4">
        <v>0</v>
      </c>
    </row>
    <row r="394" spans="1:9" x14ac:dyDescent="0.2">
      <c r="A394" s="2">
        <v>12</v>
      </c>
      <c r="B394" s="1" t="s">
        <v>172</v>
      </c>
      <c r="C394" s="4">
        <v>6</v>
      </c>
      <c r="D394" s="8">
        <v>1.57</v>
      </c>
      <c r="E394" s="4">
        <v>6</v>
      </c>
      <c r="F394" s="8">
        <v>2.5299999999999998</v>
      </c>
      <c r="G394" s="4">
        <v>0</v>
      </c>
      <c r="H394" s="8">
        <v>0</v>
      </c>
      <c r="I394" s="4">
        <v>0</v>
      </c>
    </row>
    <row r="395" spans="1:9" x14ac:dyDescent="0.2">
      <c r="A395" s="2">
        <v>12</v>
      </c>
      <c r="B395" s="1" t="s">
        <v>182</v>
      </c>
      <c r="C395" s="4">
        <v>6</v>
      </c>
      <c r="D395" s="8">
        <v>1.57</v>
      </c>
      <c r="E395" s="4">
        <v>3</v>
      </c>
      <c r="F395" s="8">
        <v>1.27</v>
      </c>
      <c r="G395" s="4">
        <v>3</v>
      </c>
      <c r="H395" s="8">
        <v>2.16</v>
      </c>
      <c r="I395" s="4">
        <v>0</v>
      </c>
    </row>
    <row r="396" spans="1:9" x14ac:dyDescent="0.2">
      <c r="A396" s="2">
        <v>12</v>
      </c>
      <c r="B396" s="1" t="s">
        <v>211</v>
      </c>
      <c r="C396" s="4">
        <v>6</v>
      </c>
      <c r="D396" s="8">
        <v>1.57</v>
      </c>
      <c r="E396" s="4">
        <v>0</v>
      </c>
      <c r="F396" s="8">
        <v>0</v>
      </c>
      <c r="G396" s="4">
        <v>5</v>
      </c>
      <c r="H396" s="8">
        <v>3.6</v>
      </c>
      <c r="I396" s="4">
        <v>1</v>
      </c>
    </row>
    <row r="397" spans="1:9" x14ac:dyDescent="0.2">
      <c r="A397" s="2">
        <v>19</v>
      </c>
      <c r="B397" s="1" t="s">
        <v>158</v>
      </c>
      <c r="C397" s="4">
        <v>5</v>
      </c>
      <c r="D397" s="8">
        <v>1.31</v>
      </c>
      <c r="E397" s="4">
        <v>0</v>
      </c>
      <c r="F397" s="8">
        <v>0</v>
      </c>
      <c r="G397" s="4">
        <v>5</v>
      </c>
      <c r="H397" s="8">
        <v>3.6</v>
      </c>
      <c r="I397" s="4">
        <v>0</v>
      </c>
    </row>
    <row r="398" spans="1:9" x14ac:dyDescent="0.2">
      <c r="A398" s="2">
        <v>19</v>
      </c>
      <c r="B398" s="1" t="s">
        <v>159</v>
      </c>
      <c r="C398" s="4">
        <v>5</v>
      </c>
      <c r="D398" s="8">
        <v>1.31</v>
      </c>
      <c r="E398" s="4">
        <v>1</v>
      </c>
      <c r="F398" s="8">
        <v>0.42</v>
      </c>
      <c r="G398" s="4">
        <v>4</v>
      </c>
      <c r="H398" s="8">
        <v>2.88</v>
      </c>
      <c r="I398" s="4">
        <v>0</v>
      </c>
    </row>
    <row r="399" spans="1:9" x14ac:dyDescent="0.2">
      <c r="A399" s="2">
        <v>19</v>
      </c>
      <c r="B399" s="1" t="s">
        <v>195</v>
      </c>
      <c r="C399" s="4">
        <v>5</v>
      </c>
      <c r="D399" s="8">
        <v>1.31</v>
      </c>
      <c r="E399" s="4">
        <v>3</v>
      </c>
      <c r="F399" s="8">
        <v>1.27</v>
      </c>
      <c r="G399" s="4">
        <v>2</v>
      </c>
      <c r="H399" s="8">
        <v>1.44</v>
      </c>
      <c r="I399" s="4">
        <v>0</v>
      </c>
    </row>
    <row r="400" spans="1:9" x14ac:dyDescent="0.2">
      <c r="A400" s="2">
        <v>19</v>
      </c>
      <c r="B400" s="1" t="s">
        <v>163</v>
      </c>
      <c r="C400" s="4">
        <v>5</v>
      </c>
      <c r="D400" s="8">
        <v>1.31</v>
      </c>
      <c r="E400" s="4">
        <v>3</v>
      </c>
      <c r="F400" s="8">
        <v>1.27</v>
      </c>
      <c r="G400" s="4">
        <v>2</v>
      </c>
      <c r="H400" s="8">
        <v>1.44</v>
      </c>
      <c r="I400" s="4">
        <v>0</v>
      </c>
    </row>
    <row r="401" spans="1:9" x14ac:dyDescent="0.2">
      <c r="A401" s="2">
        <v>19</v>
      </c>
      <c r="B401" s="1" t="s">
        <v>210</v>
      </c>
      <c r="C401" s="4">
        <v>5</v>
      </c>
      <c r="D401" s="8">
        <v>1.31</v>
      </c>
      <c r="E401" s="4">
        <v>4</v>
      </c>
      <c r="F401" s="8">
        <v>1.69</v>
      </c>
      <c r="G401" s="4">
        <v>1</v>
      </c>
      <c r="H401" s="8">
        <v>0.72</v>
      </c>
      <c r="I401" s="4">
        <v>0</v>
      </c>
    </row>
    <row r="402" spans="1:9" x14ac:dyDescent="0.2">
      <c r="A402" s="2">
        <v>19</v>
      </c>
      <c r="B402" s="1" t="s">
        <v>165</v>
      </c>
      <c r="C402" s="4">
        <v>5</v>
      </c>
      <c r="D402" s="8">
        <v>1.31</v>
      </c>
      <c r="E402" s="4">
        <v>1</v>
      </c>
      <c r="F402" s="8">
        <v>0.42</v>
      </c>
      <c r="G402" s="4">
        <v>4</v>
      </c>
      <c r="H402" s="8">
        <v>2.88</v>
      </c>
      <c r="I402" s="4">
        <v>0</v>
      </c>
    </row>
    <row r="403" spans="1:9" x14ac:dyDescent="0.2">
      <c r="A403" s="2">
        <v>19</v>
      </c>
      <c r="B403" s="1" t="s">
        <v>179</v>
      </c>
      <c r="C403" s="4">
        <v>5</v>
      </c>
      <c r="D403" s="8">
        <v>1.31</v>
      </c>
      <c r="E403" s="4">
        <v>5</v>
      </c>
      <c r="F403" s="8">
        <v>2.11</v>
      </c>
      <c r="G403" s="4">
        <v>0</v>
      </c>
      <c r="H403" s="8">
        <v>0</v>
      </c>
      <c r="I403" s="4">
        <v>0</v>
      </c>
    </row>
    <row r="404" spans="1:9" x14ac:dyDescent="0.2">
      <c r="A404" s="2">
        <v>19</v>
      </c>
      <c r="B404" s="1" t="s">
        <v>170</v>
      </c>
      <c r="C404" s="4">
        <v>5</v>
      </c>
      <c r="D404" s="8">
        <v>1.31</v>
      </c>
      <c r="E404" s="4">
        <v>4</v>
      </c>
      <c r="F404" s="8">
        <v>1.69</v>
      </c>
      <c r="G404" s="4">
        <v>1</v>
      </c>
      <c r="H404" s="8">
        <v>0.72</v>
      </c>
      <c r="I404" s="4">
        <v>0</v>
      </c>
    </row>
    <row r="405" spans="1:9" x14ac:dyDescent="0.2">
      <c r="A405" s="2">
        <v>19</v>
      </c>
      <c r="B405" s="1" t="s">
        <v>176</v>
      </c>
      <c r="C405" s="4">
        <v>5</v>
      </c>
      <c r="D405" s="8">
        <v>1.31</v>
      </c>
      <c r="E405" s="4">
        <v>5</v>
      </c>
      <c r="F405" s="8">
        <v>2.11</v>
      </c>
      <c r="G405" s="4">
        <v>0</v>
      </c>
      <c r="H405" s="8">
        <v>0</v>
      </c>
      <c r="I405" s="4">
        <v>0</v>
      </c>
    </row>
    <row r="406" spans="1:9" x14ac:dyDescent="0.2">
      <c r="A406" s="1"/>
      <c r="C406" s="4"/>
      <c r="D406" s="8"/>
      <c r="E406" s="4"/>
      <c r="F406" s="8"/>
      <c r="G406" s="4"/>
      <c r="H406" s="8"/>
      <c r="I406" s="4"/>
    </row>
    <row r="407" spans="1:9" x14ac:dyDescent="0.2">
      <c r="A407" s="1" t="s">
        <v>17</v>
      </c>
      <c r="C407" s="4"/>
      <c r="D407" s="8"/>
      <c r="E407" s="4"/>
      <c r="F407" s="8"/>
      <c r="G407" s="4"/>
      <c r="H407" s="8"/>
      <c r="I407" s="4"/>
    </row>
    <row r="408" spans="1:9" x14ac:dyDescent="0.2">
      <c r="A408" s="2">
        <v>1</v>
      </c>
      <c r="B408" s="1" t="s">
        <v>160</v>
      </c>
      <c r="C408" s="4">
        <v>8</v>
      </c>
      <c r="D408" s="8">
        <v>5.56</v>
      </c>
      <c r="E408" s="4">
        <v>6</v>
      </c>
      <c r="F408" s="8">
        <v>8</v>
      </c>
      <c r="G408" s="4">
        <v>2</v>
      </c>
      <c r="H408" s="8">
        <v>3.03</v>
      </c>
      <c r="I408" s="4">
        <v>0</v>
      </c>
    </row>
    <row r="409" spans="1:9" x14ac:dyDescent="0.2">
      <c r="A409" s="2">
        <v>2</v>
      </c>
      <c r="B409" s="1" t="s">
        <v>173</v>
      </c>
      <c r="C409" s="4">
        <v>7</v>
      </c>
      <c r="D409" s="8">
        <v>4.8600000000000003</v>
      </c>
      <c r="E409" s="4">
        <v>7</v>
      </c>
      <c r="F409" s="8">
        <v>9.33</v>
      </c>
      <c r="G409" s="4">
        <v>0</v>
      </c>
      <c r="H409" s="8">
        <v>0</v>
      </c>
      <c r="I409" s="4">
        <v>0</v>
      </c>
    </row>
    <row r="410" spans="1:9" x14ac:dyDescent="0.2">
      <c r="A410" s="2">
        <v>2</v>
      </c>
      <c r="B410" s="1" t="s">
        <v>174</v>
      </c>
      <c r="C410" s="4">
        <v>7</v>
      </c>
      <c r="D410" s="8">
        <v>4.8600000000000003</v>
      </c>
      <c r="E410" s="4">
        <v>7</v>
      </c>
      <c r="F410" s="8">
        <v>9.33</v>
      </c>
      <c r="G410" s="4">
        <v>0</v>
      </c>
      <c r="H410" s="8">
        <v>0</v>
      </c>
      <c r="I410" s="4">
        <v>0</v>
      </c>
    </row>
    <row r="411" spans="1:9" x14ac:dyDescent="0.2">
      <c r="A411" s="2">
        <v>4</v>
      </c>
      <c r="B411" s="1" t="s">
        <v>161</v>
      </c>
      <c r="C411" s="4">
        <v>6</v>
      </c>
      <c r="D411" s="8">
        <v>4.17</v>
      </c>
      <c r="E411" s="4">
        <v>2</v>
      </c>
      <c r="F411" s="8">
        <v>2.67</v>
      </c>
      <c r="G411" s="4">
        <v>4</v>
      </c>
      <c r="H411" s="8">
        <v>6.06</v>
      </c>
      <c r="I411" s="4">
        <v>0</v>
      </c>
    </row>
    <row r="412" spans="1:9" x14ac:dyDescent="0.2">
      <c r="A412" s="2">
        <v>4</v>
      </c>
      <c r="B412" s="1" t="s">
        <v>215</v>
      </c>
      <c r="C412" s="4">
        <v>6</v>
      </c>
      <c r="D412" s="8">
        <v>4.17</v>
      </c>
      <c r="E412" s="4">
        <v>1</v>
      </c>
      <c r="F412" s="8">
        <v>1.33</v>
      </c>
      <c r="G412" s="4">
        <v>5</v>
      </c>
      <c r="H412" s="8">
        <v>7.58</v>
      </c>
      <c r="I412" s="4">
        <v>0</v>
      </c>
    </row>
    <row r="413" spans="1:9" x14ac:dyDescent="0.2">
      <c r="A413" s="2">
        <v>6</v>
      </c>
      <c r="B413" s="1" t="s">
        <v>158</v>
      </c>
      <c r="C413" s="4">
        <v>5</v>
      </c>
      <c r="D413" s="8">
        <v>3.47</v>
      </c>
      <c r="E413" s="4">
        <v>0</v>
      </c>
      <c r="F413" s="8">
        <v>0</v>
      </c>
      <c r="G413" s="4">
        <v>5</v>
      </c>
      <c r="H413" s="8">
        <v>7.58</v>
      </c>
      <c r="I413" s="4">
        <v>0</v>
      </c>
    </row>
    <row r="414" spans="1:9" x14ac:dyDescent="0.2">
      <c r="A414" s="2">
        <v>6</v>
      </c>
      <c r="B414" s="1" t="s">
        <v>194</v>
      </c>
      <c r="C414" s="4">
        <v>5</v>
      </c>
      <c r="D414" s="8">
        <v>3.47</v>
      </c>
      <c r="E414" s="4">
        <v>4</v>
      </c>
      <c r="F414" s="8">
        <v>5.33</v>
      </c>
      <c r="G414" s="4">
        <v>1</v>
      </c>
      <c r="H414" s="8">
        <v>1.52</v>
      </c>
      <c r="I414" s="4">
        <v>0</v>
      </c>
    </row>
    <row r="415" spans="1:9" x14ac:dyDescent="0.2">
      <c r="A415" s="2">
        <v>6</v>
      </c>
      <c r="B415" s="1" t="s">
        <v>185</v>
      </c>
      <c r="C415" s="4">
        <v>5</v>
      </c>
      <c r="D415" s="8">
        <v>3.47</v>
      </c>
      <c r="E415" s="4">
        <v>3</v>
      </c>
      <c r="F415" s="8">
        <v>4</v>
      </c>
      <c r="G415" s="4">
        <v>2</v>
      </c>
      <c r="H415" s="8">
        <v>3.03</v>
      </c>
      <c r="I415" s="4">
        <v>0</v>
      </c>
    </row>
    <row r="416" spans="1:9" x14ac:dyDescent="0.2">
      <c r="A416" s="2">
        <v>9</v>
      </c>
      <c r="B416" s="1" t="s">
        <v>163</v>
      </c>
      <c r="C416" s="4">
        <v>4</v>
      </c>
      <c r="D416" s="8">
        <v>2.78</v>
      </c>
      <c r="E416" s="4">
        <v>3</v>
      </c>
      <c r="F416" s="8">
        <v>4</v>
      </c>
      <c r="G416" s="4">
        <v>1</v>
      </c>
      <c r="H416" s="8">
        <v>1.52</v>
      </c>
      <c r="I416" s="4">
        <v>0</v>
      </c>
    </row>
    <row r="417" spans="1:9" x14ac:dyDescent="0.2">
      <c r="A417" s="2">
        <v>9</v>
      </c>
      <c r="B417" s="1" t="s">
        <v>164</v>
      </c>
      <c r="C417" s="4">
        <v>4</v>
      </c>
      <c r="D417" s="8">
        <v>2.78</v>
      </c>
      <c r="E417" s="4">
        <v>1</v>
      </c>
      <c r="F417" s="8">
        <v>1.33</v>
      </c>
      <c r="G417" s="4">
        <v>3</v>
      </c>
      <c r="H417" s="8">
        <v>4.55</v>
      </c>
      <c r="I417" s="4">
        <v>0</v>
      </c>
    </row>
    <row r="418" spans="1:9" x14ac:dyDescent="0.2">
      <c r="A418" s="2">
        <v>9</v>
      </c>
      <c r="B418" s="1" t="s">
        <v>166</v>
      </c>
      <c r="C418" s="4">
        <v>4</v>
      </c>
      <c r="D418" s="8">
        <v>2.78</v>
      </c>
      <c r="E418" s="4">
        <v>1</v>
      </c>
      <c r="F418" s="8">
        <v>1.33</v>
      </c>
      <c r="G418" s="4">
        <v>3</v>
      </c>
      <c r="H418" s="8">
        <v>4.55</v>
      </c>
      <c r="I418" s="4">
        <v>0</v>
      </c>
    </row>
    <row r="419" spans="1:9" x14ac:dyDescent="0.2">
      <c r="A419" s="2">
        <v>12</v>
      </c>
      <c r="B419" s="1" t="s">
        <v>196</v>
      </c>
      <c r="C419" s="4">
        <v>3</v>
      </c>
      <c r="D419" s="8">
        <v>2.08</v>
      </c>
      <c r="E419" s="4">
        <v>0</v>
      </c>
      <c r="F419" s="8">
        <v>0</v>
      </c>
      <c r="G419" s="4">
        <v>3</v>
      </c>
      <c r="H419" s="8">
        <v>4.55</v>
      </c>
      <c r="I419" s="4">
        <v>0</v>
      </c>
    </row>
    <row r="420" spans="1:9" x14ac:dyDescent="0.2">
      <c r="A420" s="2">
        <v>12</v>
      </c>
      <c r="B420" s="1" t="s">
        <v>162</v>
      </c>
      <c r="C420" s="4">
        <v>3</v>
      </c>
      <c r="D420" s="8">
        <v>2.08</v>
      </c>
      <c r="E420" s="4">
        <v>0</v>
      </c>
      <c r="F420" s="8">
        <v>0</v>
      </c>
      <c r="G420" s="4">
        <v>3</v>
      </c>
      <c r="H420" s="8">
        <v>4.55</v>
      </c>
      <c r="I420" s="4">
        <v>0</v>
      </c>
    </row>
    <row r="421" spans="1:9" x14ac:dyDescent="0.2">
      <c r="A421" s="2">
        <v>12</v>
      </c>
      <c r="B421" s="1" t="s">
        <v>178</v>
      </c>
      <c r="C421" s="4">
        <v>3</v>
      </c>
      <c r="D421" s="8">
        <v>2.08</v>
      </c>
      <c r="E421" s="4">
        <v>2</v>
      </c>
      <c r="F421" s="8">
        <v>2.67</v>
      </c>
      <c r="G421" s="4">
        <v>1</v>
      </c>
      <c r="H421" s="8">
        <v>1.52</v>
      </c>
      <c r="I421" s="4">
        <v>0</v>
      </c>
    </row>
    <row r="422" spans="1:9" x14ac:dyDescent="0.2">
      <c r="A422" s="2">
        <v>12</v>
      </c>
      <c r="B422" s="1" t="s">
        <v>213</v>
      </c>
      <c r="C422" s="4">
        <v>3</v>
      </c>
      <c r="D422" s="8">
        <v>2.08</v>
      </c>
      <c r="E422" s="4">
        <v>3</v>
      </c>
      <c r="F422" s="8">
        <v>4</v>
      </c>
      <c r="G422" s="4">
        <v>0</v>
      </c>
      <c r="H422" s="8">
        <v>0</v>
      </c>
      <c r="I422" s="4">
        <v>0</v>
      </c>
    </row>
    <row r="423" spans="1:9" x14ac:dyDescent="0.2">
      <c r="A423" s="2">
        <v>12</v>
      </c>
      <c r="B423" s="1" t="s">
        <v>171</v>
      </c>
      <c r="C423" s="4">
        <v>3</v>
      </c>
      <c r="D423" s="8">
        <v>2.08</v>
      </c>
      <c r="E423" s="4">
        <v>3</v>
      </c>
      <c r="F423" s="8">
        <v>4</v>
      </c>
      <c r="G423" s="4">
        <v>0</v>
      </c>
      <c r="H423" s="8">
        <v>0</v>
      </c>
      <c r="I423" s="4">
        <v>0</v>
      </c>
    </row>
    <row r="424" spans="1:9" x14ac:dyDescent="0.2">
      <c r="A424" s="2">
        <v>12</v>
      </c>
      <c r="B424" s="1" t="s">
        <v>175</v>
      </c>
      <c r="C424" s="4">
        <v>3</v>
      </c>
      <c r="D424" s="8">
        <v>2.08</v>
      </c>
      <c r="E424" s="4">
        <v>2</v>
      </c>
      <c r="F424" s="8">
        <v>2.67</v>
      </c>
      <c r="G424" s="4">
        <v>1</v>
      </c>
      <c r="H424" s="8">
        <v>1.52</v>
      </c>
      <c r="I424" s="4">
        <v>0</v>
      </c>
    </row>
    <row r="425" spans="1:9" x14ac:dyDescent="0.2">
      <c r="A425" s="2">
        <v>12</v>
      </c>
      <c r="B425" s="1" t="s">
        <v>176</v>
      </c>
      <c r="C425" s="4">
        <v>3</v>
      </c>
      <c r="D425" s="8">
        <v>2.08</v>
      </c>
      <c r="E425" s="4">
        <v>3</v>
      </c>
      <c r="F425" s="8">
        <v>4</v>
      </c>
      <c r="G425" s="4">
        <v>0</v>
      </c>
      <c r="H425" s="8">
        <v>0</v>
      </c>
      <c r="I425" s="4">
        <v>0</v>
      </c>
    </row>
    <row r="426" spans="1:9" x14ac:dyDescent="0.2">
      <c r="A426" s="2">
        <v>19</v>
      </c>
      <c r="B426" s="1" t="s">
        <v>159</v>
      </c>
      <c r="C426" s="4">
        <v>2</v>
      </c>
      <c r="D426" s="8">
        <v>1.39</v>
      </c>
      <c r="E426" s="4">
        <v>1</v>
      </c>
      <c r="F426" s="8">
        <v>1.33</v>
      </c>
      <c r="G426" s="4">
        <v>1</v>
      </c>
      <c r="H426" s="8">
        <v>1.52</v>
      </c>
      <c r="I426" s="4">
        <v>0</v>
      </c>
    </row>
    <row r="427" spans="1:9" x14ac:dyDescent="0.2">
      <c r="A427" s="2">
        <v>19</v>
      </c>
      <c r="B427" s="1" t="s">
        <v>199</v>
      </c>
      <c r="C427" s="4">
        <v>2</v>
      </c>
      <c r="D427" s="8">
        <v>1.39</v>
      </c>
      <c r="E427" s="4">
        <v>2</v>
      </c>
      <c r="F427" s="8">
        <v>2.67</v>
      </c>
      <c r="G427" s="4">
        <v>0</v>
      </c>
      <c r="H427" s="8">
        <v>0</v>
      </c>
      <c r="I427" s="4">
        <v>0</v>
      </c>
    </row>
    <row r="428" spans="1:9" x14ac:dyDescent="0.2">
      <c r="A428" s="2">
        <v>19</v>
      </c>
      <c r="B428" s="1" t="s">
        <v>212</v>
      </c>
      <c r="C428" s="4">
        <v>2</v>
      </c>
      <c r="D428" s="8">
        <v>1.39</v>
      </c>
      <c r="E428" s="4">
        <v>2</v>
      </c>
      <c r="F428" s="8">
        <v>2.67</v>
      </c>
      <c r="G428" s="4">
        <v>0</v>
      </c>
      <c r="H428" s="8">
        <v>0</v>
      </c>
      <c r="I428" s="4">
        <v>0</v>
      </c>
    </row>
    <row r="429" spans="1:9" x14ac:dyDescent="0.2">
      <c r="A429" s="2">
        <v>19</v>
      </c>
      <c r="B429" s="1" t="s">
        <v>193</v>
      </c>
      <c r="C429" s="4">
        <v>2</v>
      </c>
      <c r="D429" s="8">
        <v>1.39</v>
      </c>
      <c r="E429" s="4">
        <v>1</v>
      </c>
      <c r="F429" s="8">
        <v>1.33</v>
      </c>
      <c r="G429" s="4">
        <v>1</v>
      </c>
      <c r="H429" s="8">
        <v>1.52</v>
      </c>
      <c r="I429" s="4">
        <v>0</v>
      </c>
    </row>
    <row r="430" spans="1:9" x14ac:dyDescent="0.2">
      <c r="A430" s="2">
        <v>19</v>
      </c>
      <c r="B430" s="1" t="s">
        <v>214</v>
      </c>
      <c r="C430" s="4">
        <v>2</v>
      </c>
      <c r="D430" s="8">
        <v>1.39</v>
      </c>
      <c r="E430" s="4">
        <v>2</v>
      </c>
      <c r="F430" s="8">
        <v>2.67</v>
      </c>
      <c r="G430" s="4">
        <v>0</v>
      </c>
      <c r="H430" s="8">
        <v>0</v>
      </c>
      <c r="I430" s="4">
        <v>0</v>
      </c>
    </row>
    <row r="431" spans="1:9" x14ac:dyDescent="0.2">
      <c r="A431" s="2">
        <v>19</v>
      </c>
      <c r="B431" s="1" t="s">
        <v>181</v>
      </c>
      <c r="C431" s="4">
        <v>2</v>
      </c>
      <c r="D431" s="8">
        <v>1.39</v>
      </c>
      <c r="E431" s="4">
        <v>1</v>
      </c>
      <c r="F431" s="8">
        <v>1.33</v>
      </c>
      <c r="G431" s="4">
        <v>1</v>
      </c>
      <c r="H431" s="8">
        <v>1.52</v>
      </c>
      <c r="I431" s="4">
        <v>0</v>
      </c>
    </row>
    <row r="432" spans="1:9" x14ac:dyDescent="0.2">
      <c r="A432" s="2">
        <v>19</v>
      </c>
      <c r="B432" s="1" t="s">
        <v>216</v>
      </c>
      <c r="C432" s="4">
        <v>2</v>
      </c>
      <c r="D432" s="8">
        <v>1.39</v>
      </c>
      <c r="E432" s="4">
        <v>2</v>
      </c>
      <c r="F432" s="8">
        <v>2.67</v>
      </c>
      <c r="G432" s="4">
        <v>0</v>
      </c>
      <c r="H432" s="8">
        <v>0</v>
      </c>
      <c r="I432" s="4">
        <v>0</v>
      </c>
    </row>
    <row r="433" spans="1:9" x14ac:dyDescent="0.2">
      <c r="A433" s="2">
        <v>19</v>
      </c>
      <c r="B433" s="1" t="s">
        <v>182</v>
      </c>
      <c r="C433" s="4">
        <v>2</v>
      </c>
      <c r="D433" s="8">
        <v>1.39</v>
      </c>
      <c r="E433" s="4">
        <v>1</v>
      </c>
      <c r="F433" s="8">
        <v>1.33</v>
      </c>
      <c r="G433" s="4">
        <v>1</v>
      </c>
      <c r="H433" s="8">
        <v>1.52</v>
      </c>
      <c r="I433" s="4">
        <v>0</v>
      </c>
    </row>
    <row r="434" spans="1:9" x14ac:dyDescent="0.2">
      <c r="A434" s="2">
        <v>19</v>
      </c>
      <c r="B434" s="1" t="s">
        <v>217</v>
      </c>
      <c r="C434" s="4">
        <v>2</v>
      </c>
      <c r="D434" s="8">
        <v>1.39</v>
      </c>
      <c r="E434" s="4">
        <v>0</v>
      </c>
      <c r="F434" s="8">
        <v>0</v>
      </c>
      <c r="G434" s="4">
        <v>2</v>
      </c>
      <c r="H434" s="8">
        <v>3.03</v>
      </c>
      <c r="I434" s="4">
        <v>0</v>
      </c>
    </row>
    <row r="435" spans="1:9" x14ac:dyDescent="0.2">
      <c r="A435" s="2">
        <v>19</v>
      </c>
      <c r="B435" s="1" t="s">
        <v>218</v>
      </c>
      <c r="C435" s="4">
        <v>2</v>
      </c>
      <c r="D435" s="8">
        <v>1.39</v>
      </c>
      <c r="E435" s="4">
        <v>0</v>
      </c>
      <c r="F435" s="8">
        <v>0</v>
      </c>
      <c r="G435" s="4">
        <v>2</v>
      </c>
      <c r="H435" s="8">
        <v>3.03</v>
      </c>
      <c r="I435" s="4">
        <v>0</v>
      </c>
    </row>
    <row r="436" spans="1:9" x14ac:dyDescent="0.2">
      <c r="A436" s="2">
        <v>19</v>
      </c>
      <c r="B436" s="1" t="s">
        <v>177</v>
      </c>
      <c r="C436" s="4">
        <v>2</v>
      </c>
      <c r="D436" s="8">
        <v>1.39</v>
      </c>
      <c r="E436" s="4">
        <v>1</v>
      </c>
      <c r="F436" s="8">
        <v>1.33</v>
      </c>
      <c r="G436" s="4">
        <v>1</v>
      </c>
      <c r="H436" s="8">
        <v>1.52</v>
      </c>
      <c r="I436" s="4">
        <v>0</v>
      </c>
    </row>
    <row r="437" spans="1:9" x14ac:dyDescent="0.2">
      <c r="A437" s="1"/>
      <c r="C437" s="4"/>
      <c r="D437" s="8"/>
      <c r="E437" s="4"/>
      <c r="F437" s="8"/>
      <c r="G437" s="4"/>
      <c r="H437" s="8"/>
      <c r="I437" s="4"/>
    </row>
    <row r="438" spans="1:9" x14ac:dyDescent="0.2">
      <c r="A438" s="1" t="s">
        <v>18</v>
      </c>
      <c r="C438" s="4"/>
      <c r="D438" s="8"/>
      <c r="E438" s="4"/>
      <c r="F438" s="8"/>
      <c r="G438" s="4"/>
      <c r="H438" s="8"/>
      <c r="I438" s="4"/>
    </row>
    <row r="439" spans="1:9" x14ac:dyDescent="0.2">
      <c r="A439" s="2">
        <v>1</v>
      </c>
      <c r="B439" s="1" t="s">
        <v>174</v>
      </c>
      <c r="C439" s="4">
        <v>17</v>
      </c>
      <c r="D439" s="8">
        <v>5.36</v>
      </c>
      <c r="E439" s="4">
        <v>15</v>
      </c>
      <c r="F439" s="8">
        <v>9.68</v>
      </c>
      <c r="G439" s="4">
        <v>2</v>
      </c>
      <c r="H439" s="8">
        <v>1.3</v>
      </c>
      <c r="I439" s="4">
        <v>0</v>
      </c>
    </row>
    <row r="440" spans="1:9" x14ac:dyDescent="0.2">
      <c r="A440" s="2">
        <v>2</v>
      </c>
      <c r="B440" s="1" t="s">
        <v>173</v>
      </c>
      <c r="C440" s="4">
        <v>15</v>
      </c>
      <c r="D440" s="8">
        <v>4.7300000000000004</v>
      </c>
      <c r="E440" s="4">
        <v>14</v>
      </c>
      <c r="F440" s="8">
        <v>9.0299999999999994</v>
      </c>
      <c r="G440" s="4">
        <v>1</v>
      </c>
      <c r="H440" s="8">
        <v>0.65</v>
      </c>
      <c r="I440" s="4">
        <v>0</v>
      </c>
    </row>
    <row r="441" spans="1:9" x14ac:dyDescent="0.2">
      <c r="A441" s="2">
        <v>3</v>
      </c>
      <c r="B441" s="1" t="s">
        <v>164</v>
      </c>
      <c r="C441" s="4">
        <v>10</v>
      </c>
      <c r="D441" s="8">
        <v>3.15</v>
      </c>
      <c r="E441" s="4">
        <v>5</v>
      </c>
      <c r="F441" s="8">
        <v>3.23</v>
      </c>
      <c r="G441" s="4">
        <v>5</v>
      </c>
      <c r="H441" s="8">
        <v>3.25</v>
      </c>
      <c r="I441" s="4">
        <v>0</v>
      </c>
    </row>
    <row r="442" spans="1:9" x14ac:dyDescent="0.2">
      <c r="A442" s="2">
        <v>4</v>
      </c>
      <c r="B442" s="1" t="s">
        <v>168</v>
      </c>
      <c r="C442" s="4">
        <v>9</v>
      </c>
      <c r="D442" s="8">
        <v>2.84</v>
      </c>
      <c r="E442" s="4">
        <v>6</v>
      </c>
      <c r="F442" s="8">
        <v>3.87</v>
      </c>
      <c r="G442" s="4">
        <v>3</v>
      </c>
      <c r="H442" s="8">
        <v>1.95</v>
      </c>
      <c r="I442" s="4">
        <v>0</v>
      </c>
    </row>
    <row r="443" spans="1:9" x14ac:dyDescent="0.2">
      <c r="A443" s="2">
        <v>4</v>
      </c>
      <c r="B443" s="1" t="s">
        <v>170</v>
      </c>
      <c r="C443" s="4">
        <v>9</v>
      </c>
      <c r="D443" s="8">
        <v>2.84</v>
      </c>
      <c r="E443" s="4">
        <v>8</v>
      </c>
      <c r="F443" s="8">
        <v>5.16</v>
      </c>
      <c r="G443" s="4">
        <v>1</v>
      </c>
      <c r="H443" s="8">
        <v>0.65</v>
      </c>
      <c r="I443" s="4">
        <v>0</v>
      </c>
    </row>
    <row r="444" spans="1:9" x14ac:dyDescent="0.2">
      <c r="A444" s="2">
        <v>6</v>
      </c>
      <c r="B444" s="1" t="s">
        <v>196</v>
      </c>
      <c r="C444" s="4">
        <v>8</v>
      </c>
      <c r="D444" s="8">
        <v>2.52</v>
      </c>
      <c r="E444" s="4">
        <v>2</v>
      </c>
      <c r="F444" s="8">
        <v>1.29</v>
      </c>
      <c r="G444" s="4">
        <v>6</v>
      </c>
      <c r="H444" s="8">
        <v>3.9</v>
      </c>
      <c r="I444" s="4">
        <v>0</v>
      </c>
    </row>
    <row r="445" spans="1:9" x14ac:dyDescent="0.2">
      <c r="A445" s="2">
        <v>6</v>
      </c>
      <c r="B445" s="1" t="s">
        <v>161</v>
      </c>
      <c r="C445" s="4">
        <v>8</v>
      </c>
      <c r="D445" s="8">
        <v>2.52</v>
      </c>
      <c r="E445" s="4">
        <v>3</v>
      </c>
      <c r="F445" s="8">
        <v>1.94</v>
      </c>
      <c r="G445" s="4">
        <v>5</v>
      </c>
      <c r="H445" s="8">
        <v>3.25</v>
      </c>
      <c r="I445" s="4">
        <v>0</v>
      </c>
    </row>
    <row r="446" spans="1:9" x14ac:dyDescent="0.2">
      <c r="A446" s="2">
        <v>6</v>
      </c>
      <c r="B446" s="1" t="s">
        <v>176</v>
      </c>
      <c r="C446" s="4">
        <v>8</v>
      </c>
      <c r="D446" s="8">
        <v>2.52</v>
      </c>
      <c r="E446" s="4">
        <v>6</v>
      </c>
      <c r="F446" s="8">
        <v>3.87</v>
      </c>
      <c r="G446" s="4">
        <v>2</v>
      </c>
      <c r="H446" s="8">
        <v>1.3</v>
      </c>
      <c r="I446" s="4">
        <v>0</v>
      </c>
    </row>
    <row r="447" spans="1:9" x14ac:dyDescent="0.2">
      <c r="A447" s="2">
        <v>9</v>
      </c>
      <c r="B447" s="1" t="s">
        <v>158</v>
      </c>
      <c r="C447" s="4">
        <v>7</v>
      </c>
      <c r="D447" s="8">
        <v>2.21</v>
      </c>
      <c r="E447" s="4">
        <v>0</v>
      </c>
      <c r="F447" s="8">
        <v>0</v>
      </c>
      <c r="G447" s="4">
        <v>7</v>
      </c>
      <c r="H447" s="8">
        <v>4.55</v>
      </c>
      <c r="I447" s="4">
        <v>0</v>
      </c>
    </row>
    <row r="448" spans="1:9" x14ac:dyDescent="0.2">
      <c r="A448" s="2">
        <v>9</v>
      </c>
      <c r="B448" s="1" t="s">
        <v>171</v>
      </c>
      <c r="C448" s="4">
        <v>7</v>
      </c>
      <c r="D448" s="8">
        <v>2.21</v>
      </c>
      <c r="E448" s="4">
        <v>7</v>
      </c>
      <c r="F448" s="8">
        <v>4.5199999999999996</v>
      </c>
      <c r="G448" s="4">
        <v>0</v>
      </c>
      <c r="H448" s="8">
        <v>0</v>
      </c>
      <c r="I448" s="4">
        <v>0</v>
      </c>
    </row>
    <row r="449" spans="1:9" x14ac:dyDescent="0.2">
      <c r="A449" s="2">
        <v>11</v>
      </c>
      <c r="B449" s="1" t="s">
        <v>166</v>
      </c>
      <c r="C449" s="4">
        <v>6</v>
      </c>
      <c r="D449" s="8">
        <v>1.89</v>
      </c>
      <c r="E449" s="4">
        <v>3</v>
      </c>
      <c r="F449" s="8">
        <v>1.94</v>
      </c>
      <c r="G449" s="4">
        <v>3</v>
      </c>
      <c r="H449" s="8">
        <v>1.95</v>
      </c>
      <c r="I449" s="4">
        <v>0</v>
      </c>
    </row>
    <row r="450" spans="1:9" x14ac:dyDescent="0.2">
      <c r="A450" s="2">
        <v>12</v>
      </c>
      <c r="B450" s="1" t="s">
        <v>201</v>
      </c>
      <c r="C450" s="4">
        <v>5</v>
      </c>
      <c r="D450" s="8">
        <v>1.58</v>
      </c>
      <c r="E450" s="4">
        <v>2</v>
      </c>
      <c r="F450" s="8">
        <v>1.29</v>
      </c>
      <c r="G450" s="4">
        <v>3</v>
      </c>
      <c r="H450" s="8">
        <v>1.95</v>
      </c>
      <c r="I450" s="4">
        <v>0</v>
      </c>
    </row>
    <row r="451" spans="1:9" x14ac:dyDescent="0.2">
      <c r="A451" s="2">
        <v>12</v>
      </c>
      <c r="B451" s="1" t="s">
        <v>219</v>
      </c>
      <c r="C451" s="4">
        <v>5</v>
      </c>
      <c r="D451" s="8">
        <v>1.58</v>
      </c>
      <c r="E451" s="4">
        <v>3</v>
      </c>
      <c r="F451" s="8">
        <v>1.94</v>
      </c>
      <c r="G451" s="4">
        <v>2</v>
      </c>
      <c r="H451" s="8">
        <v>1.3</v>
      </c>
      <c r="I451" s="4">
        <v>0</v>
      </c>
    </row>
    <row r="452" spans="1:9" x14ac:dyDescent="0.2">
      <c r="A452" s="2">
        <v>12</v>
      </c>
      <c r="B452" s="1" t="s">
        <v>165</v>
      </c>
      <c r="C452" s="4">
        <v>5</v>
      </c>
      <c r="D452" s="8">
        <v>1.58</v>
      </c>
      <c r="E452" s="4">
        <v>1</v>
      </c>
      <c r="F452" s="8">
        <v>0.65</v>
      </c>
      <c r="G452" s="4">
        <v>4</v>
      </c>
      <c r="H452" s="8">
        <v>2.6</v>
      </c>
      <c r="I452" s="4">
        <v>0</v>
      </c>
    </row>
    <row r="453" spans="1:9" x14ac:dyDescent="0.2">
      <c r="A453" s="2">
        <v>12</v>
      </c>
      <c r="B453" s="1" t="s">
        <v>181</v>
      </c>
      <c r="C453" s="4">
        <v>5</v>
      </c>
      <c r="D453" s="8">
        <v>1.58</v>
      </c>
      <c r="E453" s="4">
        <v>5</v>
      </c>
      <c r="F453" s="8">
        <v>3.23</v>
      </c>
      <c r="G453" s="4">
        <v>0</v>
      </c>
      <c r="H453" s="8">
        <v>0</v>
      </c>
      <c r="I453" s="4">
        <v>0</v>
      </c>
    </row>
    <row r="454" spans="1:9" x14ac:dyDescent="0.2">
      <c r="A454" s="2">
        <v>12</v>
      </c>
      <c r="B454" s="1" t="s">
        <v>197</v>
      </c>
      <c r="C454" s="4">
        <v>5</v>
      </c>
      <c r="D454" s="8">
        <v>1.58</v>
      </c>
      <c r="E454" s="4">
        <v>0</v>
      </c>
      <c r="F454" s="8">
        <v>0</v>
      </c>
      <c r="G454" s="4">
        <v>0</v>
      </c>
      <c r="H454" s="8">
        <v>0</v>
      </c>
      <c r="I454" s="4">
        <v>0</v>
      </c>
    </row>
    <row r="455" spans="1:9" x14ac:dyDescent="0.2">
      <c r="A455" s="2">
        <v>17</v>
      </c>
      <c r="B455" s="1" t="s">
        <v>187</v>
      </c>
      <c r="C455" s="4">
        <v>4</v>
      </c>
      <c r="D455" s="8">
        <v>1.26</v>
      </c>
      <c r="E455" s="4">
        <v>3</v>
      </c>
      <c r="F455" s="8">
        <v>1.94</v>
      </c>
      <c r="G455" s="4">
        <v>1</v>
      </c>
      <c r="H455" s="8">
        <v>0.65</v>
      </c>
      <c r="I455" s="4">
        <v>0</v>
      </c>
    </row>
    <row r="456" spans="1:9" x14ac:dyDescent="0.2">
      <c r="A456" s="2">
        <v>17</v>
      </c>
      <c r="B456" s="1" t="s">
        <v>220</v>
      </c>
      <c r="C456" s="4">
        <v>4</v>
      </c>
      <c r="D456" s="8">
        <v>1.26</v>
      </c>
      <c r="E456" s="4">
        <v>2</v>
      </c>
      <c r="F456" s="8">
        <v>1.29</v>
      </c>
      <c r="G456" s="4">
        <v>2</v>
      </c>
      <c r="H456" s="8">
        <v>1.3</v>
      </c>
      <c r="I456" s="4">
        <v>0</v>
      </c>
    </row>
    <row r="457" spans="1:9" x14ac:dyDescent="0.2">
      <c r="A457" s="2">
        <v>17</v>
      </c>
      <c r="B457" s="1" t="s">
        <v>221</v>
      </c>
      <c r="C457" s="4">
        <v>4</v>
      </c>
      <c r="D457" s="8">
        <v>1.26</v>
      </c>
      <c r="E457" s="4">
        <v>1</v>
      </c>
      <c r="F457" s="8">
        <v>0.65</v>
      </c>
      <c r="G457" s="4">
        <v>3</v>
      </c>
      <c r="H457" s="8">
        <v>1.95</v>
      </c>
      <c r="I457" s="4">
        <v>0</v>
      </c>
    </row>
    <row r="458" spans="1:9" x14ac:dyDescent="0.2">
      <c r="A458" s="2">
        <v>17</v>
      </c>
      <c r="B458" s="1" t="s">
        <v>190</v>
      </c>
      <c r="C458" s="4">
        <v>4</v>
      </c>
      <c r="D458" s="8">
        <v>1.26</v>
      </c>
      <c r="E458" s="4">
        <v>0</v>
      </c>
      <c r="F458" s="8">
        <v>0</v>
      </c>
      <c r="G458" s="4">
        <v>4</v>
      </c>
      <c r="H458" s="8">
        <v>2.6</v>
      </c>
      <c r="I458" s="4">
        <v>0</v>
      </c>
    </row>
    <row r="459" spans="1:9" x14ac:dyDescent="0.2">
      <c r="A459" s="2">
        <v>17</v>
      </c>
      <c r="B459" s="1" t="s">
        <v>222</v>
      </c>
      <c r="C459" s="4">
        <v>4</v>
      </c>
      <c r="D459" s="8">
        <v>1.26</v>
      </c>
      <c r="E459" s="4">
        <v>3</v>
      </c>
      <c r="F459" s="8">
        <v>1.94</v>
      </c>
      <c r="G459" s="4">
        <v>1</v>
      </c>
      <c r="H459" s="8">
        <v>0.65</v>
      </c>
      <c r="I459" s="4">
        <v>0</v>
      </c>
    </row>
    <row r="460" spans="1:9" x14ac:dyDescent="0.2">
      <c r="A460" s="2">
        <v>17</v>
      </c>
      <c r="B460" s="1" t="s">
        <v>207</v>
      </c>
      <c r="C460" s="4">
        <v>4</v>
      </c>
      <c r="D460" s="8">
        <v>1.26</v>
      </c>
      <c r="E460" s="4">
        <v>1</v>
      </c>
      <c r="F460" s="8">
        <v>0.65</v>
      </c>
      <c r="G460" s="4">
        <v>3</v>
      </c>
      <c r="H460" s="8">
        <v>1.95</v>
      </c>
      <c r="I460" s="4">
        <v>0</v>
      </c>
    </row>
    <row r="461" spans="1:9" x14ac:dyDescent="0.2">
      <c r="A461" s="2">
        <v>17</v>
      </c>
      <c r="B461" s="1" t="s">
        <v>191</v>
      </c>
      <c r="C461" s="4">
        <v>4</v>
      </c>
      <c r="D461" s="8">
        <v>1.26</v>
      </c>
      <c r="E461" s="4">
        <v>2</v>
      </c>
      <c r="F461" s="8">
        <v>1.29</v>
      </c>
      <c r="G461" s="4">
        <v>2</v>
      </c>
      <c r="H461" s="8">
        <v>1.3</v>
      </c>
      <c r="I461" s="4">
        <v>0</v>
      </c>
    </row>
    <row r="462" spans="1:9" x14ac:dyDescent="0.2">
      <c r="A462" s="2">
        <v>17</v>
      </c>
      <c r="B462" s="1" t="s">
        <v>178</v>
      </c>
      <c r="C462" s="4">
        <v>4</v>
      </c>
      <c r="D462" s="8">
        <v>1.26</v>
      </c>
      <c r="E462" s="4">
        <v>4</v>
      </c>
      <c r="F462" s="8">
        <v>2.58</v>
      </c>
      <c r="G462" s="4">
        <v>0</v>
      </c>
      <c r="H462" s="8">
        <v>0</v>
      </c>
      <c r="I462" s="4">
        <v>0</v>
      </c>
    </row>
    <row r="463" spans="1:9" x14ac:dyDescent="0.2">
      <c r="A463" s="2">
        <v>17</v>
      </c>
      <c r="B463" s="1" t="s">
        <v>208</v>
      </c>
      <c r="C463" s="4">
        <v>4</v>
      </c>
      <c r="D463" s="8">
        <v>1.26</v>
      </c>
      <c r="E463" s="4">
        <v>2</v>
      </c>
      <c r="F463" s="8">
        <v>1.29</v>
      </c>
      <c r="G463" s="4">
        <v>2</v>
      </c>
      <c r="H463" s="8">
        <v>1.3</v>
      </c>
      <c r="I463" s="4">
        <v>0</v>
      </c>
    </row>
    <row r="464" spans="1:9" x14ac:dyDescent="0.2">
      <c r="A464" s="2">
        <v>17</v>
      </c>
      <c r="B464" s="1" t="s">
        <v>169</v>
      </c>
      <c r="C464" s="4">
        <v>4</v>
      </c>
      <c r="D464" s="8">
        <v>1.26</v>
      </c>
      <c r="E464" s="4">
        <v>1</v>
      </c>
      <c r="F464" s="8">
        <v>0.65</v>
      </c>
      <c r="G464" s="4">
        <v>3</v>
      </c>
      <c r="H464" s="8">
        <v>1.95</v>
      </c>
      <c r="I464" s="4">
        <v>0</v>
      </c>
    </row>
    <row r="465" spans="1:9" x14ac:dyDescent="0.2">
      <c r="A465" s="2">
        <v>17</v>
      </c>
      <c r="B465" s="1" t="s">
        <v>182</v>
      </c>
      <c r="C465" s="4">
        <v>4</v>
      </c>
      <c r="D465" s="8">
        <v>1.26</v>
      </c>
      <c r="E465" s="4">
        <v>0</v>
      </c>
      <c r="F465" s="8">
        <v>0</v>
      </c>
      <c r="G465" s="4">
        <v>4</v>
      </c>
      <c r="H465" s="8">
        <v>2.6</v>
      </c>
      <c r="I465" s="4">
        <v>0</v>
      </c>
    </row>
    <row r="466" spans="1:9" x14ac:dyDescent="0.2">
      <c r="A466" s="2">
        <v>17</v>
      </c>
      <c r="B466" s="1" t="s">
        <v>184</v>
      </c>
      <c r="C466" s="4">
        <v>4</v>
      </c>
      <c r="D466" s="8">
        <v>1.26</v>
      </c>
      <c r="E466" s="4">
        <v>2</v>
      </c>
      <c r="F466" s="8">
        <v>1.29</v>
      </c>
      <c r="G466" s="4">
        <v>2</v>
      </c>
      <c r="H466" s="8">
        <v>1.3</v>
      </c>
      <c r="I466" s="4">
        <v>0</v>
      </c>
    </row>
    <row r="467" spans="1:9" x14ac:dyDescent="0.2">
      <c r="A467" s="2">
        <v>17</v>
      </c>
      <c r="B467" s="1" t="s">
        <v>175</v>
      </c>
      <c r="C467" s="4">
        <v>4</v>
      </c>
      <c r="D467" s="8">
        <v>1.26</v>
      </c>
      <c r="E467" s="4">
        <v>3</v>
      </c>
      <c r="F467" s="8">
        <v>1.94</v>
      </c>
      <c r="G467" s="4">
        <v>1</v>
      </c>
      <c r="H467" s="8">
        <v>0.65</v>
      </c>
      <c r="I467" s="4">
        <v>0</v>
      </c>
    </row>
    <row r="468" spans="1:9" x14ac:dyDescent="0.2">
      <c r="A468" s="1"/>
      <c r="C468" s="4"/>
      <c r="D468" s="8"/>
      <c r="E468" s="4"/>
      <c r="F468" s="8"/>
      <c r="G468" s="4"/>
      <c r="H468" s="8"/>
      <c r="I468" s="4"/>
    </row>
    <row r="469" spans="1:9" x14ac:dyDescent="0.2">
      <c r="A469" s="1" t="s">
        <v>19</v>
      </c>
      <c r="C469" s="4"/>
      <c r="D469" s="8"/>
      <c r="E469" s="4"/>
      <c r="F469" s="8"/>
      <c r="G469" s="4"/>
      <c r="H469" s="8"/>
      <c r="I469" s="4"/>
    </row>
    <row r="470" spans="1:9" x14ac:dyDescent="0.2">
      <c r="A470" s="2">
        <v>1</v>
      </c>
      <c r="B470" s="1" t="s">
        <v>215</v>
      </c>
      <c r="C470" s="4">
        <v>12</v>
      </c>
      <c r="D470" s="8">
        <v>9.3800000000000008</v>
      </c>
      <c r="E470" s="4">
        <v>11</v>
      </c>
      <c r="F470" s="8">
        <v>15.28</v>
      </c>
      <c r="G470" s="4">
        <v>1</v>
      </c>
      <c r="H470" s="8">
        <v>1.92</v>
      </c>
      <c r="I470" s="4">
        <v>0</v>
      </c>
    </row>
    <row r="471" spans="1:9" x14ac:dyDescent="0.2">
      <c r="A471" s="2">
        <v>2</v>
      </c>
      <c r="B471" s="1" t="s">
        <v>159</v>
      </c>
      <c r="C471" s="4">
        <v>5</v>
      </c>
      <c r="D471" s="8">
        <v>3.91</v>
      </c>
      <c r="E471" s="4">
        <v>1</v>
      </c>
      <c r="F471" s="8">
        <v>1.39</v>
      </c>
      <c r="G471" s="4">
        <v>4</v>
      </c>
      <c r="H471" s="8">
        <v>7.69</v>
      </c>
      <c r="I471" s="4">
        <v>0</v>
      </c>
    </row>
    <row r="472" spans="1:9" x14ac:dyDescent="0.2">
      <c r="A472" s="2">
        <v>2</v>
      </c>
      <c r="B472" s="1" t="s">
        <v>181</v>
      </c>
      <c r="C472" s="4">
        <v>5</v>
      </c>
      <c r="D472" s="8">
        <v>3.91</v>
      </c>
      <c r="E472" s="4">
        <v>5</v>
      </c>
      <c r="F472" s="8">
        <v>6.94</v>
      </c>
      <c r="G472" s="4">
        <v>0</v>
      </c>
      <c r="H472" s="8">
        <v>0</v>
      </c>
      <c r="I472" s="4">
        <v>0</v>
      </c>
    </row>
    <row r="473" spans="1:9" x14ac:dyDescent="0.2">
      <c r="A473" s="2">
        <v>2</v>
      </c>
      <c r="B473" s="1" t="s">
        <v>173</v>
      </c>
      <c r="C473" s="4">
        <v>5</v>
      </c>
      <c r="D473" s="8">
        <v>3.91</v>
      </c>
      <c r="E473" s="4">
        <v>5</v>
      </c>
      <c r="F473" s="8">
        <v>6.94</v>
      </c>
      <c r="G473" s="4">
        <v>0</v>
      </c>
      <c r="H473" s="8">
        <v>0</v>
      </c>
      <c r="I473" s="4">
        <v>0</v>
      </c>
    </row>
    <row r="474" spans="1:9" x14ac:dyDescent="0.2">
      <c r="A474" s="2">
        <v>5</v>
      </c>
      <c r="B474" s="1" t="s">
        <v>158</v>
      </c>
      <c r="C474" s="4">
        <v>4</v>
      </c>
      <c r="D474" s="8">
        <v>3.13</v>
      </c>
      <c r="E474" s="4">
        <v>0</v>
      </c>
      <c r="F474" s="8">
        <v>0</v>
      </c>
      <c r="G474" s="4">
        <v>4</v>
      </c>
      <c r="H474" s="8">
        <v>7.69</v>
      </c>
      <c r="I474" s="4">
        <v>0</v>
      </c>
    </row>
    <row r="475" spans="1:9" x14ac:dyDescent="0.2">
      <c r="A475" s="2">
        <v>5</v>
      </c>
      <c r="B475" s="1" t="s">
        <v>160</v>
      </c>
      <c r="C475" s="4">
        <v>4</v>
      </c>
      <c r="D475" s="8">
        <v>3.13</v>
      </c>
      <c r="E475" s="4">
        <v>4</v>
      </c>
      <c r="F475" s="8">
        <v>5.56</v>
      </c>
      <c r="G475" s="4">
        <v>0</v>
      </c>
      <c r="H475" s="8">
        <v>0</v>
      </c>
      <c r="I475" s="4">
        <v>0</v>
      </c>
    </row>
    <row r="476" spans="1:9" x14ac:dyDescent="0.2">
      <c r="A476" s="2">
        <v>5</v>
      </c>
      <c r="B476" s="1" t="s">
        <v>178</v>
      </c>
      <c r="C476" s="4">
        <v>4</v>
      </c>
      <c r="D476" s="8">
        <v>3.13</v>
      </c>
      <c r="E476" s="4">
        <v>2</v>
      </c>
      <c r="F476" s="8">
        <v>2.78</v>
      </c>
      <c r="G476" s="4">
        <v>2</v>
      </c>
      <c r="H476" s="8">
        <v>3.85</v>
      </c>
      <c r="I476" s="4">
        <v>0</v>
      </c>
    </row>
    <row r="477" spans="1:9" x14ac:dyDescent="0.2">
      <c r="A477" s="2">
        <v>5</v>
      </c>
      <c r="B477" s="1" t="s">
        <v>163</v>
      </c>
      <c r="C477" s="4">
        <v>4</v>
      </c>
      <c r="D477" s="8">
        <v>3.13</v>
      </c>
      <c r="E477" s="4">
        <v>3</v>
      </c>
      <c r="F477" s="8">
        <v>4.17</v>
      </c>
      <c r="G477" s="4">
        <v>1</v>
      </c>
      <c r="H477" s="8">
        <v>1.92</v>
      </c>
      <c r="I477" s="4">
        <v>0</v>
      </c>
    </row>
    <row r="478" spans="1:9" x14ac:dyDescent="0.2">
      <c r="A478" s="2">
        <v>5</v>
      </c>
      <c r="B478" s="1" t="s">
        <v>186</v>
      </c>
      <c r="C478" s="4">
        <v>4</v>
      </c>
      <c r="D478" s="8">
        <v>3.13</v>
      </c>
      <c r="E478" s="4">
        <v>0</v>
      </c>
      <c r="F478" s="8">
        <v>0</v>
      </c>
      <c r="G478" s="4">
        <v>3</v>
      </c>
      <c r="H478" s="8">
        <v>5.77</v>
      </c>
      <c r="I478" s="4">
        <v>0</v>
      </c>
    </row>
    <row r="479" spans="1:9" x14ac:dyDescent="0.2">
      <c r="A479" s="2">
        <v>10</v>
      </c>
      <c r="B479" s="1" t="s">
        <v>196</v>
      </c>
      <c r="C479" s="4">
        <v>3</v>
      </c>
      <c r="D479" s="8">
        <v>2.34</v>
      </c>
      <c r="E479" s="4">
        <v>2</v>
      </c>
      <c r="F479" s="8">
        <v>2.78</v>
      </c>
      <c r="G479" s="4">
        <v>1</v>
      </c>
      <c r="H479" s="8">
        <v>1.92</v>
      </c>
      <c r="I479" s="4">
        <v>0</v>
      </c>
    </row>
    <row r="480" spans="1:9" x14ac:dyDescent="0.2">
      <c r="A480" s="2">
        <v>10</v>
      </c>
      <c r="B480" s="1" t="s">
        <v>199</v>
      </c>
      <c r="C480" s="4">
        <v>3</v>
      </c>
      <c r="D480" s="8">
        <v>2.34</v>
      </c>
      <c r="E480" s="4">
        <v>3</v>
      </c>
      <c r="F480" s="8">
        <v>4.17</v>
      </c>
      <c r="G480" s="4">
        <v>0</v>
      </c>
      <c r="H480" s="8">
        <v>0</v>
      </c>
      <c r="I480" s="4">
        <v>0</v>
      </c>
    </row>
    <row r="481" spans="1:9" x14ac:dyDescent="0.2">
      <c r="A481" s="2">
        <v>10</v>
      </c>
      <c r="B481" s="1" t="s">
        <v>191</v>
      </c>
      <c r="C481" s="4">
        <v>3</v>
      </c>
      <c r="D481" s="8">
        <v>2.34</v>
      </c>
      <c r="E481" s="4">
        <v>3</v>
      </c>
      <c r="F481" s="8">
        <v>4.17</v>
      </c>
      <c r="G481" s="4">
        <v>0</v>
      </c>
      <c r="H481" s="8">
        <v>0</v>
      </c>
      <c r="I481" s="4">
        <v>0</v>
      </c>
    </row>
    <row r="482" spans="1:9" x14ac:dyDescent="0.2">
      <c r="A482" s="2">
        <v>10</v>
      </c>
      <c r="B482" s="1" t="s">
        <v>165</v>
      </c>
      <c r="C482" s="4">
        <v>3</v>
      </c>
      <c r="D482" s="8">
        <v>2.34</v>
      </c>
      <c r="E482" s="4">
        <v>1</v>
      </c>
      <c r="F482" s="8">
        <v>1.39</v>
      </c>
      <c r="G482" s="4">
        <v>2</v>
      </c>
      <c r="H482" s="8">
        <v>3.85</v>
      </c>
      <c r="I482" s="4">
        <v>0</v>
      </c>
    </row>
    <row r="483" spans="1:9" x14ac:dyDescent="0.2">
      <c r="A483" s="2">
        <v>14</v>
      </c>
      <c r="B483" s="1" t="s">
        <v>198</v>
      </c>
      <c r="C483" s="4">
        <v>2</v>
      </c>
      <c r="D483" s="8">
        <v>1.56</v>
      </c>
      <c r="E483" s="4">
        <v>1</v>
      </c>
      <c r="F483" s="8">
        <v>1.39</v>
      </c>
      <c r="G483" s="4">
        <v>1</v>
      </c>
      <c r="H483" s="8">
        <v>1.92</v>
      </c>
      <c r="I483" s="4">
        <v>0</v>
      </c>
    </row>
    <row r="484" spans="1:9" x14ac:dyDescent="0.2">
      <c r="A484" s="2">
        <v>14</v>
      </c>
      <c r="B484" s="1" t="s">
        <v>194</v>
      </c>
      <c r="C484" s="4">
        <v>2</v>
      </c>
      <c r="D484" s="8">
        <v>1.56</v>
      </c>
      <c r="E484" s="4">
        <v>2</v>
      </c>
      <c r="F484" s="8">
        <v>2.78</v>
      </c>
      <c r="G484" s="4">
        <v>0</v>
      </c>
      <c r="H484" s="8">
        <v>0</v>
      </c>
      <c r="I484" s="4">
        <v>0</v>
      </c>
    </row>
    <row r="485" spans="1:9" x14ac:dyDescent="0.2">
      <c r="A485" s="2">
        <v>14</v>
      </c>
      <c r="B485" s="1" t="s">
        <v>187</v>
      </c>
      <c r="C485" s="4">
        <v>2</v>
      </c>
      <c r="D485" s="8">
        <v>1.56</v>
      </c>
      <c r="E485" s="4">
        <v>0</v>
      </c>
      <c r="F485" s="8">
        <v>0</v>
      </c>
      <c r="G485" s="4">
        <v>2</v>
      </c>
      <c r="H485" s="8">
        <v>3.85</v>
      </c>
      <c r="I485" s="4">
        <v>0</v>
      </c>
    </row>
    <row r="486" spans="1:9" x14ac:dyDescent="0.2">
      <c r="A486" s="2">
        <v>14</v>
      </c>
      <c r="B486" s="1" t="s">
        <v>161</v>
      </c>
      <c r="C486" s="4">
        <v>2</v>
      </c>
      <c r="D486" s="8">
        <v>1.56</v>
      </c>
      <c r="E486" s="4">
        <v>1</v>
      </c>
      <c r="F486" s="8">
        <v>1.39</v>
      </c>
      <c r="G486" s="4">
        <v>1</v>
      </c>
      <c r="H486" s="8">
        <v>1.92</v>
      </c>
      <c r="I486" s="4">
        <v>0</v>
      </c>
    </row>
    <row r="487" spans="1:9" x14ac:dyDescent="0.2">
      <c r="A487" s="2">
        <v>14</v>
      </c>
      <c r="B487" s="1" t="s">
        <v>162</v>
      </c>
      <c r="C487" s="4">
        <v>2</v>
      </c>
      <c r="D487" s="8">
        <v>1.56</v>
      </c>
      <c r="E487" s="4">
        <v>1</v>
      </c>
      <c r="F487" s="8">
        <v>1.39</v>
      </c>
      <c r="G487" s="4">
        <v>1</v>
      </c>
      <c r="H487" s="8">
        <v>1.92</v>
      </c>
      <c r="I487" s="4">
        <v>0</v>
      </c>
    </row>
    <row r="488" spans="1:9" x14ac:dyDescent="0.2">
      <c r="A488" s="2">
        <v>14</v>
      </c>
      <c r="B488" s="1" t="s">
        <v>223</v>
      </c>
      <c r="C488" s="4">
        <v>2</v>
      </c>
      <c r="D488" s="8">
        <v>1.56</v>
      </c>
      <c r="E488" s="4">
        <v>1</v>
      </c>
      <c r="F488" s="8">
        <v>1.39</v>
      </c>
      <c r="G488" s="4">
        <v>1</v>
      </c>
      <c r="H488" s="8">
        <v>1.92</v>
      </c>
      <c r="I488" s="4">
        <v>0</v>
      </c>
    </row>
    <row r="489" spans="1:9" x14ac:dyDescent="0.2">
      <c r="A489" s="2">
        <v>14</v>
      </c>
      <c r="B489" s="1" t="s">
        <v>224</v>
      </c>
      <c r="C489" s="4">
        <v>2</v>
      </c>
      <c r="D489" s="8">
        <v>1.56</v>
      </c>
      <c r="E489" s="4">
        <v>1</v>
      </c>
      <c r="F489" s="8">
        <v>1.39</v>
      </c>
      <c r="G489" s="4">
        <v>1</v>
      </c>
      <c r="H489" s="8">
        <v>1.92</v>
      </c>
      <c r="I489" s="4">
        <v>0</v>
      </c>
    </row>
    <row r="490" spans="1:9" x14ac:dyDescent="0.2">
      <c r="A490" s="2">
        <v>14</v>
      </c>
      <c r="B490" s="1" t="s">
        <v>225</v>
      </c>
      <c r="C490" s="4">
        <v>2</v>
      </c>
      <c r="D490" s="8">
        <v>1.56</v>
      </c>
      <c r="E490" s="4">
        <v>1</v>
      </c>
      <c r="F490" s="8">
        <v>1.39</v>
      </c>
      <c r="G490" s="4">
        <v>1</v>
      </c>
      <c r="H490" s="8">
        <v>1.92</v>
      </c>
      <c r="I490" s="4">
        <v>0</v>
      </c>
    </row>
    <row r="491" spans="1:9" x14ac:dyDescent="0.2">
      <c r="A491" s="2">
        <v>14</v>
      </c>
      <c r="B491" s="1" t="s">
        <v>212</v>
      </c>
      <c r="C491" s="4">
        <v>2</v>
      </c>
      <c r="D491" s="8">
        <v>1.56</v>
      </c>
      <c r="E491" s="4">
        <v>2</v>
      </c>
      <c r="F491" s="8">
        <v>2.78</v>
      </c>
      <c r="G491" s="4">
        <v>0</v>
      </c>
      <c r="H491" s="8">
        <v>0</v>
      </c>
      <c r="I491" s="4">
        <v>0</v>
      </c>
    </row>
    <row r="492" spans="1:9" x14ac:dyDescent="0.2">
      <c r="A492" s="2">
        <v>14</v>
      </c>
      <c r="B492" s="1" t="s">
        <v>210</v>
      </c>
      <c r="C492" s="4">
        <v>2</v>
      </c>
      <c r="D492" s="8">
        <v>1.56</v>
      </c>
      <c r="E492" s="4">
        <v>2</v>
      </c>
      <c r="F492" s="8">
        <v>2.78</v>
      </c>
      <c r="G492" s="4">
        <v>0</v>
      </c>
      <c r="H492" s="8">
        <v>0</v>
      </c>
      <c r="I492" s="4">
        <v>0</v>
      </c>
    </row>
    <row r="493" spans="1:9" x14ac:dyDescent="0.2">
      <c r="A493" s="2">
        <v>14</v>
      </c>
      <c r="B493" s="1" t="s">
        <v>183</v>
      </c>
      <c r="C493" s="4">
        <v>2</v>
      </c>
      <c r="D493" s="8">
        <v>1.56</v>
      </c>
      <c r="E493" s="4">
        <v>0</v>
      </c>
      <c r="F493" s="8">
        <v>0</v>
      </c>
      <c r="G493" s="4">
        <v>2</v>
      </c>
      <c r="H493" s="8">
        <v>3.85</v>
      </c>
      <c r="I493" s="4">
        <v>0</v>
      </c>
    </row>
    <row r="494" spans="1:9" x14ac:dyDescent="0.2">
      <c r="A494" s="2">
        <v>14</v>
      </c>
      <c r="B494" s="1" t="s">
        <v>174</v>
      </c>
      <c r="C494" s="4">
        <v>2</v>
      </c>
      <c r="D494" s="8">
        <v>1.56</v>
      </c>
      <c r="E494" s="4">
        <v>2</v>
      </c>
      <c r="F494" s="8">
        <v>2.78</v>
      </c>
      <c r="G494" s="4">
        <v>0</v>
      </c>
      <c r="H494" s="8">
        <v>0</v>
      </c>
      <c r="I494" s="4">
        <v>0</v>
      </c>
    </row>
    <row r="495" spans="1:9" x14ac:dyDescent="0.2">
      <c r="A495" s="2">
        <v>14</v>
      </c>
      <c r="B495" s="1" t="s">
        <v>200</v>
      </c>
      <c r="C495" s="4">
        <v>2</v>
      </c>
      <c r="D495" s="8">
        <v>1.56</v>
      </c>
      <c r="E495" s="4">
        <v>0</v>
      </c>
      <c r="F495" s="8">
        <v>0</v>
      </c>
      <c r="G495" s="4">
        <v>2</v>
      </c>
      <c r="H495" s="8">
        <v>3.85</v>
      </c>
      <c r="I495" s="4">
        <v>0</v>
      </c>
    </row>
    <row r="496" spans="1:9" x14ac:dyDescent="0.2">
      <c r="A496" s="2">
        <v>14</v>
      </c>
      <c r="B496" s="1" t="s">
        <v>206</v>
      </c>
      <c r="C496" s="4">
        <v>2</v>
      </c>
      <c r="D496" s="8">
        <v>1.56</v>
      </c>
      <c r="E496" s="4">
        <v>0</v>
      </c>
      <c r="F496" s="8">
        <v>0</v>
      </c>
      <c r="G496" s="4">
        <v>2</v>
      </c>
      <c r="H496" s="8">
        <v>3.85</v>
      </c>
      <c r="I496" s="4">
        <v>0</v>
      </c>
    </row>
    <row r="497" spans="1:9" x14ac:dyDescent="0.2">
      <c r="A497" s="2">
        <v>14</v>
      </c>
      <c r="B497" s="1" t="s">
        <v>177</v>
      </c>
      <c r="C497" s="4">
        <v>2</v>
      </c>
      <c r="D497" s="8">
        <v>1.56</v>
      </c>
      <c r="E497" s="4">
        <v>2</v>
      </c>
      <c r="F497" s="8">
        <v>2.78</v>
      </c>
      <c r="G497" s="4">
        <v>0</v>
      </c>
      <c r="H497" s="8">
        <v>0</v>
      </c>
      <c r="I497" s="4">
        <v>0</v>
      </c>
    </row>
    <row r="498" spans="1:9" x14ac:dyDescent="0.2">
      <c r="A498" s="1"/>
      <c r="C498" s="4"/>
      <c r="D498" s="8"/>
      <c r="E498" s="4"/>
      <c r="F498" s="8"/>
      <c r="G498" s="4"/>
      <c r="H498" s="8"/>
      <c r="I498" s="4"/>
    </row>
    <row r="499" spans="1:9" x14ac:dyDescent="0.2">
      <c r="A499" s="1" t="s">
        <v>20</v>
      </c>
      <c r="C499" s="4"/>
      <c r="D499" s="8"/>
      <c r="E499" s="4"/>
      <c r="F499" s="8"/>
      <c r="G499" s="4"/>
      <c r="H499" s="8"/>
      <c r="I499" s="4"/>
    </row>
    <row r="500" spans="1:9" x14ac:dyDescent="0.2">
      <c r="A500" s="2">
        <v>1</v>
      </c>
      <c r="B500" s="1" t="s">
        <v>166</v>
      </c>
      <c r="C500" s="4">
        <v>18</v>
      </c>
      <c r="D500" s="8">
        <v>7.76</v>
      </c>
      <c r="E500" s="4">
        <v>18</v>
      </c>
      <c r="F500" s="8">
        <v>12.33</v>
      </c>
      <c r="G500" s="4">
        <v>0</v>
      </c>
      <c r="H500" s="8">
        <v>0</v>
      </c>
      <c r="I500" s="4">
        <v>0</v>
      </c>
    </row>
    <row r="501" spans="1:9" x14ac:dyDescent="0.2">
      <c r="A501" s="2">
        <v>2</v>
      </c>
      <c r="B501" s="1" t="s">
        <v>215</v>
      </c>
      <c r="C501" s="4">
        <v>17</v>
      </c>
      <c r="D501" s="8">
        <v>7.33</v>
      </c>
      <c r="E501" s="4">
        <v>12</v>
      </c>
      <c r="F501" s="8">
        <v>8.2200000000000006</v>
      </c>
      <c r="G501" s="4">
        <v>5</v>
      </c>
      <c r="H501" s="8">
        <v>6.58</v>
      </c>
      <c r="I501" s="4">
        <v>0</v>
      </c>
    </row>
    <row r="502" spans="1:9" x14ac:dyDescent="0.2">
      <c r="A502" s="2">
        <v>2</v>
      </c>
      <c r="B502" s="1" t="s">
        <v>173</v>
      </c>
      <c r="C502" s="4">
        <v>17</v>
      </c>
      <c r="D502" s="8">
        <v>7.33</v>
      </c>
      <c r="E502" s="4">
        <v>17</v>
      </c>
      <c r="F502" s="8">
        <v>11.64</v>
      </c>
      <c r="G502" s="4">
        <v>0</v>
      </c>
      <c r="H502" s="8">
        <v>0</v>
      </c>
      <c r="I502" s="4">
        <v>0</v>
      </c>
    </row>
    <row r="503" spans="1:9" x14ac:dyDescent="0.2">
      <c r="A503" s="2">
        <v>4</v>
      </c>
      <c r="B503" s="1" t="s">
        <v>191</v>
      </c>
      <c r="C503" s="4">
        <v>11</v>
      </c>
      <c r="D503" s="8">
        <v>4.74</v>
      </c>
      <c r="E503" s="4">
        <v>9</v>
      </c>
      <c r="F503" s="8">
        <v>6.16</v>
      </c>
      <c r="G503" s="4">
        <v>2</v>
      </c>
      <c r="H503" s="8">
        <v>2.63</v>
      </c>
      <c r="I503" s="4">
        <v>0</v>
      </c>
    </row>
    <row r="504" spans="1:9" x14ac:dyDescent="0.2">
      <c r="A504" s="2">
        <v>5</v>
      </c>
      <c r="B504" s="1" t="s">
        <v>158</v>
      </c>
      <c r="C504" s="4">
        <v>10</v>
      </c>
      <c r="D504" s="8">
        <v>4.3099999999999996</v>
      </c>
      <c r="E504" s="4">
        <v>2</v>
      </c>
      <c r="F504" s="8">
        <v>1.37</v>
      </c>
      <c r="G504" s="4">
        <v>8</v>
      </c>
      <c r="H504" s="8">
        <v>10.53</v>
      </c>
      <c r="I504" s="4">
        <v>0</v>
      </c>
    </row>
    <row r="505" spans="1:9" x14ac:dyDescent="0.2">
      <c r="A505" s="2">
        <v>5</v>
      </c>
      <c r="B505" s="1" t="s">
        <v>185</v>
      </c>
      <c r="C505" s="4">
        <v>10</v>
      </c>
      <c r="D505" s="8">
        <v>4.3099999999999996</v>
      </c>
      <c r="E505" s="4">
        <v>0</v>
      </c>
      <c r="F505" s="8">
        <v>0</v>
      </c>
      <c r="G505" s="4">
        <v>10</v>
      </c>
      <c r="H505" s="8">
        <v>13.16</v>
      </c>
      <c r="I505" s="4">
        <v>0</v>
      </c>
    </row>
    <row r="506" spans="1:9" x14ac:dyDescent="0.2">
      <c r="A506" s="2">
        <v>7</v>
      </c>
      <c r="B506" s="1" t="s">
        <v>174</v>
      </c>
      <c r="C506" s="4">
        <v>8</v>
      </c>
      <c r="D506" s="8">
        <v>3.45</v>
      </c>
      <c r="E506" s="4">
        <v>7</v>
      </c>
      <c r="F506" s="8">
        <v>4.79</v>
      </c>
      <c r="G506" s="4">
        <v>1</v>
      </c>
      <c r="H506" s="8">
        <v>1.32</v>
      </c>
      <c r="I506" s="4">
        <v>0</v>
      </c>
    </row>
    <row r="507" spans="1:9" x14ac:dyDescent="0.2">
      <c r="A507" s="2">
        <v>8</v>
      </c>
      <c r="B507" s="1" t="s">
        <v>160</v>
      </c>
      <c r="C507" s="4">
        <v>7</v>
      </c>
      <c r="D507" s="8">
        <v>3.02</v>
      </c>
      <c r="E507" s="4">
        <v>5</v>
      </c>
      <c r="F507" s="8">
        <v>3.42</v>
      </c>
      <c r="G507" s="4">
        <v>2</v>
      </c>
      <c r="H507" s="8">
        <v>2.63</v>
      </c>
      <c r="I507" s="4">
        <v>0</v>
      </c>
    </row>
    <row r="508" spans="1:9" x14ac:dyDescent="0.2">
      <c r="A508" s="2">
        <v>8</v>
      </c>
      <c r="B508" s="1" t="s">
        <v>163</v>
      </c>
      <c r="C508" s="4">
        <v>7</v>
      </c>
      <c r="D508" s="8">
        <v>3.02</v>
      </c>
      <c r="E508" s="4">
        <v>4</v>
      </c>
      <c r="F508" s="8">
        <v>2.74</v>
      </c>
      <c r="G508" s="4">
        <v>3</v>
      </c>
      <c r="H508" s="8">
        <v>3.95</v>
      </c>
      <c r="I508" s="4">
        <v>0</v>
      </c>
    </row>
    <row r="509" spans="1:9" x14ac:dyDescent="0.2">
      <c r="A509" s="2">
        <v>8</v>
      </c>
      <c r="B509" s="1" t="s">
        <v>170</v>
      </c>
      <c r="C509" s="4">
        <v>7</v>
      </c>
      <c r="D509" s="8">
        <v>3.02</v>
      </c>
      <c r="E509" s="4">
        <v>6</v>
      </c>
      <c r="F509" s="8">
        <v>4.1100000000000003</v>
      </c>
      <c r="G509" s="4">
        <v>1</v>
      </c>
      <c r="H509" s="8">
        <v>1.32</v>
      </c>
      <c r="I509" s="4">
        <v>0</v>
      </c>
    </row>
    <row r="510" spans="1:9" x14ac:dyDescent="0.2">
      <c r="A510" s="2">
        <v>11</v>
      </c>
      <c r="B510" s="1" t="s">
        <v>178</v>
      </c>
      <c r="C510" s="4">
        <v>5</v>
      </c>
      <c r="D510" s="8">
        <v>2.16</v>
      </c>
      <c r="E510" s="4">
        <v>4</v>
      </c>
      <c r="F510" s="8">
        <v>2.74</v>
      </c>
      <c r="G510" s="4">
        <v>1</v>
      </c>
      <c r="H510" s="8">
        <v>1.32</v>
      </c>
      <c r="I510" s="4">
        <v>0</v>
      </c>
    </row>
    <row r="511" spans="1:9" x14ac:dyDescent="0.2">
      <c r="A511" s="2">
        <v>11</v>
      </c>
      <c r="B511" s="1" t="s">
        <v>181</v>
      </c>
      <c r="C511" s="4">
        <v>5</v>
      </c>
      <c r="D511" s="8">
        <v>2.16</v>
      </c>
      <c r="E511" s="4">
        <v>3</v>
      </c>
      <c r="F511" s="8">
        <v>2.0499999999999998</v>
      </c>
      <c r="G511" s="4">
        <v>2</v>
      </c>
      <c r="H511" s="8">
        <v>2.63</v>
      </c>
      <c r="I511" s="4">
        <v>0</v>
      </c>
    </row>
    <row r="512" spans="1:9" x14ac:dyDescent="0.2">
      <c r="A512" s="2">
        <v>11</v>
      </c>
      <c r="B512" s="1" t="s">
        <v>216</v>
      </c>
      <c r="C512" s="4">
        <v>5</v>
      </c>
      <c r="D512" s="8">
        <v>2.16</v>
      </c>
      <c r="E512" s="4">
        <v>5</v>
      </c>
      <c r="F512" s="8">
        <v>3.42</v>
      </c>
      <c r="G512" s="4">
        <v>0</v>
      </c>
      <c r="H512" s="8">
        <v>0</v>
      </c>
      <c r="I512" s="4">
        <v>0</v>
      </c>
    </row>
    <row r="513" spans="1:9" x14ac:dyDescent="0.2">
      <c r="A513" s="2">
        <v>11</v>
      </c>
      <c r="B513" s="1" t="s">
        <v>171</v>
      </c>
      <c r="C513" s="4">
        <v>5</v>
      </c>
      <c r="D513" s="8">
        <v>2.16</v>
      </c>
      <c r="E513" s="4">
        <v>4</v>
      </c>
      <c r="F513" s="8">
        <v>2.74</v>
      </c>
      <c r="G513" s="4">
        <v>1</v>
      </c>
      <c r="H513" s="8">
        <v>1.32</v>
      </c>
      <c r="I513" s="4">
        <v>0</v>
      </c>
    </row>
    <row r="514" spans="1:9" x14ac:dyDescent="0.2">
      <c r="A514" s="2">
        <v>15</v>
      </c>
      <c r="B514" s="1" t="s">
        <v>159</v>
      </c>
      <c r="C514" s="4">
        <v>4</v>
      </c>
      <c r="D514" s="8">
        <v>1.72</v>
      </c>
      <c r="E514" s="4">
        <v>0</v>
      </c>
      <c r="F514" s="8">
        <v>0</v>
      </c>
      <c r="G514" s="4">
        <v>4</v>
      </c>
      <c r="H514" s="8">
        <v>5.26</v>
      </c>
      <c r="I514" s="4">
        <v>0</v>
      </c>
    </row>
    <row r="515" spans="1:9" x14ac:dyDescent="0.2">
      <c r="A515" s="2">
        <v>15</v>
      </c>
      <c r="B515" s="1" t="s">
        <v>161</v>
      </c>
      <c r="C515" s="4">
        <v>4</v>
      </c>
      <c r="D515" s="8">
        <v>1.72</v>
      </c>
      <c r="E515" s="4">
        <v>1</v>
      </c>
      <c r="F515" s="8">
        <v>0.68</v>
      </c>
      <c r="G515" s="4">
        <v>3</v>
      </c>
      <c r="H515" s="8">
        <v>3.95</v>
      </c>
      <c r="I515" s="4">
        <v>0</v>
      </c>
    </row>
    <row r="516" spans="1:9" x14ac:dyDescent="0.2">
      <c r="A516" s="2">
        <v>15</v>
      </c>
      <c r="B516" s="1" t="s">
        <v>227</v>
      </c>
      <c r="C516" s="4">
        <v>4</v>
      </c>
      <c r="D516" s="8">
        <v>1.72</v>
      </c>
      <c r="E516" s="4">
        <v>4</v>
      </c>
      <c r="F516" s="8">
        <v>2.74</v>
      </c>
      <c r="G516" s="4">
        <v>0</v>
      </c>
      <c r="H516" s="8">
        <v>0</v>
      </c>
      <c r="I516" s="4">
        <v>0</v>
      </c>
    </row>
    <row r="517" spans="1:9" x14ac:dyDescent="0.2">
      <c r="A517" s="2">
        <v>15</v>
      </c>
      <c r="B517" s="1" t="s">
        <v>186</v>
      </c>
      <c r="C517" s="4">
        <v>4</v>
      </c>
      <c r="D517" s="8">
        <v>1.72</v>
      </c>
      <c r="E517" s="4">
        <v>0</v>
      </c>
      <c r="F517" s="8">
        <v>0</v>
      </c>
      <c r="G517" s="4">
        <v>4</v>
      </c>
      <c r="H517" s="8">
        <v>5.26</v>
      </c>
      <c r="I517" s="4">
        <v>0</v>
      </c>
    </row>
    <row r="518" spans="1:9" x14ac:dyDescent="0.2">
      <c r="A518" s="2">
        <v>19</v>
      </c>
      <c r="B518" s="1" t="s">
        <v>226</v>
      </c>
      <c r="C518" s="4">
        <v>3</v>
      </c>
      <c r="D518" s="8">
        <v>1.29</v>
      </c>
      <c r="E518" s="4">
        <v>2</v>
      </c>
      <c r="F518" s="8">
        <v>1.37</v>
      </c>
      <c r="G518" s="4">
        <v>1</v>
      </c>
      <c r="H518" s="8">
        <v>1.32</v>
      </c>
      <c r="I518" s="4">
        <v>0</v>
      </c>
    </row>
    <row r="519" spans="1:9" x14ac:dyDescent="0.2">
      <c r="A519" s="2">
        <v>19</v>
      </c>
      <c r="B519" s="1" t="s">
        <v>169</v>
      </c>
      <c r="C519" s="4">
        <v>3</v>
      </c>
      <c r="D519" s="8">
        <v>1.29</v>
      </c>
      <c r="E519" s="4">
        <v>0</v>
      </c>
      <c r="F519" s="8">
        <v>0</v>
      </c>
      <c r="G519" s="4">
        <v>3</v>
      </c>
      <c r="H519" s="8">
        <v>3.95</v>
      </c>
      <c r="I519" s="4">
        <v>0</v>
      </c>
    </row>
    <row r="520" spans="1:9" x14ac:dyDescent="0.2">
      <c r="A520" s="2">
        <v>19</v>
      </c>
      <c r="B520" s="1" t="s">
        <v>228</v>
      </c>
      <c r="C520" s="4">
        <v>3</v>
      </c>
      <c r="D520" s="8">
        <v>1.29</v>
      </c>
      <c r="E520" s="4">
        <v>0</v>
      </c>
      <c r="F520" s="8">
        <v>0</v>
      </c>
      <c r="G520" s="4">
        <v>1</v>
      </c>
      <c r="H520" s="8">
        <v>1.32</v>
      </c>
      <c r="I520" s="4">
        <v>1</v>
      </c>
    </row>
    <row r="521" spans="1:9" x14ac:dyDescent="0.2">
      <c r="A521" s="2">
        <v>19</v>
      </c>
      <c r="B521" s="1" t="s">
        <v>177</v>
      </c>
      <c r="C521" s="4">
        <v>3</v>
      </c>
      <c r="D521" s="8">
        <v>1.29</v>
      </c>
      <c r="E521" s="4">
        <v>3</v>
      </c>
      <c r="F521" s="8">
        <v>2.0499999999999998</v>
      </c>
      <c r="G521" s="4">
        <v>0</v>
      </c>
      <c r="H521" s="8">
        <v>0</v>
      </c>
      <c r="I521" s="4">
        <v>0</v>
      </c>
    </row>
    <row r="522" spans="1:9" x14ac:dyDescent="0.2">
      <c r="A522" s="1"/>
      <c r="C522" s="4"/>
      <c r="D522" s="8"/>
      <c r="E522" s="4"/>
      <c r="F522" s="8"/>
      <c r="G522" s="4"/>
      <c r="H522" s="8"/>
      <c r="I522" s="4"/>
    </row>
    <row r="523" spans="1:9" x14ac:dyDescent="0.2">
      <c r="A523" s="1" t="s">
        <v>21</v>
      </c>
      <c r="C523" s="4"/>
      <c r="D523" s="8"/>
      <c r="E523" s="4"/>
      <c r="F523" s="8"/>
      <c r="G523" s="4"/>
      <c r="H523" s="8"/>
      <c r="I523" s="4"/>
    </row>
    <row r="524" spans="1:9" x14ac:dyDescent="0.2">
      <c r="A524" s="2">
        <v>1</v>
      </c>
      <c r="B524" s="1" t="s">
        <v>215</v>
      </c>
      <c r="C524" s="4">
        <v>28</v>
      </c>
      <c r="D524" s="8">
        <v>39.44</v>
      </c>
      <c r="E524" s="4">
        <v>27</v>
      </c>
      <c r="F524" s="8">
        <v>51.92</v>
      </c>
      <c r="G524" s="4">
        <v>1</v>
      </c>
      <c r="H524" s="8">
        <v>9.09</v>
      </c>
      <c r="I524" s="4">
        <v>0</v>
      </c>
    </row>
    <row r="525" spans="1:9" x14ac:dyDescent="0.2">
      <c r="A525" s="2">
        <v>2</v>
      </c>
      <c r="B525" s="1" t="s">
        <v>232</v>
      </c>
      <c r="C525" s="4">
        <v>7</v>
      </c>
      <c r="D525" s="8">
        <v>9.86</v>
      </c>
      <c r="E525" s="4">
        <v>1</v>
      </c>
      <c r="F525" s="8">
        <v>1.92</v>
      </c>
      <c r="G525" s="4">
        <v>5</v>
      </c>
      <c r="H525" s="8">
        <v>45.45</v>
      </c>
      <c r="I525" s="4">
        <v>0</v>
      </c>
    </row>
    <row r="526" spans="1:9" x14ac:dyDescent="0.2">
      <c r="A526" s="2">
        <v>3</v>
      </c>
      <c r="B526" s="1" t="s">
        <v>233</v>
      </c>
      <c r="C526" s="4">
        <v>6</v>
      </c>
      <c r="D526" s="8">
        <v>8.4499999999999993</v>
      </c>
      <c r="E526" s="4">
        <v>6</v>
      </c>
      <c r="F526" s="8">
        <v>11.54</v>
      </c>
      <c r="G526" s="4">
        <v>0</v>
      </c>
      <c r="H526" s="8">
        <v>0</v>
      </c>
      <c r="I526" s="4">
        <v>0</v>
      </c>
    </row>
    <row r="527" spans="1:9" x14ac:dyDescent="0.2">
      <c r="A527" s="2">
        <v>4</v>
      </c>
      <c r="B527" s="1" t="s">
        <v>171</v>
      </c>
      <c r="C527" s="4">
        <v>4</v>
      </c>
      <c r="D527" s="8">
        <v>5.63</v>
      </c>
      <c r="E527" s="4">
        <v>4</v>
      </c>
      <c r="F527" s="8">
        <v>7.69</v>
      </c>
      <c r="G527" s="4">
        <v>0</v>
      </c>
      <c r="H527" s="8">
        <v>0</v>
      </c>
      <c r="I527" s="4">
        <v>0</v>
      </c>
    </row>
    <row r="528" spans="1:9" x14ac:dyDescent="0.2">
      <c r="A528" s="2">
        <v>5</v>
      </c>
      <c r="B528" s="1" t="s">
        <v>158</v>
      </c>
      <c r="C528" s="4">
        <v>2</v>
      </c>
      <c r="D528" s="8">
        <v>2.82</v>
      </c>
      <c r="E528" s="4">
        <v>0</v>
      </c>
      <c r="F528" s="8">
        <v>0</v>
      </c>
      <c r="G528" s="4">
        <v>2</v>
      </c>
      <c r="H528" s="8">
        <v>18.18</v>
      </c>
      <c r="I528" s="4">
        <v>0</v>
      </c>
    </row>
    <row r="529" spans="1:9" x14ac:dyDescent="0.2">
      <c r="A529" s="2">
        <v>5</v>
      </c>
      <c r="B529" s="1" t="s">
        <v>191</v>
      </c>
      <c r="C529" s="4">
        <v>2</v>
      </c>
      <c r="D529" s="8">
        <v>2.82</v>
      </c>
      <c r="E529" s="4">
        <v>2</v>
      </c>
      <c r="F529" s="8">
        <v>3.85</v>
      </c>
      <c r="G529" s="4">
        <v>0</v>
      </c>
      <c r="H529" s="8">
        <v>0</v>
      </c>
      <c r="I529" s="4">
        <v>0</v>
      </c>
    </row>
    <row r="530" spans="1:9" x14ac:dyDescent="0.2">
      <c r="A530" s="2">
        <v>5</v>
      </c>
      <c r="B530" s="1" t="s">
        <v>228</v>
      </c>
      <c r="C530" s="4">
        <v>2</v>
      </c>
      <c r="D530" s="8">
        <v>2.82</v>
      </c>
      <c r="E530" s="4">
        <v>2</v>
      </c>
      <c r="F530" s="8">
        <v>3.85</v>
      </c>
      <c r="G530" s="4">
        <v>0</v>
      </c>
      <c r="H530" s="8">
        <v>0</v>
      </c>
      <c r="I530" s="4">
        <v>0</v>
      </c>
    </row>
    <row r="531" spans="1:9" x14ac:dyDescent="0.2">
      <c r="A531" s="2">
        <v>8</v>
      </c>
      <c r="B531" s="1" t="s">
        <v>160</v>
      </c>
      <c r="C531" s="4">
        <v>1</v>
      </c>
      <c r="D531" s="8">
        <v>1.41</v>
      </c>
      <c r="E531" s="4">
        <v>1</v>
      </c>
      <c r="F531" s="8">
        <v>1.92</v>
      </c>
      <c r="G531" s="4">
        <v>0</v>
      </c>
      <c r="H531" s="8">
        <v>0</v>
      </c>
      <c r="I531" s="4">
        <v>0</v>
      </c>
    </row>
    <row r="532" spans="1:9" x14ac:dyDescent="0.2">
      <c r="A532" s="2">
        <v>8</v>
      </c>
      <c r="B532" s="1" t="s">
        <v>161</v>
      </c>
      <c r="C532" s="4">
        <v>1</v>
      </c>
      <c r="D532" s="8">
        <v>1.41</v>
      </c>
      <c r="E532" s="4">
        <v>0</v>
      </c>
      <c r="F532" s="8">
        <v>0</v>
      </c>
      <c r="G532" s="4">
        <v>1</v>
      </c>
      <c r="H532" s="8">
        <v>9.09</v>
      </c>
      <c r="I532" s="4">
        <v>0</v>
      </c>
    </row>
    <row r="533" spans="1:9" x14ac:dyDescent="0.2">
      <c r="A533" s="2">
        <v>8</v>
      </c>
      <c r="B533" s="1" t="s">
        <v>229</v>
      </c>
      <c r="C533" s="4">
        <v>1</v>
      </c>
      <c r="D533" s="8">
        <v>1.41</v>
      </c>
      <c r="E533" s="4">
        <v>0</v>
      </c>
      <c r="F533" s="8">
        <v>0</v>
      </c>
      <c r="G533" s="4">
        <v>1</v>
      </c>
      <c r="H533" s="8">
        <v>9.09</v>
      </c>
      <c r="I533" s="4">
        <v>0</v>
      </c>
    </row>
    <row r="534" spans="1:9" x14ac:dyDescent="0.2">
      <c r="A534" s="2">
        <v>8</v>
      </c>
      <c r="B534" s="1" t="s">
        <v>230</v>
      </c>
      <c r="C534" s="4">
        <v>1</v>
      </c>
      <c r="D534" s="8">
        <v>1.41</v>
      </c>
      <c r="E534" s="4">
        <v>1</v>
      </c>
      <c r="F534" s="8">
        <v>1.92</v>
      </c>
      <c r="G534" s="4">
        <v>0</v>
      </c>
      <c r="H534" s="8">
        <v>0</v>
      </c>
      <c r="I534" s="4">
        <v>0</v>
      </c>
    </row>
    <row r="535" spans="1:9" x14ac:dyDescent="0.2">
      <c r="A535" s="2">
        <v>8</v>
      </c>
      <c r="B535" s="1" t="s">
        <v>231</v>
      </c>
      <c r="C535" s="4">
        <v>1</v>
      </c>
      <c r="D535" s="8">
        <v>1.41</v>
      </c>
      <c r="E535" s="4">
        <v>0</v>
      </c>
      <c r="F535" s="8">
        <v>0</v>
      </c>
      <c r="G535" s="4">
        <v>0</v>
      </c>
      <c r="H535" s="8">
        <v>0</v>
      </c>
      <c r="I535" s="4">
        <v>1</v>
      </c>
    </row>
    <row r="536" spans="1:9" x14ac:dyDescent="0.2">
      <c r="A536" s="2">
        <v>8</v>
      </c>
      <c r="B536" s="1" t="s">
        <v>212</v>
      </c>
      <c r="C536" s="4">
        <v>1</v>
      </c>
      <c r="D536" s="8">
        <v>1.41</v>
      </c>
      <c r="E536" s="4">
        <v>0</v>
      </c>
      <c r="F536" s="8">
        <v>0</v>
      </c>
      <c r="G536" s="4">
        <v>0</v>
      </c>
      <c r="H536" s="8">
        <v>0</v>
      </c>
      <c r="I536" s="4">
        <v>0</v>
      </c>
    </row>
    <row r="537" spans="1:9" x14ac:dyDescent="0.2">
      <c r="A537" s="2">
        <v>8</v>
      </c>
      <c r="B537" s="1" t="s">
        <v>207</v>
      </c>
      <c r="C537" s="4">
        <v>1</v>
      </c>
      <c r="D537" s="8">
        <v>1.41</v>
      </c>
      <c r="E537" s="4">
        <v>1</v>
      </c>
      <c r="F537" s="8">
        <v>1.92</v>
      </c>
      <c r="G537" s="4">
        <v>0</v>
      </c>
      <c r="H537" s="8">
        <v>0</v>
      </c>
      <c r="I537" s="4">
        <v>0</v>
      </c>
    </row>
    <row r="538" spans="1:9" x14ac:dyDescent="0.2">
      <c r="A538" s="2">
        <v>8</v>
      </c>
      <c r="B538" s="1" t="s">
        <v>163</v>
      </c>
      <c r="C538" s="4">
        <v>1</v>
      </c>
      <c r="D538" s="8">
        <v>1.41</v>
      </c>
      <c r="E538" s="4">
        <v>1</v>
      </c>
      <c r="F538" s="8">
        <v>1.92</v>
      </c>
      <c r="G538" s="4">
        <v>0</v>
      </c>
      <c r="H538" s="8">
        <v>0</v>
      </c>
      <c r="I538" s="4">
        <v>0</v>
      </c>
    </row>
    <row r="539" spans="1:9" x14ac:dyDescent="0.2">
      <c r="A539" s="2">
        <v>8</v>
      </c>
      <c r="B539" s="1" t="s">
        <v>185</v>
      </c>
      <c r="C539" s="4">
        <v>1</v>
      </c>
      <c r="D539" s="8">
        <v>1.41</v>
      </c>
      <c r="E539" s="4">
        <v>0</v>
      </c>
      <c r="F539" s="8">
        <v>0</v>
      </c>
      <c r="G539" s="4">
        <v>1</v>
      </c>
      <c r="H539" s="8">
        <v>9.09</v>
      </c>
      <c r="I539" s="4">
        <v>0</v>
      </c>
    </row>
    <row r="540" spans="1:9" x14ac:dyDescent="0.2">
      <c r="A540" s="2">
        <v>8</v>
      </c>
      <c r="B540" s="1" t="s">
        <v>166</v>
      </c>
      <c r="C540" s="4">
        <v>1</v>
      </c>
      <c r="D540" s="8">
        <v>1.41</v>
      </c>
      <c r="E540" s="4">
        <v>0</v>
      </c>
      <c r="F540" s="8">
        <v>0</v>
      </c>
      <c r="G540" s="4">
        <v>0</v>
      </c>
      <c r="H540" s="8">
        <v>0</v>
      </c>
      <c r="I540" s="4">
        <v>0</v>
      </c>
    </row>
    <row r="541" spans="1:9" x14ac:dyDescent="0.2">
      <c r="A541" s="2">
        <v>8</v>
      </c>
      <c r="B541" s="1" t="s">
        <v>181</v>
      </c>
      <c r="C541" s="4">
        <v>1</v>
      </c>
      <c r="D541" s="8">
        <v>1.41</v>
      </c>
      <c r="E541" s="4">
        <v>1</v>
      </c>
      <c r="F541" s="8">
        <v>1.92</v>
      </c>
      <c r="G541" s="4">
        <v>0</v>
      </c>
      <c r="H541" s="8">
        <v>0</v>
      </c>
      <c r="I541" s="4">
        <v>0</v>
      </c>
    </row>
    <row r="542" spans="1:9" x14ac:dyDescent="0.2">
      <c r="A542" s="2">
        <v>8</v>
      </c>
      <c r="B542" s="1" t="s">
        <v>170</v>
      </c>
      <c r="C542" s="4">
        <v>1</v>
      </c>
      <c r="D542" s="8">
        <v>1.41</v>
      </c>
      <c r="E542" s="4">
        <v>1</v>
      </c>
      <c r="F542" s="8">
        <v>1.92</v>
      </c>
      <c r="G542" s="4">
        <v>0</v>
      </c>
      <c r="H542" s="8">
        <v>0</v>
      </c>
      <c r="I542" s="4">
        <v>0</v>
      </c>
    </row>
    <row r="543" spans="1:9" x14ac:dyDescent="0.2">
      <c r="A543" s="2">
        <v>8</v>
      </c>
      <c r="B543" s="1" t="s">
        <v>173</v>
      </c>
      <c r="C543" s="4">
        <v>1</v>
      </c>
      <c r="D543" s="8">
        <v>1.41</v>
      </c>
      <c r="E543" s="4">
        <v>1</v>
      </c>
      <c r="F543" s="8">
        <v>1.92</v>
      </c>
      <c r="G543" s="4">
        <v>0</v>
      </c>
      <c r="H543" s="8">
        <v>0</v>
      </c>
      <c r="I543" s="4">
        <v>0</v>
      </c>
    </row>
    <row r="544" spans="1:9" x14ac:dyDescent="0.2">
      <c r="A544" s="2">
        <v>8</v>
      </c>
      <c r="B544" s="1" t="s">
        <v>174</v>
      </c>
      <c r="C544" s="4">
        <v>1</v>
      </c>
      <c r="D544" s="8">
        <v>1.41</v>
      </c>
      <c r="E544" s="4">
        <v>1</v>
      </c>
      <c r="F544" s="8">
        <v>1.92</v>
      </c>
      <c r="G544" s="4">
        <v>0</v>
      </c>
      <c r="H544" s="8">
        <v>0</v>
      </c>
      <c r="I544" s="4">
        <v>0</v>
      </c>
    </row>
    <row r="545" spans="1:9" x14ac:dyDescent="0.2">
      <c r="A545" s="2">
        <v>8</v>
      </c>
      <c r="B545" s="1" t="s">
        <v>234</v>
      </c>
      <c r="C545" s="4">
        <v>1</v>
      </c>
      <c r="D545" s="8">
        <v>1.41</v>
      </c>
      <c r="E545" s="4">
        <v>0</v>
      </c>
      <c r="F545" s="8">
        <v>0</v>
      </c>
      <c r="G545" s="4">
        <v>0</v>
      </c>
      <c r="H545" s="8">
        <v>0</v>
      </c>
      <c r="I545" s="4">
        <v>0</v>
      </c>
    </row>
    <row r="546" spans="1:9" x14ac:dyDescent="0.2">
      <c r="A546" s="2">
        <v>8</v>
      </c>
      <c r="B546" s="1" t="s">
        <v>235</v>
      </c>
      <c r="C546" s="4">
        <v>1</v>
      </c>
      <c r="D546" s="8">
        <v>1.41</v>
      </c>
      <c r="E546" s="4">
        <v>0</v>
      </c>
      <c r="F546" s="8">
        <v>0</v>
      </c>
      <c r="G546" s="4">
        <v>0</v>
      </c>
      <c r="H546" s="8">
        <v>0</v>
      </c>
      <c r="I546" s="4">
        <v>0</v>
      </c>
    </row>
    <row r="547" spans="1:9" x14ac:dyDescent="0.2">
      <c r="A547" s="2">
        <v>8</v>
      </c>
      <c r="B547" s="1" t="s">
        <v>236</v>
      </c>
      <c r="C547" s="4">
        <v>1</v>
      </c>
      <c r="D547" s="8">
        <v>1.41</v>
      </c>
      <c r="E547" s="4">
        <v>1</v>
      </c>
      <c r="F547" s="8">
        <v>1.92</v>
      </c>
      <c r="G547" s="4">
        <v>0</v>
      </c>
      <c r="H547" s="8">
        <v>0</v>
      </c>
      <c r="I547" s="4">
        <v>0</v>
      </c>
    </row>
    <row r="548" spans="1:9" x14ac:dyDescent="0.2">
      <c r="A548" s="2">
        <v>8</v>
      </c>
      <c r="B548" s="1" t="s">
        <v>175</v>
      </c>
      <c r="C548" s="4">
        <v>1</v>
      </c>
      <c r="D548" s="8">
        <v>1.41</v>
      </c>
      <c r="E548" s="4">
        <v>0</v>
      </c>
      <c r="F548" s="8">
        <v>0</v>
      </c>
      <c r="G548" s="4">
        <v>0</v>
      </c>
      <c r="H548" s="8">
        <v>0</v>
      </c>
      <c r="I548" s="4">
        <v>1</v>
      </c>
    </row>
    <row r="549" spans="1:9" x14ac:dyDescent="0.2">
      <c r="A549" s="2">
        <v>8</v>
      </c>
      <c r="B549" s="1" t="s">
        <v>176</v>
      </c>
      <c r="C549" s="4">
        <v>1</v>
      </c>
      <c r="D549" s="8">
        <v>1.41</v>
      </c>
      <c r="E549" s="4">
        <v>1</v>
      </c>
      <c r="F549" s="8">
        <v>1.92</v>
      </c>
      <c r="G549" s="4">
        <v>0</v>
      </c>
      <c r="H549" s="8">
        <v>0</v>
      </c>
      <c r="I549" s="4">
        <v>0</v>
      </c>
    </row>
    <row r="550" spans="1:9" x14ac:dyDescent="0.2">
      <c r="A550" s="2">
        <v>8</v>
      </c>
      <c r="B550" s="1" t="s">
        <v>200</v>
      </c>
      <c r="C550" s="4">
        <v>1</v>
      </c>
      <c r="D550" s="8">
        <v>1.41</v>
      </c>
      <c r="E550" s="4">
        <v>0</v>
      </c>
      <c r="F550" s="8">
        <v>0</v>
      </c>
      <c r="G550" s="4">
        <v>0</v>
      </c>
      <c r="H550" s="8">
        <v>0</v>
      </c>
      <c r="I550" s="4">
        <v>0</v>
      </c>
    </row>
    <row r="551" spans="1:9" x14ac:dyDescent="0.2">
      <c r="A551" s="1"/>
      <c r="C551" s="4"/>
      <c r="D551" s="8"/>
      <c r="E551" s="4"/>
      <c r="F551" s="8"/>
      <c r="G551" s="4"/>
      <c r="H551" s="8"/>
      <c r="I551" s="4"/>
    </row>
    <row r="552" spans="1:9" x14ac:dyDescent="0.2">
      <c r="A552" s="1" t="s">
        <v>22</v>
      </c>
      <c r="C552" s="4"/>
      <c r="D552" s="8"/>
      <c r="E552" s="4"/>
      <c r="F552" s="8"/>
      <c r="G552" s="4"/>
      <c r="H552" s="8"/>
      <c r="I552" s="4"/>
    </row>
    <row r="553" spans="1:9" x14ac:dyDescent="0.2">
      <c r="A553" s="2">
        <v>1</v>
      </c>
      <c r="B553" s="1" t="s">
        <v>215</v>
      </c>
      <c r="C553" s="4">
        <v>11</v>
      </c>
      <c r="D553" s="8">
        <v>5.76</v>
      </c>
      <c r="E553" s="4">
        <v>10</v>
      </c>
      <c r="F553" s="8">
        <v>7.41</v>
      </c>
      <c r="G553" s="4">
        <v>1</v>
      </c>
      <c r="H553" s="8">
        <v>1.96</v>
      </c>
      <c r="I553" s="4">
        <v>0</v>
      </c>
    </row>
    <row r="554" spans="1:9" x14ac:dyDescent="0.2">
      <c r="A554" s="2">
        <v>1</v>
      </c>
      <c r="B554" s="1" t="s">
        <v>233</v>
      </c>
      <c r="C554" s="4">
        <v>11</v>
      </c>
      <c r="D554" s="8">
        <v>5.76</v>
      </c>
      <c r="E554" s="4">
        <v>11</v>
      </c>
      <c r="F554" s="8">
        <v>8.15</v>
      </c>
      <c r="G554" s="4">
        <v>0</v>
      </c>
      <c r="H554" s="8">
        <v>0</v>
      </c>
      <c r="I554" s="4">
        <v>0</v>
      </c>
    </row>
    <row r="555" spans="1:9" x14ac:dyDescent="0.2">
      <c r="A555" s="2">
        <v>1</v>
      </c>
      <c r="B555" s="1" t="s">
        <v>173</v>
      </c>
      <c r="C555" s="4">
        <v>11</v>
      </c>
      <c r="D555" s="8">
        <v>5.76</v>
      </c>
      <c r="E555" s="4">
        <v>11</v>
      </c>
      <c r="F555" s="8">
        <v>8.15</v>
      </c>
      <c r="G555" s="4">
        <v>0</v>
      </c>
      <c r="H555" s="8">
        <v>0</v>
      </c>
      <c r="I555" s="4">
        <v>0</v>
      </c>
    </row>
    <row r="556" spans="1:9" x14ac:dyDescent="0.2">
      <c r="A556" s="2">
        <v>4</v>
      </c>
      <c r="B556" s="1" t="s">
        <v>174</v>
      </c>
      <c r="C556" s="4">
        <v>10</v>
      </c>
      <c r="D556" s="8">
        <v>5.24</v>
      </c>
      <c r="E556" s="4">
        <v>10</v>
      </c>
      <c r="F556" s="8">
        <v>7.41</v>
      </c>
      <c r="G556" s="4">
        <v>0</v>
      </c>
      <c r="H556" s="8">
        <v>0</v>
      </c>
      <c r="I556" s="4">
        <v>0</v>
      </c>
    </row>
    <row r="557" spans="1:9" x14ac:dyDescent="0.2">
      <c r="A557" s="2">
        <v>5</v>
      </c>
      <c r="B557" s="1" t="s">
        <v>191</v>
      </c>
      <c r="C557" s="4">
        <v>8</v>
      </c>
      <c r="D557" s="8">
        <v>4.1900000000000004</v>
      </c>
      <c r="E557" s="4">
        <v>8</v>
      </c>
      <c r="F557" s="8">
        <v>5.93</v>
      </c>
      <c r="G557" s="4">
        <v>0</v>
      </c>
      <c r="H557" s="8">
        <v>0</v>
      </c>
      <c r="I557" s="4">
        <v>0</v>
      </c>
    </row>
    <row r="558" spans="1:9" x14ac:dyDescent="0.2">
      <c r="A558" s="2">
        <v>5</v>
      </c>
      <c r="B558" s="1" t="s">
        <v>232</v>
      </c>
      <c r="C558" s="4">
        <v>8</v>
      </c>
      <c r="D558" s="8">
        <v>4.1900000000000004</v>
      </c>
      <c r="E558" s="4">
        <v>8</v>
      </c>
      <c r="F558" s="8">
        <v>5.93</v>
      </c>
      <c r="G558" s="4">
        <v>0</v>
      </c>
      <c r="H558" s="8">
        <v>0</v>
      </c>
      <c r="I558" s="4">
        <v>0</v>
      </c>
    </row>
    <row r="559" spans="1:9" x14ac:dyDescent="0.2">
      <c r="A559" s="2">
        <v>7</v>
      </c>
      <c r="B559" s="1" t="s">
        <v>194</v>
      </c>
      <c r="C559" s="4">
        <v>6</v>
      </c>
      <c r="D559" s="8">
        <v>3.14</v>
      </c>
      <c r="E559" s="4">
        <v>6</v>
      </c>
      <c r="F559" s="8">
        <v>4.4400000000000004</v>
      </c>
      <c r="G559" s="4">
        <v>0</v>
      </c>
      <c r="H559" s="8">
        <v>0</v>
      </c>
      <c r="I559" s="4">
        <v>0</v>
      </c>
    </row>
    <row r="560" spans="1:9" x14ac:dyDescent="0.2">
      <c r="A560" s="2">
        <v>8</v>
      </c>
      <c r="B560" s="1" t="s">
        <v>158</v>
      </c>
      <c r="C560" s="4">
        <v>5</v>
      </c>
      <c r="D560" s="8">
        <v>2.62</v>
      </c>
      <c r="E560" s="4">
        <v>0</v>
      </c>
      <c r="F560" s="8">
        <v>0</v>
      </c>
      <c r="G560" s="4">
        <v>5</v>
      </c>
      <c r="H560" s="8">
        <v>9.8000000000000007</v>
      </c>
      <c r="I560" s="4">
        <v>0</v>
      </c>
    </row>
    <row r="561" spans="1:9" x14ac:dyDescent="0.2">
      <c r="A561" s="2">
        <v>8</v>
      </c>
      <c r="B561" s="1" t="s">
        <v>163</v>
      </c>
      <c r="C561" s="4">
        <v>5</v>
      </c>
      <c r="D561" s="8">
        <v>2.62</v>
      </c>
      <c r="E561" s="4">
        <v>3</v>
      </c>
      <c r="F561" s="8">
        <v>2.2200000000000002</v>
      </c>
      <c r="G561" s="4">
        <v>2</v>
      </c>
      <c r="H561" s="8">
        <v>3.92</v>
      </c>
      <c r="I561" s="4">
        <v>0</v>
      </c>
    </row>
    <row r="562" spans="1:9" x14ac:dyDescent="0.2">
      <c r="A562" s="2">
        <v>10</v>
      </c>
      <c r="B562" s="1" t="s">
        <v>160</v>
      </c>
      <c r="C562" s="4">
        <v>4</v>
      </c>
      <c r="D562" s="8">
        <v>2.09</v>
      </c>
      <c r="E562" s="4">
        <v>3</v>
      </c>
      <c r="F562" s="8">
        <v>2.2200000000000002</v>
      </c>
      <c r="G562" s="4">
        <v>1</v>
      </c>
      <c r="H562" s="8">
        <v>1.96</v>
      </c>
      <c r="I562" s="4">
        <v>0</v>
      </c>
    </row>
    <row r="563" spans="1:9" x14ac:dyDescent="0.2">
      <c r="A563" s="2">
        <v>10</v>
      </c>
      <c r="B563" s="1" t="s">
        <v>162</v>
      </c>
      <c r="C563" s="4">
        <v>4</v>
      </c>
      <c r="D563" s="8">
        <v>2.09</v>
      </c>
      <c r="E563" s="4">
        <v>4</v>
      </c>
      <c r="F563" s="8">
        <v>2.96</v>
      </c>
      <c r="G563" s="4">
        <v>0</v>
      </c>
      <c r="H563" s="8">
        <v>0</v>
      </c>
      <c r="I563" s="4">
        <v>0</v>
      </c>
    </row>
    <row r="564" spans="1:9" x14ac:dyDescent="0.2">
      <c r="A564" s="2">
        <v>10</v>
      </c>
      <c r="B564" s="1" t="s">
        <v>186</v>
      </c>
      <c r="C564" s="4">
        <v>4</v>
      </c>
      <c r="D564" s="8">
        <v>2.09</v>
      </c>
      <c r="E564" s="4">
        <v>0</v>
      </c>
      <c r="F564" s="8">
        <v>0</v>
      </c>
      <c r="G564" s="4">
        <v>4</v>
      </c>
      <c r="H564" s="8">
        <v>7.84</v>
      </c>
      <c r="I564" s="4">
        <v>0</v>
      </c>
    </row>
    <row r="565" spans="1:9" x14ac:dyDescent="0.2">
      <c r="A565" s="2">
        <v>13</v>
      </c>
      <c r="B565" s="1" t="s">
        <v>201</v>
      </c>
      <c r="C565" s="4">
        <v>3</v>
      </c>
      <c r="D565" s="8">
        <v>1.57</v>
      </c>
      <c r="E565" s="4">
        <v>1</v>
      </c>
      <c r="F565" s="8">
        <v>0.74</v>
      </c>
      <c r="G565" s="4">
        <v>2</v>
      </c>
      <c r="H565" s="8">
        <v>3.92</v>
      </c>
      <c r="I565" s="4">
        <v>0</v>
      </c>
    </row>
    <row r="566" spans="1:9" x14ac:dyDescent="0.2">
      <c r="A566" s="2">
        <v>13</v>
      </c>
      <c r="B566" s="1" t="s">
        <v>237</v>
      </c>
      <c r="C566" s="4">
        <v>3</v>
      </c>
      <c r="D566" s="8">
        <v>1.57</v>
      </c>
      <c r="E566" s="4">
        <v>2</v>
      </c>
      <c r="F566" s="8">
        <v>1.48</v>
      </c>
      <c r="G566" s="4">
        <v>1</v>
      </c>
      <c r="H566" s="8">
        <v>1.96</v>
      </c>
      <c r="I566" s="4">
        <v>0</v>
      </c>
    </row>
    <row r="567" spans="1:9" x14ac:dyDescent="0.2">
      <c r="A567" s="2">
        <v>13</v>
      </c>
      <c r="B567" s="1" t="s">
        <v>238</v>
      </c>
      <c r="C567" s="4">
        <v>3</v>
      </c>
      <c r="D567" s="8">
        <v>1.57</v>
      </c>
      <c r="E567" s="4">
        <v>2</v>
      </c>
      <c r="F567" s="8">
        <v>1.48</v>
      </c>
      <c r="G567" s="4">
        <v>1</v>
      </c>
      <c r="H567" s="8">
        <v>1.96</v>
      </c>
      <c r="I567" s="4">
        <v>0</v>
      </c>
    </row>
    <row r="568" spans="1:9" x14ac:dyDescent="0.2">
      <c r="A568" s="2">
        <v>13</v>
      </c>
      <c r="B568" s="1" t="s">
        <v>193</v>
      </c>
      <c r="C568" s="4">
        <v>3</v>
      </c>
      <c r="D568" s="8">
        <v>1.57</v>
      </c>
      <c r="E568" s="4">
        <v>2</v>
      </c>
      <c r="F568" s="8">
        <v>1.48</v>
      </c>
      <c r="G568" s="4">
        <v>1</v>
      </c>
      <c r="H568" s="8">
        <v>1.96</v>
      </c>
      <c r="I568" s="4">
        <v>0</v>
      </c>
    </row>
    <row r="569" spans="1:9" x14ac:dyDescent="0.2">
      <c r="A569" s="2">
        <v>13</v>
      </c>
      <c r="B569" s="1" t="s">
        <v>185</v>
      </c>
      <c r="C569" s="4">
        <v>3</v>
      </c>
      <c r="D569" s="8">
        <v>1.57</v>
      </c>
      <c r="E569" s="4">
        <v>1</v>
      </c>
      <c r="F569" s="8">
        <v>0.74</v>
      </c>
      <c r="G569" s="4">
        <v>2</v>
      </c>
      <c r="H569" s="8">
        <v>3.92</v>
      </c>
      <c r="I569" s="4">
        <v>0</v>
      </c>
    </row>
    <row r="570" spans="1:9" x14ac:dyDescent="0.2">
      <c r="A570" s="2">
        <v>13</v>
      </c>
      <c r="B570" s="1" t="s">
        <v>181</v>
      </c>
      <c r="C570" s="4">
        <v>3</v>
      </c>
      <c r="D570" s="8">
        <v>1.57</v>
      </c>
      <c r="E570" s="4">
        <v>2</v>
      </c>
      <c r="F570" s="8">
        <v>1.48</v>
      </c>
      <c r="G570" s="4">
        <v>1</v>
      </c>
      <c r="H570" s="8">
        <v>1.96</v>
      </c>
      <c r="I570" s="4">
        <v>0</v>
      </c>
    </row>
    <row r="571" spans="1:9" x14ac:dyDescent="0.2">
      <c r="A571" s="2">
        <v>13</v>
      </c>
      <c r="B571" s="1" t="s">
        <v>170</v>
      </c>
      <c r="C571" s="4">
        <v>3</v>
      </c>
      <c r="D571" s="8">
        <v>1.57</v>
      </c>
      <c r="E571" s="4">
        <v>3</v>
      </c>
      <c r="F571" s="8">
        <v>2.2200000000000002</v>
      </c>
      <c r="G571" s="4">
        <v>0</v>
      </c>
      <c r="H571" s="8">
        <v>0</v>
      </c>
      <c r="I571" s="4">
        <v>0</v>
      </c>
    </row>
    <row r="572" spans="1:9" x14ac:dyDescent="0.2">
      <c r="A572" s="2">
        <v>13</v>
      </c>
      <c r="B572" s="1" t="s">
        <v>171</v>
      </c>
      <c r="C572" s="4">
        <v>3</v>
      </c>
      <c r="D572" s="8">
        <v>1.57</v>
      </c>
      <c r="E572" s="4">
        <v>3</v>
      </c>
      <c r="F572" s="8">
        <v>2.2200000000000002</v>
      </c>
      <c r="G572" s="4">
        <v>0</v>
      </c>
      <c r="H572" s="8">
        <v>0</v>
      </c>
      <c r="I572" s="4">
        <v>0</v>
      </c>
    </row>
    <row r="573" spans="1:9" x14ac:dyDescent="0.2">
      <c r="A573" s="2">
        <v>13</v>
      </c>
      <c r="B573" s="1" t="s">
        <v>239</v>
      </c>
      <c r="C573" s="4">
        <v>3</v>
      </c>
      <c r="D573" s="8">
        <v>1.57</v>
      </c>
      <c r="E573" s="4">
        <v>3</v>
      </c>
      <c r="F573" s="8">
        <v>2.2200000000000002</v>
      </c>
      <c r="G573" s="4">
        <v>0</v>
      </c>
      <c r="H573" s="8">
        <v>0</v>
      </c>
      <c r="I573" s="4">
        <v>0</v>
      </c>
    </row>
    <row r="574" spans="1:9" x14ac:dyDescent="0.2">
      <c r="A574" s="2">
        <v>13</v>
      </c>
      <c r="B574" s="1" t="s">
        <v>240</v>
      </c>
      <c r="C574" s="4">
        <v>3</v>
      </c>
      <c r="D574" s="8">
        <v>1.57</v>
      </c>
      <c r="E574" s="4">
        <v>0</v>
      </c>
      <c r="F574" s="8">
        <v>0</v>
      </c>
      <c r="G574" s="4">
        <v>0</v>
      </c>
      <c r="H574" s="8">
        <v>0</v>
      </c>
      <c r="I574" s="4">
        <v>0</v>
      </c>
    </row>
    <row r="575" spans="1:9" x14ac:dyDescent="0.2">
      <c r="A575" s="1"/>
      <c r="C575" s="4"/>
      <c r="D575" s="8"/>
      <c r="E575" s="4"/>
      <c r="F575" s="8"/>
      <c r="G575" s="4"/>
      <c r="H575" s="8"/>
      <c r="I575" s="4"/>
    </row>
    <row r="576" spans="1:9" x14ac:dyDescent="0.2">
      <c r="A576" s="1" t="s">
        <v>23</v>
      </c>
      <c r="C576" s="4"/>
      <c r="D576" s="8"/>
      <c r="E576" s="4"/>
      <c r="F576" s="8"/>
      <c r="G576" s="4"/>
      <c r="H576" s="8"/>
      <c r="I576" s="4"/>
    </row>
    <row r="577" spans="1:9" x14ac:dyDescent="0.2">
      <c r="A577" s="2">
        <v>1</v>
      </c>
      <c r="B577" s="1" t="s">
        <v>215</v>
      </c>
      <c r="C577" s="4">
        <v>68</v>
      </c>
      <c r="D577" s="8">
        <v>10.35</v>
      </c>
      <c r="E577" s="4">
        <v>63</v>
      </c>
      <c r="F577" s="8">
        <v>14.48</v>
      </c>
      <c r="G577" s="4">
        <v>5</v>
      </c>
      <c r="H577" s="8">
        <v>2.33</v>
      </c>
      <c r="I577" s="4">
        <v>0</v>
      </c>
    </row>
    <row r="578" spans="1:9" x14ac:dyDescent="0.2">
      <c r="A578" s="2">
        <v>2</v>
      </c>
      <c r="B578" s="1" t="s">
        <v>173</v>
      </c>
      <c r="C578" s="4">
        <v>40</v>
      </c>
      <c r="D578" s="8">
        <v>6.09</v>
      </c>
      <c r="E578" s="4">
        <v>40</v>
      </c>
      <c r="F578" s="8">
        <v>9.1999999999999993</v>
      </c>
      <c r="G578" s="4">
        <v>0</v>
      </c>
      <c r="H578" s="8">
        <v>0</v>
      </c>
      <c r="I578" s="4">
        <v>0</v>
      </c>
    </row>
    <row r="579" spans="1:9" x14ac:dyDescent="0.2">
      <c r="A579" s="2">
        <v>3</v>
      </c>
      <c r="B579" s="1" t="s">
        <v>174</v>
      </c>
      <c r="C579" s="4">
        <v>32</v>
      </c>
      <c r="D579" s="8">
        <v>4.87</v>
      </c>
      <c r="E579" s="4">
        <v>32</v>
      </c>
      <c r="F579" s="8">
        <v>7.36</v>
      </c>
      <c r="G579" s="4">
        <v>0</v>
      </c>
      <c r="H579" s="8">
        <v>0</v>
      </c>
      <c r="I579" s="4">
        <v>0</v>
      </c>
    </row>
    <row r="580" spans="1:9" x14ac:dyDescent="0.2">
      <c r="A580" s="2">
        <v>4</v>
      </c>
      <c r="B580" s="1" t="s">
        <v>163</v>
      </c>
      <c r="C580" s="4">
        <v>23</v>
      </c>
      <c r="D580" s="8">
        <v>3.5</v>
      </c>
      <c r="E580" s="4">
        <v>16</v>
      </c>
      <c r="F580" s="8">
        <v>3.68</v>
      </c>
      <c r="G580" s="4">
        <v>7</v>
      </c>
      <c r="H580" s="8">
        <v>3.26</v>
      </c>
      <c r="I580" s="4">
        <v>0</v>
      </c>
    </row>
    <row r="581" spans="1:9" x14ac:dyDescent="0.2">
      <c r="A581" s="2">
        <v>5</v>
      </c>
      <c r="B581" s="1" t="s">
        <v>191</v>
      </c>
      <c r="C581" s="4">
        <v>21</v>
      </c>
      <c r="D581" s="8">
        <v>3.2</v>
      </c>
      <c r="E581" s="4">
        <v>17</v>
      </c>
      <c r="F581" s="8">
        <v>3.91</v>
      </c>
      <c r="G581" s="4">
        <v>4</v>
      </c>
      <c r="H581" s="8">
        <v>1.86</v>
      </c>
      <c r="I581" s="4">
        <v>0</v>
      </c>
    </row>
    <row r="582" spans="1:9" x14ac:dyDescent="0.2">
      <c r="A582" s="2">
        <v>6</v>
      </c>
      <c r="B582" s="1" t="s">
        <v>160</v>
      </c>
      <c r="C582" s="4">
        <v>17</v>
      </c>
      <c r="D582" s="8">
        <v>2.59</v>
      </c>
      <c r="E582" s="4">
        <v>12</v>
      </c>
      <c r="F582" s="8">
        <v>2.76</v>
      </c>
      <c r="G582" s="4">
        <v>5</v>
      </c>
      <c r="H582" s="8">
        <v>2.33</v>
      </c>
      <c r="I582" s="4">
        <v>0</v>
      </c>
    </row>
    <row r="583" spans="1:9" x14ac:dyDescent="0.2">
      <c r="A583" s="2">
        <v>7</v>
      </c>
      <c r="B583" s="1" t="s">
        <v>185</v>
      </c>
      <c r="C583" s="4">
        <v>16</v>
      </c>
      <c r="D583" s="8">
        <v>2.44</v>
      </c>
      <c r="E583" s="4">
        <v>5</v>
      </c>
      <c r="F583" s="8">
        <v>1.1499999999999999</v>
      </c>
      <c r="G583" s="4">
        <v>11</v>
      </c>
      <c r="H583" s="8">
        <v>5.12</v>
      </c>
      <c r="I583" s="4">
        <v>0</v>
      </c>
    </row>
    <row r="584" spans="1:9" x14ac:dyDescent="0.2">
      <c r="A584" s="2">
        <v>8</v>
      </c>
      <c r="B584" s="1" t="s">
        <v>170</v>
      </c>
      <c r="C584" s="4">
        <v>15</v>
      </c>
      <c r="D584" s="8">
        <v>2.2799999999999998</v>
      </c>
      <c r="E584" s="4">
        <v>14</v>
      </c>
      <c r="F584" s="8">
        <v>3.22</v>
      </c>
      <c r="G584" s="4">
        <v>1</v>
      </c>
      <c r="H584" s="8">
        <v>0.47</v>
      </c>
      <c r="I584" s="4">
        <v>0</v>
      </c>
    </row>
    <row r="585" spans="1:9" x14ac:dyDescent="0.2">
      <c r="A585" s="2">
        <v>9</v>
      </c>
      <c r="B585" s="1" t="s">
        <v>168</v>
      </c>
      <c r="C585" s="4">
        <v>14</v>
      </c>
      <c r="D585" s="8">
        <v>2.13</v>
      </c>
      <c r="E585" s="4">
        <v>12</v>
      </c>
      <c r="F585" s="8">
        <v>2.76</v>
      </c>
      <c r="G585" s="4">
        <v>2</v>
      </c>
      <c r="H585" s="8">
        <v>0.93</v>
      </c>
      <c r="I585" s="4">
        <v>0</v>
      </c>
    </row>
    <row r="586" spans="1:9" x14ac:dyDescent="0.2">
      <c r="A586" s="2">
        <v>10</v>
      </c>
      <c r="B586" s="1" t="s">
        <v>159</v>
      </c>
      <c r="C586" s="4">
        <v>13</v>
      </c>
      <c r="D586" s="8">
        <v>1.98</v>
      </c>
      <c r="E586" s="4">
        <v>4</v>
      </c>
      <c r="F586" s="8">
        <v>0.92</v>
      </c>
      <c r="G586" s="4">
        <v>9</v>
      </c>
      <c r="H586" s="8">
        <v>4.1900000000000004</v>
      </c>
      <c r="I586" s="4">
        <v>0</v>
      </c>
    </row>
    <row r="587" spans="1:9" x14ac:dyDescent="0.2">
      <c r="A587" s="2">
        <v>11</v>
      </c>
      <c r="B587" s="1" t="s">
        <v>161</v>
      </c>
      <c r="C587" s="4">
        <v>12</v>
      </c>
      <c r="D587" s="8">
        <v>1.83</v>
      </c>
      <c r="E587" s="4">
        <v>6</v>
      </c>
      <c r="F587" s="8">
        <v>1.38</v>
      </c>
      <c r="G587" s="4">
        <v>6</v>
      </c>
      <c r="H587" s="8">
        <v>2.79</v>
      </c>
      <c r="I587" s="4">
        <v>0</v>
      </c>
    </row>
    <row r="588" spans="1:9" x14ac:dyDescent="0.2">
      <c r="A588" s="2">
        <v>11</v>
      </c>
      <c r="B588" s="1" t="s">
        <v>193</v>
      </c>
      <c r="C588" s="4">
        <v>12</v>
      </c>
      <c r="D588" s="8">
        <v>1.83</v>
      </c>
      <c r="E588" s="4">
        <v>8</v>
      </c>
      <c r="F588" s="8">
        <v>1.84</v>
      </c>
      <c r="G588" s="4">
        <v>4</v>
      </c>
      <c r="H588" s="8">
        <v>1.86</v>
      </c>
      <c r="I588" s="4">
        <v>0</v>
      </c>
    </row>
    <row r="589" spans="1:9" x14ac:dyDescent="0.2">
      <c r="A589" s="2">
        <v>11</v>
      </c>
      <c r="B589" s="1" t="s">
        <v>181</v>
      </c>
      <c r="C589" s="4">
        <v>12</v>
      </c>
      <c r="D589" s="8">
        <v>1.83</v>
      </c>
      <c r="E589" s="4">
        <v>11</v>
      </c>
      <c r="F589" s="8">
        <v>2.5299999999999998</v>
      </c>
      <c r="G589" s="4">
        <v>1</v>
      </c>
      <c r="H589" s="8">
        <v>0.47</v>
      </c>
      <c r="I589" s="4">
        <v>0</v>
      </c>
    </row>
    <row r="590" spans="1:9" x14ac:dyDescent="0.2">
      <c r="A590" s="2">
        <v>14</v>
      </c>
      <c r="B590" s="1" t="s">
        <v>212</v>
      </c>
      <c r="C590" s="4">
        <v>11</v>
      </c>
      <c r="D590" s="8">
        <v>1.67</v>
      </c>
      <c r="E590" s="4">
        <v>4</v>
      </c>
      <c r="F590" s="8">
        <v>0.92</v>
      </c>
      <c r="G590" s="4">
        <v>7</v>
      </c>
      <c r="H590" s="8">
        <v>3.26</v>
      </c>
      <c r="I590" s="4">
        <v>0</v>
      </c>
    </row>
    <row r="591" spans="1:9" x14ac:dyDescent="0.2">
      <c r="A591" s="2">
        <v>15</v>
      </c>
      <c r="B591" s="1" t="s">
        <v>158</v>
      </c>
      <c r="C591" s="4">
        <v>10</v>
      </c>
      <c r="D591" s="8">
        <v>1.52</v>
      </c>
      <c r="E591" s="4">
        <v>3</v>
      </c>
      <c r="F591" s="8">
        <v>0.69</v>
      </c>
      <c r="G591" s="4">
        <v>7</v>
      </c>
      <c r="H591" s="8">
        <v>3.26</v>
      </c>
      <c r="I591" s="4">
        <v>0</v>
      </c>
    </row>
    <row r="592" spans="1:9" x14ac:dyDescent="0.2">
      <c r="A592" s="2">
        <v>15</v>
      </c>
      <c r="B592" s="1" t="s">
        <v>166</v>
      </c>
      <c r="C592" s="4">
        <v>10</v>
      </c>
      <c r="D592" s="8">
        <v>1.52</v>
      </c>
      <c r="E592" s="4">
        <v>7</v>
      </c>
      <c r="F592" s="8">
        <v>1.61</v>
      </c>
      <c r="G592" s="4">
        <v>3</v>
      </c>
      <c r="H592" s="8">
        <v>1.4</v>
      </c>
      <c r="I592" s="4">
        <v>0</v>
      </c>
    </row>
    <row r="593" spans="1:9" x14ac:dyDescent="0.2">
      <c r="A593" s="2">
        <v>15</v>
      </c>
      <c r="B593" s="1" t="s">
        <v>171</v>
      </c>
      <c r="C593" s="4">
        <v>10</v>
      </c>
      <c r="D593" s="8">
        <v>1.52</v>
      </c>
      <c r="E593" s="4">
        <v>10</v>
      </c>
      <c r="F593" s="8">
        <v>2.2999999999999998</v>
      </c>
      <c r="G593" s="4">
        <v>0</v>
      </c>
      <c r="H593" s="8">
        <v>0</v>
      </c>
      <c r="I593" s="4">
        <v>0</v>
      </c>
    </row>
    <row r="594" spans="1:9" x14ac:dyDescent="0.2">
      <c r="A594" s="2">
        <v>18</v>
      </c>
      <c r="B594" s="1" t="s">
        <v>202</v>
      </c>
      <c r="C594" s="4">
        <v>9</v>
      </c>
      <c r="D594" s="8">
        <v>1.37</v>
      </c>
      <c r="E594" s="4">
        <v>5</v>
      </c>
      <c r="F594" s="8">
        <v>1.1499999999999999</v>
      </c>
      <c r="G594" s="4">
        <v>4</v>
      </c>
      <c r="H594" s="8">
        <v>1.86</v>
      </c>
      <c r="I594" s="4">
        <v>0</v>
      </c>
    </row>
    <row r="595" spans="1:9" x14ac:dyDescent="0.2">
      <c r="A595" s="2">
        <v>18</v>
      </c>
      <c r="B595" s="1" t="s">
        <v>164</v>
      </c>
      <c r="C595" s="4">
        <v>9</v>
      </c>
      <c r="D595" s="8">
        <v>1.37</v>
      </c>
      <c r="E595" s="4">
        <v>5</v>
      </c>
      <c r="F595" s="8">
        <v>1.1499999999999999</v>
      </c>
      <c r="G595" s="4">
        <v>4</v>
      </c>
      <c r="H595" s="8">
        <v>1.86</v>
      </c>
      <c r="I595" s="4">
        <v>0</v>
      </c>
    </row>
    <row r="596" spans="1:9" x14ac:dyDescent="0.2">
      <c r="A596" s="2">
        <v>18</v>
      </c>
      <c r="B596" s="1" t="s">
        <v>210</v>
      </c>
      <c r="C596" s="4">
        <v>9</v>
      </c>
      <c r="D596" s="8">
        <v>1.37</v>
      </c>
      <c r="E596" s="4">
        <v>5</v>
      </c>
      <c r="F596" s="8">
        <v>1.1499999999999999</v>
      </c>
      <c r="G596" s="4">
        <v>4</v>
      </c>
      <c r="H596" s="8">
        <v>1.86</v>
      </c>
      <c r="I596" s="4">
        <v>0</v>
      </c>
    </row>
    <row r="597" spans="1:9" x14ac:dyDescent="0.2">
      <c r="A597" s="2">
        <v>18</v>
      </c>
      <c r="B597" s="1" t="s">
        <v>177</v>
      </c>
      <c r="C597" s="4">
        <v>9</v>
      </c>
      <c r="D597" s="8">
        <v>1.37</v>
      </c>
      <c r="E597" s="4">
        <v>4</v>
      </c>
      <c r="F597" s="8">
        <v>0.92</v>
      </c>
      <c r="G597" s="4">
        <v>5</v>
      </c>
      <c r="H597" s="8">
        <v>2.33</v>
      </c>
      <c r="I597" s="4">
        <v>0</v>
      </c>
    </row>
    <row r="598" spans="1:9" x14ac:dyDescent="0.2">
      <c r="A598" s="1"/>
      <c r="C598" s="4"/>
      <c r="D598" s="8"/>
      <c r="E598" s="4"/>
      <c r="F598" s="8"/>
      <c r="G598" s="4"/>
      <c r="H598" s="8"/>
      <c r="I598" s="4"/>
    </row>
    <row r="599" spans="1:9" x14ac:dyDescent="0.2">
      <c r="A599" s="1" t="s">
        <v>24</v>
      </c>
      <c r="C599" s="4"/>
      <c r="D599" s="8"/>
      <c r="E599" s="4"/>
      <c r="F599" s="8"/>
      <c r="G599" s="4"/>
      <c r="H599" s="8"/>
      <c r="I599" s="4"/>
    </row>
    <row r="600" spans="1:9" x14ac:dyDescent="0.2">
      <c r="A600" s="2">
        <v>1</v>
      </c>
      <c r="B600" s="1" t="s">
        <v>215</v>
      </c>
      <c r="C600" s="4">
        <v>82</v>
      </c>
      <c r="D600" s="8">
        <v>45.81</v>
      </c>
      <c r="E600" s="4">
        <v>66</v>
      </c>
      <c r="F600" s="8">
        <v>56.41</v>
      </c>
      <c r="G600" s="4">
        <v>16</v>
      </c>
      <c r="H600" s="8">
        <v>28.57</v>
      </c>
      <c r="I600" s="4">
        <v>0</v>
      </c>
    </row>
    <row r="601" spans="1:9" x14ac:dyDescent="0.2">
      <c r="A601" s="2">
        <v>2</v>
      </c>
      <c r="B601" s="1" t="s">
        <v>181</v>
      </c>
      <c r="C601" s="4">
        <v>6</v>
      </c>
      <c r="D601" s="8">
        <v>3.35</v>
      </c>
      <c r="E601" s="4">
        <v>6</v>
      </c>
      <c r="F601" s="8">
        <v>5.13</v>
      </c>
      <c r="G601" s="4">
        <v>0</v>
      </c>
      <c r="H601" s="8">
        <v>0</v>
      </c>
      <c r="I601" s="4">
        <v>0</v>
      </c>
    </row>
    <row r="602" spans="1:9" x14ac:dyDescent="0.2">
      <c r="A602" s="2">
        <v>3</v>
      </c>
      <c r="B602" s="1" t="s">
        <v>233</v>
      </c>
      <c r="C602" s="4">
        <v>5</v>
      </c>
      <c r="D602" s="8">
        <v>2.79</v>
      </c>
      <c r="E602" s="4">
        <v>4</v>
      </c>
      <c r="F602" s="8">
        <v>3.42</v>
      </c>
      <c r="G602" s="4">
        <v>1</v>
      </c>
      <c r="H602" s="8">
        <v>1.79</v>
      </c>
      <c r="I602" s="4">
        <v>0</v>
      </c>
    </row>
    <row r="603" spans="1:9" x14ac:dyDescent="0.2">
      <c r="A603" s="2">
        <v>3</v>
      </c>
      <c r="B603" s="1" t="s">
        <v>228</v>
      </c>
      <c r="C603" s="4">
        <v>5</v>
      </c>
      <c r="D603" s="8">
        <v>2.79</v>
      </c>
      <c r="E603" s="4">
        <v>2</v>
      </c>
      <c r="F603" s="8">
        <v>1.71</v>
      </c>
      <c r="G603" s="4">
        <v>3</v>
      </c>
      <c r="H603" s="8">
        <v>5.36</v>
      </c>
      <c r="I603" s="4">
        <v>0</v>
      </c>
    </row>
    <row r="604" spans="1:9" x14ac:dyDescent="0.2">
      <c r="A604" s="2">
        <v>5</v>
      </c>
      <c r="B604" s="1" t="s">
        <v>160</v>
      </c>
      <c r="C604" s="4">
        <v>4</v>
      </c>
      <c r="D604" s="8">
        <v>2.23</v>
      </c>
      <c r="E604" s="4">
        <v>3</v>
      </c>
      <c r="F604" s="8">
        <v>2.56</v>
      </c>
      <c r="G604" s="4">
        <v>1</v>
      </c>
      <c r="H604" s="8">
        <v>1.79</v>
      </c>
      <c r="I604" s="4">
        <v>0</v>
      </c>
    </row>
    <row r="605" spans="1:9" x14ac:dyDescent="0.2">
      <c r="A605" s="2">
        <v>5</v>
      </c>
      <c r="B605" s="1" t="s">
        <v>241</v>
      </c>
      <c r="C605" s="4">
        <v>4</v>
      </c>
      <c r="D605" s="8">
        <v>2.23</v>
      </c>
      <c r="E605" s="4">
        <v>2</v>
      </c>
      <c r="F605" s="8">
        <v>1.71</v>
      </c>
      <c r="G605" s="4">
        <v>2</v>
      </c>
      <c r="H605" s="8">
        <v>3.57</v>
      </c>
      <c r="I605" s="4">
        <v>0</v>
      </c>
    </row>
    <row r="606" spans="1:9" x14ac:dyDescent="0.2">
      <c r="A606" s="2">
        <v>5</v>
      </c>
      <c r="B606" s="1" t="s">
        <v>163</v>
      </c>
      <c r="C606" s="4">
        <v>4</v>
      </c>
      <c r="D606" s="8">
        <v>2.23</v>
      </c>
      <c r="E606" s="4">
        <v>2</v>
      </c>
      <c r="F606" s="8">
        <v>1.71</v>
      </c>
      <c r="G606" s="4">
        <v>2</v>
      </c>
      <c r="H606" s="8">
        <v>3.57</v>
      </c>
      <c r="I606" s="4">
        <v>0</v>
      </c>
    </row>
    <row r="607" spans="1:9" x14ac:dyDescent="0.2">
      <c r="A607" s="2">
        <v>5</v>
      </c>
      <c r="B607" s="1" t="s">
        <v>186</v>
      </c>
      <c r="C607" s="4">
        <v>4</v>
      </c>
      <c r="D607" s="8">
        <v>2.23</v>
      </c>
      <c r="E607" s="4">
        <v>0</v>
      </c>
      <c r="F607" s="8">
        <v>0</v>
      </c>
      <c r="G607" s="4">
        <v>2</v>
      </c>
      <c r="H607" s="8">
        <v>3.57</v>
      </c>
      <c r="I607" s="4">
        <v>0</v>
      </c>
    </row>
    <row r="608" spans="1:9" x14ac:dyDescent="0.2">
      <c r="A608" s="2">
        <v>5</v>
      </c>
      <c r="B608" s="1" t="s">
        <v>174</v>
      </c>
      <c r="C608" s="4">
        <v>4</v>
      </c>
      <c r="D608" s="8">
        <v>2.23</v>
      </c>
      <c r="E608" s="4">
        <v>4</v>
      </c>
      <c r="F608" s="8">
        <v>3.42</v>
      </c>
      <c r="G608" s="4">
        <v>0</v>
      </c>
      <c r="H608" s="8">
        <v>0</v>
      </c>
      <c r="I608" s="4">
        <v>0</v>
      </c>
    </row>
    <row r="609" spans="1:9" x14ac:dyDescent="0.2">
      <c r="A609" s="2">
        <v>10</v>
      </c>
      <c r="B609" s="1" t="s">
        <v>191</v>
      </c>
      <c r="C609" s="4">
        <v>3</v>
      </c>
      <c r="D609" s="8">
        <v>1.68</v>
      </c>
      <c r="E609" s="4">
        <v>1</v>
      </c>
      <c r="F609" s="8">
        <v>0.85</v>
      </c>
      <c r="G609" s="4">
        <v>2</v>
      </c>
      <c r="H609" s="8">
        <v>3.57</v>
      </c>
      <c r="I609" s="4">
        <v>0</v>
      </c>
    </row>
    <row r="610" spans="1:9" x14ac:dyDescent="0.2">
      <c r="A610" s="2">
        <v>10</v>
      </c>
      <c r="B610" s="1" t="s">
        <v>226</v>
      </c>
      <c r="C610" s="4">
        <v>3</v>
      </c>
      <c r="D610" s="8">
        <v>1.68</v>
      </c>
      <c r="E610" s="4">
        <v>1</v>
      </c>
      <c r="F610" s="8">
        <v>0.85</v>
      </c>
      <c r="G610" s="4">
        <v>2</v>
      </c>
      <c r="H610" s="8">
        <v>3.57</v>
      </c>
      <c r="I610" s="4">
        <v>0</v>
      </c>
    </row>
    <row r="611" spans="1:9" x14ac:dyDescent="0.2">
      <c r="A611" s="2">
        <v>10</v>
      </c>
      <c r="B611" s="1" t="s">
        <v>168</v>
      </c>
      <c r="C611" s="4">
        <v>3</v>
      </c>
      <c r="D611" s="8">
        <v>1.68</v>
      </c>
      <c r="E611" s="4">
        <v>2</v>
      </c>
      <c r="F611" s="8">
        <v>1.71</v>
      </c>
      <c r="G611" s="4">
        <v>1</v>
      </c>
      <c r="H611" s="8">
        <v>1.79</v>
      </c>
      <c r="I611" s="4">
        <v>0</v>
      </c>
    </row>
    <row r="612" spans="1:9" x14ac:dyDescent="0.2">
      <c r="A612" s="2">
        <v>10</v>
      </c>
      <c r="B612" s="1" t="s">
        <v>227</v>
      </c>
      <c r="C612" s="4">
        <v>3</v>
      </c>
      <c r="D612" s="8">
        <v>1.68</v>
      </c>
      <c r="E612" s="4">
        <v>2</v>
      </c>
      <c r="F612" s="8">
        <v>1.71</v>
      </c>
      <c r="G612" s="4">
        <v>1</v>
      </c>
      <c r="H612" s="8">
        <v>1.79</v>
      </c>
      <c r="I612" s="4">
        <v>0</v>
      </c>
    </row>
    <row r="613" spans="1:9" x14ac:dyDescent="0.2">
      <c r="A613" s="2">
        <v>14</v>
      </c>
      <c r="B613" s="1" t="s">
        <v>159</v>
      </c>
      <c r="C613" s="4">
        <v>2</v>
      </c>
      <c r="D613" s="8">
        <v>1.1200000000000001</v>
      </c>
      <c r="E613" s="4">
        <v>0</v>
      </c>
      <c r="F613" s="8">
        <v>0</v>
      </c>
      <c r="G613" s="4">
        <v>2</v>
      </c>
      <c r="H613" s="8">
        <v>3.57</v>
      </c>
      <c r="I613" s="4">
        <v>0</v>
      </c>
    </row>
    <row r="614" spans="1:9" x14ac:dyDescent="0.2">
      <c r="A614" s="2">
        <v>14</v>
      </c>
      <c r="B614" s="1" t="s">
        <v>198</v>
      </c>
      <c r="C614" s="4">
        <v>2</v>
      </c>
      <c r="D614" s="8">
        <v>1.1200000000000001</v>
      </c>
      <c r="E614" s="4">
        <v>1</v>
      </c>
      <c r="F614" s="8">
        <v>0.85</v>
      </c>
      <c r="G614" s="4">
        <v>1</v>
      </c>
      <c r="H614" s="8">
        <v>1.79</v>
      </c>
      <c r="I614" s="4">
        <v>0</v>
      </c>
    </row>
    <row r="615" spans="1:9" x14ac:dyDescent="0.2">
      <c r="A615" s="2">
        <v>14</v>
      </c>
      <c r="B615" s="1" t="s">
        <v>194</v>
      </c>
      <c r="C615" s="4">
        <v>2</v>
      </c>
      <c r="D615" s="8">
        <v>1.1200000000000001</v>
      </c>
      <c r="E615" s="4">
        <v>2</v>
      </c>
      <c r="F615" s="8">
        <v>1.71</v>
      </c>
      <c r="G615" s="4">
        <v>0</v>
      </c>
      <c r="H615" s="8">
        <v>0</v>
      </c>
      <c r="I615" s="4">
        <v>0</v>
      </c>
    </row>
    <row r="616" spans="1:9" x14ac:dyDescent="0.2">
      <c r="A616" s="2">
        <v>14</v>
      </c>
      <c r="B616" s="1" t="s">
        <v>185</v>
      </c>
      <c r="C616" s="4">
        <v>2</v>
      </c>
      <c r="D616" s="8">
        <v>1.1200000000000001</v>
      </c>
      <c r="E616" s="4">
        <v>1</v>
      </c>
      <c r="F616" s="8">
        <v>0.85</v>
      </c>
      <c r="G616" s="4">
        <v>1</v>
      </c>
      <c r="H616" s="8">
        <v>1.79</v>
      </c>
      <c r="I616" s="4">
        <v>0</v>
      </c>
    </row>
    <row r="617" spans="1:9" x14ac:dyDescent="0.2">
      <c r="A617" s="2">
        <v>14</v>
      </c>
      <c r="B617" s="1" t="s">
        <v>166</v>
      </c>
      <c r="C617" s="4">
        <v>2</v>
      </c>
      <c r="D617" s="8">
        <v>1.1200000000000001</v>
      </c>
      <c r="E617" s="4">
        <v>2</v>
      </c>
      <c r="F617" s="8">
        <v>1.71</v>
      </c>
      <c r="G617" s="4">
        <v>0</v>
      </c>
      <c r="H617" s="8">
        <v>0</v>
      </c>
      <c r="I617" s="4">
        <v>0</v>
      </c>
    </row>
    <row r="618" spans="1:9" x14ac:dyDescent="0.2">
      <c r="A618" s="2">
        <v>14</v>
      </c>
      <c r="B618" s="1" t="s">
        <v>232</v>
      </c>
      <c r="C618" s="4">
        <v>2</v>
      </c>
      <c r="D618" s="8">
        <v>1.1200000000000001</v>
      </c>
      <c r="E618" s="4">
        <v>2</v>
      </c>
      <c r="F618" s="8">
        <v>1.71</v>
      </c>
      <c r="G618" s="4">
        <v>0</v>
      </c>
      <c r="H618" s="8">
        <v>0</v>
      </c>
      <c r="I618" s="4">
        <v>0</v>
      </c>
    </row>
    <row r="619" spans="1:9" x14ac:dyDescent="0.2">
      <c r="A619" s="2">
        <v>14</v>
      </c>
      <c r="B619" s="1" t="s">
        <v>170</v>
      </c>
      <c r="C619" s="4">
        <v>2</v>
      </c>
      <c r="D619" s="8">
        <v>1.1200000000000001</v>
      </c>
      <c r="E619" s="4">
        <v>1</v>
      </c>
      <c r="F619" s="8">
        <v>0.85</v>
      </c>
      <c r="G619" s="4">
        <v>0</v>
      </c>
      <c r="H619" s="8">
        <v>0</v>
      </c>
      <c r="I619" s="4">
        <v>1</v>
      </c>
    </row>
    <row r="620" spans="1:9" x14ac:dyDescent="0.2">
      <c r="A620" s="2">
        <v>14</v>
      </c>
      <c r="B620" s="1" t="s">
        <v>173</v>
      </c>
      <c r="C620" s="4">
        <v>2</v>
      </c>
      <c r="D620" s="8">
        <v>1.1200000000000001</v>
      </c>
      <c r="E620" s="4">
        <v>2</v>
      </c>
      <c r="F620" s="8">
        <v>1.71</v>
      </c>
      <c r="G620" s="4">
        <v>0</v>
      </c>
      <c r="H620" s="8">
        <v>0</v>
      </c>
      <c r="I620" s="4">
        <v>0</v>
      </c>
    </row>
    <row r="621" spans="1:9" x14ac:dyDescent="0.2">
      <c r="A621" s="2">
        <v>14</v>
      </c>
      <c r="B621" s="1" t="s">
        <v>211</v>
      </c>
      <c r="C621" s="4">
        <v>2</v>
      </c>
      <c r="D621" s="8">
        <v>1.1200000000000001</v>
      </c>
      <c r="E621" s="4">
        <v>0</v>
      </c>
      <c r="F621" s="8">
        <v>0</v>
      </c>
      <c r="G621" s="4">
        <v>1</v>
      </c>
      <c r="H621" s="8">
        <v>1.79</v>
      </c>
      <c r="I621" s="4">
        <v>1</v>
      </c>
    </row>
    <row r="622" spans="1:9" x14ac:dyDescent="0.2">
      <c r="A622" s="1"/>
      <c r="C622" s="4"/>
      <c r="D622" s="8"/>
      <c r="E622" s="4"/>
      <c r="F622" s="8"/>
      <c r="G622" s="4"/>
      <c r="H622" s="8"/>
      <c r="I622" s="4"/>
    </row>
    <row r="623" spans="1:9" x14ac:dyDescent="0.2">
      <c r="A623" s="1" t="s">
        <v>25</v>
      </c>
      <c r="C623" s="4"/>
      <c r="D623" s="8"/>
      <c r="E623" s="4"/>
      <c r="F623" s="8"/>
      <c r="G623" s="4"/>
      <c r="H623" s="8"/>
      <c r="I623" s="4"/>
    </row>
    <row r="624" spans="1:9" x14ac:dyDescent="0.2">
      <c r="A624" s="2">
        <v>1</v>
      </c>
      <c r="B624" s="1" t="s">
        <v>173</v>
      </c>
      <c r="C624" s="4">
        <v>15</v>
      </c>
      <c r="D624" s="8">
        <v>7.25</v>
      </c>
      <c r="E624" s="4">
        <v>15</v>
      </c>
      <c r="F624" s="8">
        <v>10.79</v>
      </c>
      <c r="G624" s="4">
        <v>0</v>
      </c>
      <c r="H624" s="8">
        <v>0</v>
      </c>
      <c r="I624" s="4">
        <v>0</v>
      </c>
    </row>
    <row r="625" spans="1:9" x14ac:dyDescent="0.2">
      <c r="A625" s="2">
        <v>2</v>
      </c>
      <c r="B625" s="1" t="s">
        <v>160</v>
      </c>
      <c r="C625" s="4">
        <v>9</v>
      </c>
      <c r="D625" s="8">
        <v>4.3499999999999996</v>
      </c>
      <c r="E625" s="4">
        <v>7</v>
      </c>
      <c r="F625" s="8">
        <v>5.04</v>
      </c>
      <c r="G625" s="4">
        <v>2</v>
      </c>
      <c r="H625" s="8">
        <v>3.23</v>
      </c>
      <c r="I625" s="4">
        <v>0</v>
      </c>
    </row>
    <row r="626" spans="1:9" x14ac:dyDescent="0.2">
      <c r="A626" s="2">
        <v>3</v>
      </c>
      <c r="B626" s="1" t="s">
        <v>201</v>
      </c>
      <c r="C626" s="4">
        <v>7</v>
      </c>
      <c r="D626" s="8">
        <v>3.38</v>
      </c>
      <c r="E626" s="4">
        <v>7</v>
      </c>
      <c r="F626" s="8">
        <v>5.04</v>
      </c>
      <c r="G626" s="4">
        <v>0</v>
      </c>
      <c r="H626" s="8">
        <v>0</v>
      </c>
      <c r="I626" s="4">
        <v>0</v>
      </c>
    </row>
    <row r="627" spans="1:9" x14ac:dyDescent="0.2">
      <c r="A627" s="2">
        <v>3</v>
      </c>
      <c r="B627" s="1" t="s">
        <v>170</v>
      </c>
      <c r="C627" s="4">
        <v>7</v>
      </c>
      <c r="D627" s="8">
        <v>3.38</v>
      </c>
      <c r="E627" s="4">
        <v>7</v>
      </c>
      <c r="F627" s="8">
        <v>5.04</v>
      </c>
      <c r="G627" s="4">
        <v>0</v>
      </c>
      <c r="H627" s="8">
        <v>0</v>
      </c>
      <c r="I627" s="4">
        <v>0</v>
      </c>
    </row>
    <row r="628" spans="1:9" x14ac:dyDescent="0.2">
      <c r="A628" s="2">
        <v>3</v>
      </c>
      <c r="B628" s="1" t="s">
        <v>174</v>
      </c>
      <c r="C628" s="4">
        <v>7</v>
      </c>
      <c r="D628" s="8">
        <v>3.38</v>
      </c>
      <c r="E628" s="4">
        <v>7</v>
      </c>
      <c r="F628" s="8">
        <v>5.04</v>
      </c>
      <c r="G628" s="4">
        <v>0</v>
      </c>
      <c r="H628" s="8">
        <v>0</v>
      </c>
      <c r="I628" s="4">
        <v>0</v>
      </c>
    </row>
    <row r="629" spans="1:9" x14ac:dyDescent="0.2">
      <c r="A629" s="2">
        <v>6</v>
      </c>
      <c r="B629" s="1" t="s">
        <v>158</v>
      </c>
      <c r="C629" s="4">
        <v>6</v>
      </c>
      <c r="D629" s="8">
        <v>2.9</v>
      </c>
      <c r="E629" s="4">
        <v>0</v>
      </c>
      <c r="F629" s="8">
        <v>0</v>
      </c>
      <c r="G629" s="4">
        <v>6</v>
      </c>
      <c r="H629" s="8">
        <v>9.68</v>
      </c>
      <c r="I629" s="4">
        <v>0</v>
      </c>
    </row>
    <row r="630" spans="1:9" x14ac:dyDescent="0.2">
      <c r="A630" s="2">
        <v>6</v>
      </c>
      <c r="B630" s="1" t="s">
        <v>178</v>
      </c>
      <c r="C630" s="4">
        <v>6</v>
      </c>
      <c r="D630" s="8">
        <v>2.9</v>
      </c>
      <c r="E630" s="4">
        <v>6</v>
      </c>
      <c r="F630" s="8">
        <v>4.32</v>
      </c>
      <c r="G630" s="4">
        <v>0</v>
      </c>
      <c r="H630" s="8">
        <v>0</v>
      </c>
      <c r="I630" s="4">
        <v>0</v>
      </c>
    </row>
    <row r="631" spans="1:9" x14ac:dyDescent="0.2">
      <c r="A631" s="2">
        <v>6</v>
      </c>
      <c r="B631" s="1" t="s">
        <v>193</v>
      </c>
      <c r="C631" s="4">
        <v>6</v>
      </c>
      <c r="D631" s="8">
        <v>2.9</v>
      </c>
      <c r="E631" s="4">
        <v>4</v>
      </c>
      <c r="F631" s="8">
        <v>2.88</v>
      </c>
      <c r="G631" s="4">
        <v>2</v>
      </c>
      <c r="H631" s="8">
        <v>3.23</v>
      </c>
      <c r="I631" s="4">
        <v>0</v>
      </c>
    </row>
    <row r="632" spans="1:9" x14ac:dyDescent="0.2">
      <c r="A632" s="2">
        <v>6</v>
      </c>
      <c r="B632" s="1" t="s">
        <v>171</v>
      </c>
      <c r="C632" s="4">
        <v>6</v>
      </c>
      <c r="D632" s="8">
        <v>2.9</v>
      </c>
      <c r="E632" s="4">
        <v>6</v>
      </c>
      <c r="F632" s="8">
        <v>4.32</v>
      </c>
      <c r="G632" s="4">
        <v>0</v>
      </c>
      <c r="H632" s="8">
        <v>0</v>
      </c>
      <c r="I632" s="4">
        <v>0</v>
      </c>
    </row>
    <row r="633" spans="1:9" x14ac:dyDescent="0.2">
      <c r="A633" s="2">
        <v>10</v>
      </c>
      <c r="B633" s="1" t="s">
        <v>191</v>
      </c>
      <c r="C633" s="4">
        <v>5</v>
      </c>
      <c r="D633" s="8">
        <v>2.42</v>
      </c>
      <c r="E633" s="4">
        <v>4</v>
      </c>
      <c r="F633" s="8">
        <v>2.88</v>
      </c>
      <c r="G633" s="4">
        <v>1</v>
      </c>
      <c r="H633" s="8">
        <v>1.61</v>
      </c>
      <c r="I633" s="4">
        <v>0</v>
      </c>
    </row>
    <row r="634" spans="1:9" x14ac:dyDescent="0.2">
      <c r="A634" s="2">
        <v>10</v>
      </c>
      <c r="B634" s="1" t="s">
        <v>215</v>
      </c>
      <c r="C634" s="4">
        <v>5</v>
      </c>
      <c r="D634" s="8">
        <v>2.42</v>
      </c>
      <c r="E634" s="4">
        <v>4</v>
      </c>
      <c r="F634" s="8">
        <v>2.88</v>
      </c>
      <c r="G634" s="4">
        <v>1</v>
      </c>
      <c r="H634" s="8">
        <v>1.61</v>
      </c>
      <c r="I634" s="4">
        <v>0</v>
      </c>
    </row>
    <row r="635" spans="1:9" x14ac:dyDescent="0.2">
      <c r="A635" s="2">
        <v>10</v>
      </c>
      <c r="B635" s="1" t="s">
        <v>181</v>
      </c>
      <c r="C635" s="4">
        <v>5</v>
      </c>
      <c r="D635" s="8">
        <v>2.42</v>
      </c>
      <c r="E635" s="4">
        <v>3</v>
      </c>
      <c r="F635" s="8">
        <v>2.16</v>
      </c>
      <c r="G635" s="4">
        <v>2</v>
      </c>
      <c r="H635" s="8">
        <v>3.23</v>
      </c>
      <c r="I635" s="4">
        <v>0</v>
      </c>
    </row>
    <row r="636" spans="1:9" x14ac:dyDescent="0.2">
      <c r="A636" s="2">
        <v>13</v>
      </c>
      <c r="B636" s="1" t="s">
        <v>199</v>
      </c>
      <c r="C636" s="4">
        <v>4</v>
      </c>
      <c r="D636" s="8">
        <v>1.93</v>
      </c>
      <c r="E636" s="4">
        <v>4</v>
      </c>
      <c r="F636" s="8">
        <v>2.88</v>
      </c>
      <c r="G636" s="4">
        <v>0</v>
      </c>
      <c r="H636" s="8">
        <v>0</v>
      </c>
      <c r="I636" s="4">
        <v>0</v>
      </c>
    </row>
    <row r="637" spans="1:9" x14ac:dyDescent="0.2">
      <c r="A637" s="2">
        <v>13</v>
      </c>
      <c r="B637" s="1" t="s">
        <v>202</v>
      </c>
      <c r="C637" s="4">
        <v>4</v>
      </c>
      <c r="D637" s="8">
        <v>1.93</v>
      </c>
      <c r="E637" s="4">
        <v>1</v>
      </c>
      <c r="F637" s="8">
        <v>0.72</v>
      </c>
      <c r="G637" s="4">
        <v>3</v>
      </c>
      <c r="H637" s="8">
        <v>4.84</v>
      </c>
      <c r="I637" s="4">
        <v>0</v>
      </c>
    </row>
    <row r="638" spans="1:9" x14ac:dyDescent="0.2">
      <c r="A638" s="2">
        <v>13</v>
      </c>
      <c r="B638" s="1" t="s">
        <v>161</v>
      </c>
      <c r="C638" s="4">
        <v>4</v>
      </c>
      <c r="D638" s="8">
        <v>1.93</v>
      </c>
      <c r="E638" s="4">
        <v>0</v>
      </c>
      <c r="F638" s="8">
        <v>0</v>
      </c>
      <c r="G638" s="4">
        <v>4</v>
      </c>
      <c r="H638" s="8">
        <v>6.45</v>
      </c>
      <c r="I638" s="4">
        <v>0</v>
      </c>
    </row>
    <row r="639" spans="1:9" x14ac:dyDescent="0.2">
      <c r="A639" s="2">
        <v>13</v>
      </c>
      <c r="B639" s="1" t="s">
        <v>163</v>
      </c>
      <c r="C639" s="4">
        <v>4</v>
      </c>
      <c r="D639" s="8">
        <v>1.93</v>
      </c>
      <c r="E639" s="4">
        <v>4</v>
      </c>
      <c r="F639" s="8">
        <v>2.88</v>
      </c>
      <c r="G639" s="4">
        <v>0</v>
      </c>
      <c r="H639" s="8">
        <v>0</v>
      </c>
      <c r="I639" s="4">
        <v>0</v>
      </c>
    </row>
    <row r="640" spans="1:9" x14ac:dyDescent="0.2">
      <c r="A640" s="2">
        <v>13</v>
      </c>
      <c r="B640" s="1" t="s">
        <v>210</v>
      </c>
      <c r="C640" s="4">
        <v>4</v>
      </c>
      <c r="D640" s="8">
        <v>1.93</v>
      </c>
      <c r="E640" s="4">
        <v>4</v>
      </c>
      <c r="F640" s="8">
        <v>2.88</v>
      </c>
      <c r="G640" s="4">
        <v>0</v>
      </c>
      <c r="H640" s="8">
        <v>0</v>
      </c>
      <c r="I640" s="4">
        <v>0</v>
      </c>
    </row>
    <row r="641" spans="1:9" x14ac:dyDescent="0.2">
      <c r="A641" s="2">
        <v>13</v>
      </c>
      <c r="B641" s="1" t="s">
        <v>216</v>
      </c>
      <c r="C641" s="4">
        <v>4</v>
      </c>
      <c r="D641" s="8">
        <v>1.93</v>
      </c>
      <c r="E641" s="4">
        <v>2</v>
      </c>
      <c r="F641" s="8">
        <v>1.44</v>
      </c>
      <c r="G641" s="4">
        <v>2</v>
      </c>
      <c r="H641" s="8">
        <v>3.23</v>
      </c>
      <c r="I641" s="4">
        <v>0</v>
      </c>
    </row>
    <row r="642" spans="1:9" x14ac:dyDescent="0.2">
      <c r="A642" s="2">
        <v>19</v>
      </c>
      <c r="B642" s="1" t="s">
        <v>159</v>
      </c>
      <c r="C642" s="4">
        <v>3</v>
      </c>
      <c r="D642" s="8">
        <v>1.45</v>
      </c>
      <c r="E642" s="4">
        <v>2</v>
      </c>
      <c r="F642" s="8">
        <v>1.44</v>
      </c>
      <c r="G642" s="4">
        <v>1</v>
      </c>
      <c r="H642" s="8">
        <v>1.61</v>
      </c>
      <c r="I642" s="4">
        <v>0</v>
      </c>
    </row>
    <row r="643" spans="1:9" x14ac:dyDescent="0.2">
      <c r="A643" s="2">
        <v>19</v>
      </c>
      <c r="B643" s="1" t="s">
        <v>242</v>
      </c>
      <c r="C643" s="4">
        <v>3</v>
      </c>
      <c r="D643" s="8">
        <v>1.45</v>
      </c>
      <c r="E643" s="4">
        <v>2</v>
      </c>
      <c r="F643" s="8">
        <v>1.44</v>
      </c>
      <c r="G643" s="4">
        <v>1</v>
      </c>
      <c r="H643" s="8">
        <v>1.61</v>
      </c>
      <c r="I643" s="4">
        <v>0</v>
      </c>
    </row>
    <row r="644" spans="1:9" x14ac:dyDescent="0.2">
      <c r="A644" s="2">
        <v>19</v>
      </c>
      <c r="B644" s="1" t="s">
        <v>165</v>
      </c>
      <c r="C644" s="4">
        <v>3</v>
      </c>
      <c r="D644" s="8">
        <v>1.45</v>
      </c>
      <c r="E644" s="4">
        <v>1</v>
      </c>
      <c r="F644" s="8">
        <v>0.72</v>
      </c>
      <c r="G644" s="4">
        <v>2</v>
      </c>
      <c r="H644" s="8">
        <v>3.23</v>
      </c>
      <c r="I644" s="4">
        <v>0</v>
      </c>
    </row>
    <row r="645" spans="1:9" x14ac:dyDescent="0.2">
      <c r="A645" s="2">
        <v>19</v>
      </c>
      <c r="B645" s="1" t="s">
        <v>208</v>
      </c>
      <c r="C645" s="4">
        <v>3</v>
      </c>
      <c r="D645" s="8">
        <v>1.45</v>
      </c>
      <c r="E645" s="4">
        <v>1</v>
      </c>
      <c r="F645" s="8">
        <v>0.72</v>
      </c>
      <c r="G645" s="4">
        <v>2</v>
      </c>
      <c r="H645" s="8">
        <v>3.23</v>
      </c>
      <c r="I645" s="4">
        <v>0</v>
      </c>
    </row>
    <row r="646" spans="1:9" x14ac:dyDescent="0.2">
      <c r="A646" s="2">
        <v>19</v>
      </c>
      <c r="B646" s="1" t="s">
        <v>185</v>
      </c>
      <c r="C646" s="4">
        <v>3</v>
      </c>
      <c r="D646" s="8">
        <v>1.45</v>
      </c>
      <c r="E646" s="4">
        <v>2</v>
      </c>
      <c r="F646" s="8">
        <v>1.44</v>
      </c>
      <c r="G646" s="4">
        <v>1</v>
      </c>
      <c r="H646" s="8">
        <v>1.61</v>
      </c>
      <c r="I646" s="4">
        <v>0</v>
      </c>
    </row>
    <row r="647" spans="1:9" x14ac:dyDescent="0.2">
      <c r="A647" s="2">
        <v>19</v>
      </c>
      <c r="B647" s="1" t="s">
        <v>243</v>
      </c>
      <c r="C647" s="4">
        <v>3</v>
      </c>
      <c r="D647" s="8">
        <v>1.45</v>
      </c>
      <c r="E647" s="4">
        <v>3</v>
      </c>
      <c r="F647" s="8">
        <v>2.16</v>
      </c>
      <c r="G647" s="4">
        <v>0</v>
      </c>
      <c r="H647" s="8">
        <v>0</v>
      </c>
      <c r="I647" s="4">
        <v>0</v>
      </c>
    </row>
    <row r="648" spans="1:9" x14ac:dyDescent="0.2">
      <c r="A648" s="2">
        <v>19</v>
      </c>
      <c r="B648" s="1" t="s">
        <v>172</v>
      </c>
      <c r="C648" s="4">
        <v>3</v>
      </c>
      <c r="D648" s="8">
        <v>1.45</v>
      </c>
      <c r="E648" s="4">
        <v>3</v>
      </c>
      <c r="F648" s="8">
        <v>2.16</v>
      </c>
      <c r="G648" s="4">
        <v>0</v>
      </c>
      <c r="H648" s="8">
        <v>0</v>
      </c>
      <c r="I648" s="4">
        <v>0</v>
      </c>
    </row>
    <row r="649" spans="1:9" x14ac:dyDescent="0.2">
      <c r="A649" s="2">
        <v>19</v>
      </c>
      <c r="B649" s="1" t="s">
        <v>175</v>
      </c>
      <c r="C649" s="4">
        <v>3</v>
      </c>
      <c r="D649" s="8">
        <v>1.45</v>
      </c>
      <c r="E649" s="4">
        <v>2</v>
      </c>
      <c r="F649" s="8">
        <v>1.44</v>
      </c>
      <c r="G649" s="4">
        <v>1</v>
      </c>
      <c r="H649" s="8">
        <v>1.61</v>
      </c>
      <c r="I649" s="4">
        <v>0</v>
      </c>
    </row>
    <row r="650" spans="1:9" x14ac:dyDescent="0.2">
      <c r="A650" s="2">
        <v>19</v>
      </c>
      <c r="B650" s="1" t="s">
        <v>200</v>
      </c>
      <c r="C650" s="4">
        <v>3</v>
      </c>
      <c r="D650" s="8">
        <v>1.45</v>
      </c>
      <c r="E650" s="4">
        <v>0</v>
      </c>
      <c r="F650" s="8">
        <v>0</v>
      </c>
      <c r="G650" s="4">
        <v>2</v>
      </c>
      <c r="H650" s="8">
        <v>3.23</v>
      </c>
      <c r="I650" s="4">
        <v>0</v>
      </c>
    </row>
    <row r="651" spans="1:9" x14ac:dyDescent="0.2">
      <c r="A651" s="2">
        <v>19</v>
      </c>
      <c r="B651" s="1" t="s">
        <v>177</v>
      </c>
      <c r="C651" s="4">
        <v>3</v>
      </c>
      <c r="D651" s="8">
        <v>1.45</v>
      </c>
      <c r="E651" s="4">
        <v>3</v>
      </c>
      <c r="F651" s="8">
        <v>2.16</v>
      </c>
      <c r="G651" s="4">
        <v>0</v>
      </c>
      <c r="H651" s="8">
        <v>0</v>
      </c>
      <c r="I651" s="4">
        <v>0</v>
      </c>
    </row>
    <row r="652" spans="1:9" x14ac:dyDescent="0.2">
      <c r="A652" s="1"/>
      <c r="C652" s="4"/>
      <c r="D652" s="8"/>
      <c r="E652" s="4"/>
      <c r="F652" s="8"/>
      <c r="G652" s="4"/>
      <c r="H652" s="8"/>
      <c r="I652" s="4"/>
    </row>
    <row r="653" spans="1:9" x14ac:dyDescent="0.2">
      <c r="A653" s="1" t="s">
        <v>26</v>
      </c>
      <c r="C653" s="4"/>
      <c r="D653" s="8"/>
      <c r="E653" s="4"/>
      <c r="F653" s="8"/>
      <c r="G653" s="4"/>
      <c r="H653" s="8"/>
      <c r="I653" s="4"/>
    </row>
    <row r="654" spans="1:9" x14ac:dyDescent="0.2">
      <c r="A654" s="2">
        <v>1</v>
      </c>
      <c r="B654" s="1" t="s">
        <v>215</v>
      </c>
      <c r="C654" s="4">
        <v>11</v>
      </c>
      <c r="D654" s="8">
        <v>15.94</v>
      </c>
      <c r="E654" s="4">
        <v>8</v>
      </c>
      <c r="F654" s="8">
        <v>21.62</v>
      </c>
      <c r="G654" s="4">
        <v>3</v>
      </c>
      <c r="H654" s="8">
        <v>10</v>
      </c>
      <c r="I654" s="4">
        <v>0</v>
      </c>
    </row>
    <row r="655" spans="1:9" x14ac:dyDescent="0.2">
      <c r="A655" s="2">
        <v>2</v>
      </c>
      <c r="B655" s="1" t="s">
        <v>161</v>
      </c>
      <c r="C655" s="4">
        <v>3</v>
      </c>
      <c r="D655" s="8">
        <v>4.3499999999999996</v>
      </c>
      <c r="E655" s="4">
        <v>2</v>
      </c>
      <c r="F655" s="8">
        <v>5.41</v>
      </c>
      <c r="G655" s="4">
        <v>1</v>
      </c>
      <c r="H655" s="8">
        <v>3.33</v>
      </c>
      <c r="I655" s="4">
        <v>0</v>
      </c>
    </row>
    <row r="656" spans="1:9" x14ac:dyDescent="0.2">
      <c r="A656" s="2">
        <v>2</v>
      </c>
      <c r="B656" s="1" t="s">
        <v>173</v>
      </c>
      <c r="C656" s="4">
        <v>3</v>
      </c>
      <c r="D656" s="8">
        <v>4.3499999999999996</v>
      </c>
      <c r="E656" s="4">
        <v>3</v>
      </c>
      <c r="F656" s="8">
        <v>8.11</v>
      </c>
      <c r="G656" s="4">
        <v>0</v>
      </c>
      <c r="H656" s="8">
        <v>0</v>
      </c>
      <c r="I656" s="4">
        <v>0</v>
      </c>
    </row>
    <row r="657" spans="1:9" x14ac:dyDescent="0.2">
      <c r="A657" s="2">
        <v>2</v>
      </c>
      <c r="B657" s="1" t="s">
        <v>174</v>
      </c>
      <c r="C657" s="4">
        <v>3</v>
      </c>
      <c r="D657" s="8">
        <v>4.3499999999999996</v>
      </c>
      <c r="E657" s="4">
        <v>3</v>
      </c>
      <c r="F657" s="8">
        <v>8.11</v>
      </c>
      <c r="G657" s="4">
        <v>0</v>
      </c>
      <c r="H657" s="8">
        <v>0</v>
      </c>
      <c r="I657" s="4">
        <v>0</v>
      </c>
    </row>
    <row r="658" spans="1:9" x14ac:dyDescent="0.2">
      <c r="A658" s="2">
        <v>2</v>
      </c>
      <c r="B658" s="1" t="s">
        <v>206</v>
      </c>
      <c r="C658" s="4">
        <v>3</v>
      </c>
      <c r="D658" s="8">
        <v>4.3499999999999996</v>
      </c>
      <c r="E658" s="4">
        <v>1</v>
      </c>
      <c r="F658" s="8">
        <v>2.7</v>
      </c>
      <c r="G658" s="4">
        <v>1</v>
      </c>
      <c r="H658" s="8">
        <v>3.33</v>
      </c>
      <c r="I658" s="4">
        <v>0</v>
      </c>
    </row>
    <row r="659" spans="1:9" x14ac:dyDescent="0.2">
      <c r="A659" s="2">
        <v>2</v>
      </c>
      <c r="B659" s="1" t="s">
        <v>260</v>
      </c>
      <c r="C659" s="4">
        <v>3</v>
      </c>
      <c r="D659" s="8">
        <v>4.3499999999999996</v>
      </c>
      <c r="E659" s="4">
        <v>0</v>
      </c>
      <c r="F659" s="8">
        <v>0</v>
      </c>
      <c r="G659" s="4">
        <v>3</v>
      </c>
      <c r="H659" s="8">
        <v>10</v>
      </c>
      <c r="I659" s="4">
        <v>0</v>
      </c>
    </row>
    <row r="660" spans="1:9" x14ac:dyDescent="0.2">
      <c r="A660" s="2">
        <v>7</v>
      </c>
      <c r="B660" s="1" t="s">
        <v>195</v>
      </c>
      <c r="C660" s="4">
        <v>2</v>
      </c>
      <c r="D660" s="8">
        <v>2.9</v>
      </c>
      <c r="E660" s="4">
        <v>1</v>
      </c>
      <c r="F660" s="8">
        <v>2.7</v>
      </c>
      <c r="G660" s="4">
        <v>1</v>
      </c>
      <c r="H660" s="8">
        <v>3.33</v>
      </c>
      <c r="I660" s="4">
        <v>0</v>
      </c>
    </row>
    <row r="661" spans="1:9" x14ac:dyDescent="0.2">
      <c r="A661" s="2">
        <v>7</v>
      </c>
      <c r="B661" s="1" t="s">
        <v>162</v>
      </c>
      <c r="C661" s="4">
        <v>2</v>
      </c>
      <c r="D661" s="8">
        <v>2.9</v>
      </c>
      <c r="E661" s="4">
        <v>2</v>
      </c>
      <c r="F661" s="8">
        <v>5.41</v>
      </c>
      <c r="G661" s="4">
        <v>0</v>
      </c>
      <c r="H661" s="8">
        <v>0</v>
      </c>
      <c r="I661" s="4">
        <v>0</v>
      </c>
    </row>
    <row r="662" spans="1:9" x14ac:dyDescent="0.2">
      <c r="A662" s="2">
        <v>7</v>
      </c>
      <c r="B662" s="1" t="s">
        <v>191</v>
      </c>
      <c r="C662" s="4">
        <v>2</v>
      </c>
      <c r="D662" s="8">
        <v>2.9</v>
      </c>
      <c r="E662" s="4">
        <v>2</v>
      </c>
      <c r="F662" s="8">
        <v>5.41</v>
      </c>
      <c r="G662" s="4">
        <v>0</v>
      </c>
      <c r="H662" s="8">
        <v>0</v>
      </c>
      <c r="I662" s="4">
        <v>0</v>
      </c>
    </row>
    <row r="663" spans="1:9" x14ac:dyDescent="0.2">
      <c r="A663" s="2">
        <v>7</v>
      </c>
      <c r="B663" s="1" t="s">
        <v>164</v>
      </c>
      <c r="C663" s="4">
        <v>2</v>
      </c>
      <c r="D663" s="8">
        <v>2.9</v>
      </c>
      <c r="E663" s="4">
        <v>1</v>
      </c>
      <c r="F663" s="8">
        <v>2.7</v>
      </c>
      <c r="G663" s="4">
        <v>1</v>
      </c>
      <c r="H663" s="8">
        <v>3.33</v>
      </c>
      <c r="I663" s="4">
        <v>0</v>
      </c>
    </row>
    <row r="664" spans="1:9" x14ac:dyDescent="0.2">
      <c r="A664" s="2">
        <v>7</v>
      </c>
      <c r="B664" s="1" t="s">
        <v>181</v>
      </c>
      <c r="C664" s="4">
        <v>2</v>
      </c>
      <c r="D664" s="8">
        <v>2.9</v>
      </c>
      <c r="E664" s="4">
        <v>2</v>
      </c>
      <c r="F664" s="8">
        <v>5.41</v>
      </c>
      <c r="G664" s="4">
        <v>0</v>
      </c>
      <c r="H664" s="8">
        <v>0</v>
      </c>
      <c r="I664" s="4">
        <v>0</v>
      </c>
    </row>
    <row r="665" spans="1:9" x14ac:dyDescent="0.2">
      <c r="A665" s="2">
        <v>7</v>
      </c>
      <c r="B665" s="1" t="s">
        <v>170</v>
      </c>
      <c r="C665" s="4">
        <v>2</v>
      </c>
      <c r="D665" s="8">
        <v>2.9</v>
      </c>
      <c r="E665" s="4">
        <v>1</v>
      </c>
      <c r="F665" s="8">
        <v>2.7</v>
      </c>
      <c r="G665" s="4">
        <v>1</v>
      </c>
      <c r="H665" s="8">
        <v>3.33</v>
      </c>
      <c r="I665" s="4">
        <v>0</v>
      </c>
    </row>
    <row r="666" spans="1:9" x14ac:dyDescent="0.2">
      <c r="A666" s="2">
        <v>13</v>
      </c>
      <c r="B666" s="1" t="s">
        <v>158</v>
      </c>
      <c r="C666" s="4">
        <v>1</v>
      </c>
      <c r="D666" s="8">
        <v>1.45</v>
      </c>
      <c r="E666" s="4">
        <v>0</v>
      </c>
      <c r="F666" s="8">
        <v>0</v>
      </c>
      <c r="G666" s="4">
        <v>1</v>
      </c>
      <c r="H666" s="8">
        <v>3.33</v>
      </c>
      <c r="I666" s="4">
        <v>0</v>
      </c>
    </row>
    <row r="667" spans="1:9" x14ac:dyDescent="0.2">
      <c r="A667" s="2">
        <v>13</v>
      </c>
      <c r="B667" s="1" t="s">
        <v>160</v>
      </c>
      <c r="C667" s="4">
        <v>1</v>
      </c>
      <c r="D667" s="8">
        <v>1.45</v>
      </c>
      <c r="E667" s="4">
        <v>1</v>
      </c>
      <c r="F667" s="8">
        <v>2.7</v>
      </c>
      <c r="G667" s="4">
        <v>0</v>
      </c>
      <c r="H667" s="8">
        <v>0</v>
      </c>
      <c r="I667" s="4">
        <v>0</v>
      </c>
    </row>
    <row r="668" spans="1:9" x14ac:dyDescent="0.2">
      <c r="A668" s="2">
        <v>13</v>
      </c>
      <c r="B668" s="1" t="s">
        <v>237</v>
      </c>
      <c r="C668" s="4">
        <v>1</v>
      </c>
      <c r="D668" s="8">
        <v>1.45</v>
      </c>
      <c r="E668" s="4">
        <v>0</v>
      </c>
      <c r="F668" s="8">
        <v>0</v>
      </c>
      <c r="G668" s="4">
        <v>1</v>
      </c>
      <c r="H668" s="8">
        <v>3.33</v>
      </c>
      <c r="I668" s="4">
        <v>0</v>
      </c>
    </row>
    <row r="669" spans="1:9" x14ac:dyDescent="0.2">
      <c r="A669" s="2">
        <v>13</v>
      </c>
      <c r="B669" s="1" t="s">
        <v>244</v>
      </c>
      <c r="C669" s="4">
        <v>1</v>
      </c>
      <c r="D669" s="8">
        <v>1.45</v>
      </c>
      <c r="E669" s="4">
        <v>1</v>
      </c>
      <c r="F669" s="8">
        <v>2.7</v>
      </c>
      <c r="G669" s="4">
        <v>0</v>
      </c>
      <c r="H669" s="8">
        <v>0</v>
      </c>
      <c r="I669" s="4">
        <v>0</v>
      </c>
    </row>
    <row r="670" spans="1:9" x14ac:dyDescent="0.2">
      <c r="A670" s="2">
        <v>13</v>
      </c>
      <c r="B670" s="1" t="s">
        <v>245</v>
      </c>
      <c r="C670" s="4">
        <v>1</v>
      </c>
      <c r="D670" s="8">
        <v>1.45</v>
      </c>
      <c r="E670" s="4">
        <v>0</v>
      </c>
      <c r="F670" s="8">
        <v>0</v>
      </c>
      <c r="G670" s="4">
        <v>1</v>
      </c>
      <c r="H670" s="8">
        <v>3.33</v>
      </c>
      <c r="I670" s="4">
        <v>0</v>
      </c>
    </row>
    <row r="671" spans="1:9" x14ac:dyDescent="0.2">
      <c r="A671" s="2">
        <v>13</v>
      </c>
      <c r="B671" s="1" t="s">
        <v>246</v>
      </c>
      <c r="C671" s="4">
        <v>1</v>
      </c>
      <c r="D671" s="8">
        <v>1.45</v>
      </c>
      <c r="E671" s="4">
        <v>0</v>
      </c>
      <c r="F671" s="8">
        <v>0</v>
      </c>
      <c r="G671" s="4">
        <v>1</v>
      </c>
      <c r="H671" s="8">
        <v>3.33</v>
      </c>
      <c r="I671" s="4">
        <v>0</v>
      </c>
    </row>
    <row r="672" spans="1:9" x14ac:dyDescent="0.2">
      <c r="A672" s="2">
        <v>13</v>
      </c>
      <c r="B672" s="1" t="s">
        <v>247</v>
      </c>
      <c r="C672" s="4">
        <v>1</v>
      </c>
      <c r="D672" s="8">
        <v>1.45</v>
      </c>
      <c r="E672" s="4">
        <v>0</v>
      </c>
      <c r="F672" s="8">
        <v>0</v>
      </c>
      <c r="G672" s="4">
        <v>1</v>
      </c>
      <c r="H672" s="8">
        <v>3.33</v>
      </c>
      <c r="I672" s="4">
        <v>0</v>
      </c>
    </row>
    <row r="673" spans="1:9" x14ac:dyDescent="0.2">
      <c r="A673" s="2">
        <v>13</v>
      </c>
      <c r="B673" s="1" t="s">
        <v>248</v>
      </c>
      <c r="C673" s="4">
        <v>1</v>
      </c>
      <c r="D673" s="8">
        <v>1.45</v>
      </c>
      <c r="E673" s="4">
        <v>0</v>
      </c>
      <c r="F673" s="8">
        <v>0</v>
      </c>
      <c r="G673" s="4">
        <v>1</v>
      </c>
      <c r="H673" s="8">
        <v>3.33</v>
      </c>
      <c r="I673" s="4">
        <v>0</v>
      </c>
    </row>
    <row r="674" spans="1:9" x14ac:dyDescent="0.2">
      <c r="A674" s="2">
        <v>13</v>
      </c>
      <c r="B674" s="1" t="s">
        <v>249</v>
      </c>
      <c r="C674" s="4">
        <v>1</v>
      </c>
      <c r="D674" s="8">
        <v>1.45</v>
      </c>
      <c r="E674" s="4">
        <v>0</v>
      </c>
      <c r="F674" s="8">
        <v>0</v>
      </c>
      <c r="G674" s="4">
        <v>1</v>
      </c>
      <c r="H674" s="8">
        <v>3.33</v>
      </c>
      <c r="I674" s="4">
        <v>0</v>
      </c>
    </row>
    <row r="675" spans="1:9" x14ac:dyDescent="0.2">
      <c r="A675" s="2">
        <v>13</v>
      </c>
      <c r="B675" s="1" t="s">
        <v>250</v>
      </c>
      <c r="C675" s="4">
        <v>1</v>
      </c>
      <c r="D675" s="8">
        <v>1.45</v>
      </c>
      <c r="E675" s="4">
        <v>0</v>
      </c>
      <c r="F675" s="8">
        <v>0</v>
      </c>
      <c r="G675" s="4">
        <v>1</v>
      </c>
      <c r="H675" s="8">
        <v>3.33</v>
      </c>
      <c r="I675" s="4">
        <v>0</v>
      </c>
    </row>
    <row r="676" spans="1:9" x14ac:dyDescent="0.2">
      <c r="A676" s="2">
        <v>13</v>
      </c>
      <c r="B676" s="1" t="s">
        <v>251</v>
      </c>
      <c r="C676" s="4">
        <v>1</v>
      </c>
      <c r="D676" s="8">
        <v>1.45</v>
      </c>
      <c r="E676" s="4">
        <v>0</v>
      </c>
      <c r="F676" s="8">
        <v>0</v>
      </c>
      <c r="G676" s="4">
        <v>1</v>
      </c>
      <c r="H676" s="8">
        <v>3.33</v>
      </c>
      <c r="I676" s="4">
        <v>0</v>
      </c>
    </row>
    <row r="677" spans="1:9" x14ac:dyDescent="0.2">
      <c r="A677" s="2">
        <v>13</v>
      </c>
      <c r="B677" s="1" t="s">
        <v>238</v>
      </c>
      <c r="C677" s="4">
        <v>1</v>
      </c>
      <c r="D677" s="8">
        <v>1.45</v>
      </c>
      <c r="E677" s="4">
        <v>0</v>
      </c>
      <c r="F677" s="8">
        <v>0</v>
      </c>
      <c r="G677" s="4">
        <v>1</v>
      </c>
      <c r="H677" s="8">
        <v>3.33</v>
      </c>
      <c r="I677" s="4">
        <v>0</v>
      </c>
    </row>
    <row r="678" spans="1:9" x14ac:dyDescent="0.2">
      <c r="A678" s="2">
        <v>13</v>
      </c>
      <c r="B678" s="1" t="s">
        <v>252</v>
      </c>
      <c r="C678" s="4">
        <v>1</v>
      </c>
      <c r="D678" s="8">
        <v>1.45</v>
      </c>
      <c r="E678" s="4">
        <v>0</v>
      </c>
      <c r="F678" s="8">
        <v>0</v>
      </c>
      <c r="G678" s="4">
        <v>1</v>
      </c>
      <c r="H678" s="8">
        <v>3.33</v>
      </c>
      <c r="I678" s="4">
        <v>0</v>
      </c>
    </row>
    <row r="679" spans="1:9" x14ac:dyDescent="0.2">
      <c r="A679" s="2">
        <v>13</v>
      </c>
      <c r="B679" s="1" t="s">
        <v>253</v>
      </c>
      <c r="C679" s="4">
        <v>1</v>
      </c>
      <c r="D679" s="8">
        <v>1.45</v>
      </c>
      <c r="E679" s="4">
        <v>0</v>
      </c>
      <c r="F679" s="8">
        <v>0</v>
      </c>
      <c r="G679" s="4">
        <v>1</v>
      </c>
      <c r="H679" s="8">
        <v>3.33</v>
      </c>
      <c r="I679" s="4">
        <v>0</v>
      </c>
    </row>
    <row r="680" spans="1:9" x14ac:dyDescent="0.2">
      <c r="A680" s="2">
        <v>13</v>
      </c>
      <c r="B680" s="1" t="s">
        <v>254</v>
      </c>
      <c r="C680" s="4">
        <v>1</v>
      </c>
      <c r="D680" s="8">
        <v>1.45</v>
      </c>
      <c r="E680" s="4">
        <v>1</v>
      </c>
      <c r="F680" s="8">
        <v>2.7</v>
      </c>
      <c r="G680" s="4">
        <v>0</v>
      </c>
      <c r="H680" s="8">
        <v>0</v>
      </c>
      <c r="I680" s="4">
        <v>0</v>
      </c>
    </row>
    <row r="681" spans="1:9" x14ac:dyDescent="0.2">
      <c r="A681" s="2">
        <v>13</v>
      </c>
      <c r="B681" s="1" t="s">
        <v>255</v>
      </c>
      <c r="C681" s="4">
        <v>1</v>
      </c>
      <c r="D681" s="8">
        <v>1.45</v>
      </c>
      <c r="E681" s="4">
        <v>0</v>
      </c>
      <c r="F681" s="8">
        <v>0</v>
      </c>
      <c r="G681" s="4">
        <v>0</v>
      </c>
      <c r="H681" s="8">
        <v>0</v>
      </c>
      <c r="I681" s="4">
        <v>0</v>
      </c>
    </row>
    <row r="682" spans="1:9" x14ac:dyDescent="0.2">
      <c r="A682" s="2">
        <v>13</v>
      </c>
      <c r="B682" s="1" t="s">
        <v>256</v>
      </c>
      <c r="C682" s="4">
        <v>1</v>
      </c>
      <c r="D682" s="8">
        <v>1.45</v>
      </c>
      <c r="E682" s="4">
        <v>0</v>
      </c>
      <c r="F682" s="8">
        <v>0</v>
      </c>
      <c r="G682" s="4">
        <v>1</v>
      </c>
      <c r="H682" s="8">
        <v>3.33</v>
      </c>
      <c r="I682" s="4">
        <v>0</v>
      </c>
    </row>
    <row r="683" spans="1:9" x14ac:dyDescent="0.2">
      <c r="A683" s="2">
        <v>13</v>
      </c>
      <c r="B683" s="1" t="s">
        <v>257</v>
      </c>
      <c r="C683" s="4">
        <v>1</v>
      </c>
      <c r="D683" s="8">
        <v>1.45</v>
      </c>
      <c r="E683" s="4">
        <v>1</v>
      </c>
      <c r="F683" s="8">
        <v>2.7</v>
      </c>
      <c r="G683" s="4">
        <v>0</v>
      </c>
      <c r="H683" s="8">
        <v>0</v>
      </c>
      <c r="I683" s="4">
        <v>0</v>
      </c>
    </row>
    <row r="684" spans="1:9" x14ac:dyDescent="0.2">
      <c r="A684" s="2">
        <v>13</v>
      </c>
      <c r="B684" s="1" t="s">
        <v>165</v>
      </c>
      <c r="C684" s="4">
        <v>1</v>
      </c>
      <c r="D684" s="8">
        <v>1.45</v>
      </c>
      <c r="E684" s="4">
        <v>0</v>
      </c>
      <c r="F684" s="8">
        <v>0</v>
      </c>
      <c r="G684" s="4">
        <v>1</v>
      </c>
      <c r="H684" s="8">
        <v>3.33</v>
      </c>
      <c r="I684" s="4">
        <v>0</v>
      </c>
    </row>
    <row r="685" spans="1:9" x14ac:dyDescent="0.2">
      <c r="A685" s="2">
        <v>13</v>
      </c>
      <c r="B685" s="1" t="s">
        <v>208</v>
      </c>
      <c r="C685" s="4">
        <v>1</v>
      </c>
      <c r="D685" s="8">
        <v>1.45</v>
      </c>
      <c r="E685" s="4">
        <v>0</v>
      </c>
      <c r="F685" s="8">
        <v>0</v>
      </c>
      <c r="G685" s="4">
        <v>1</v>
      </c>
      <c r="H685" s="8">
        <v>3.33</v>
      </c>
      <c r="I685" s="4">
        <v>0</v>
      </c>
    </row>
    <row r="686" spans="1:9" x14ac:dyDescent="0.2">
      <c r="A686" s="2">
        <v>13</v>
      </c>
      <c r="B686" s="1" t="s">
        <v>166</v>
      </c>
      <c r="C686" s="4">
        <v>1</v>
      </c>
      <c r="D686" s="8">
        <v>1.45</v>
      </c>
      <c r="E686" s="4">
        <v>1</v>
      </c>
      <c r="F686" s="8">
        <v>2.7</v>
      </c>
      <c r="G686" s="4">
        <v>0</v>
      </c>
      <c r="H686" s="8">
        <v>0</v>
      </c>
      <c r="I686" s="4">
        <v>0</v>
      </c>
    </row>
    <row r="687" spans="1:9" x14ac:dyDescent="0.2">
      <c r="A687" s="2">
        <v>13</v>
      </c>
      <c r="B687" s="1" t="s">
        <v>258</v>
      </c>
      <c r="C687" s="4">
        <v>1</v>
      </c>
      <c r="D687" s="8">
        <v>1.45</v>
      </c>
      <c r="E687" s="4">
        <v>0</v>
      </c>
      <c r="F687" s="8">
        <v>0</v>
      </c>
      <c r="G687" s="4">
        <v>1</v>
      </c>
      <c r="H687" s="8">
        <v>3.33</v>
      </c>
      <c r="I687" s="4">
        <v>0</v>
      </c>
    </row>
    <row r="688" spans="1:9" x14ac:dyDescent="0.2">
      <c r="A688" s="2">
        <v>13</v>
      </c>
      <c r="B688" s="1" t="s">
        <v>259</v>
      </c>
      <c r="C688" s="4">
        <v>1</v>
      </c>
      <c r="D688" s="8">
        <v>1.45</v>
      </c>
      <c r="E688" s="4">
        <v>1</v>
      </c>
      <c r="F688" s="8">
        <v>2.7</v>
      </c>
      <c r="G688" s="4">
        <v>0</v>
      </c>
      <c r="H688" s="8">
        <v>0</v>
      </c>
      <c r="I688" s="4">
        <v>0</v>
      </c>
    </row>
    <row r="689" spans="1:9" x14ac:dyDescent="0.2">
      <c r="A689" s="2">
        <v>13</v>
      </c>
      <c r="B689" s="1" t="s">
        <v>169</v>
      </c>
      <c r="C689" s="4">
        <v>1</v>
      </c>
      <c r="D689" s="8">
        <v>1.45</v>
      </c>
      <c r="E689" s="4">
        <v>0</v>
      </c>
      <c r="F689" s="8">
        <v>0</v>
      </c>
      <c r="G689" s="4">
        <v>1</v>
      </c>
      <c r="H689" s="8">
        <v>3.33</v>
      </c>
      <c r="I689" s="4">
        <v>0</v>
      </c>
    </row>
    <row r="690" spans="1:9" x14ac:dyDescent="0.2">
      <c r="A690" s="2">
        <v>13</v>
      </c>
      <c r="B690" s="1" t="s">
        <v>216</v>
      </c>
      <c r="C690" s="4">
        <v>1</v>
      </c>
      <c r="D690" s="8">
        <v>1.45</v>
      </c>
      <c r="E690" s="4">
        <v>1</v>
      </c>
      <c r="F690" s="8">
        <v>2.7</v>
      </c>
      <c r="G690" s="4">
        <v>0</v>
      </c>
      <c r="H690" s="8">
        <v>0</v>
      </c>
      <c r="I690" s="4">
        <v>0</v>
      </c>
    </row>
    <row r="691" spans="1:9" x14ac:dyDescent="0.2">
      <c r="A691" s="2">
        <v>13</v>
      </c>
      <c r="B691" s="1" t="s">
        <v>171</v>
      </c>
      <c r="C691" s="4">
        <v>1</v>
      </c>
      <c r="D691" s="8">
        <v>1.45</v>
      </c>
      <c r="E691" s="4">
        <v>1</v>
      </c>
      <c r="F691" s="8">
        <v>2.7</v>
      </c>
      <c r="G691" s="4">
        <v>0</v>
      </c>
      <c r="H691" s="8">
        <v>0</v>
      </c>
      <c r="I691" s="4">
        <v>0</v>
      </c>
    </row>
    <row r="692" spans="1:9" x14ac:dyDescent="0.2">
      <c r="A692" s="2">
        <v>13</v>
      </c>
      <c r="B692" s="1" t="s">
        <v>182</v>
      </c>
      <c r="C692" s="4">
        <v>1</v>
      </c>
      <c r="D692" s="8">
        <v>1.45</v>
      </c>
      <c r="E692" s="4">
        <v>1</v>
      </c>
      <c r="F692" s="8">
        <v>2.7</v>
      </c>
      <c r="G692" s="4">
        <v>0</v>
      </c>
      <c r="H692" s="8">
        <v>0</v>
      </c>
      <c r="I692" s="4">
        <v>0</v>
      </c>
    </row>
    <row r="693" spans="1:9" x14ac:dyDescent="0.2">
      <c r="A693" s="2">
        <v>13</v>
      </c>
      <c r="B693" s="1" t="s">
        <v>228</v>
      </c>
      <c r="C693" s="4">
        <v>1</v>
      </c>
      <c r="D693" s="8">
        <v>1.45</v>
      </c>
      <c r="E693" s="4">
        <v>0</v>
      </c>
      <c r="F693" s="8">
        <v>0</v>
      </c>
      <c r="G693" s="4">
        <v>1</v>
      </c>
      <c r="H693" s="8">
        <v>3.33</v>
      </c>
      <c r="I693" s="4">
        <v>0</v>
      </c>
    </row>
    <row r="694" spans="1:9" x14ac:dyDescent="0.2">
      <c r="A694" s="2">
        <v>13</v>
      </c>
      <c r="B694" s="1" t="s">
        <v>175</v>
      </c>
      <c r="C694" s="4">
        <v>1</v>
      </c>
      <c r="D694" s="8">
        <v>1.45</v>
      </c>
      <c r="E694" s="4">
        <v>1</v>
      </c>
      <c r="F694" s="8">
        <v>2.7</v>
      </c>
      <c r="G694" s="4">
        <v>0</v>
      </c>
      <c r="H694" s="8">
        <v>0</v>
      </c>
      <c r="I694" s="4">
        <v>0</v>
      </c>
    </row>
    <row r="695" spans="1:9" x14ac:dyDescent="0.2">
      <c r="A695" s="2">
        <v>13</v>
      </c>
      <c r="B695" s="1" t="s">
        <v>176</v>
      </c>
      <c r="C695" s="4">
        <v>1</v>
      </c>
      <c r="D695" s="8">
        <v>1.45</v>
      </c>
      <c r="E695" s="4">
        <v>1</v>
      </c>
      <c r="F695" s="8">
        <v>2.7</v>
      </c>
      <c r="G695" s="4">
        <v>0</v>
      </c>
      <c r="H695" s="8">
        <v>0</v>
      </c>
      <c r="I695" s="4">
        <v>0</v>
      </c>
    </row>
    <row r="696" spans="1:9" x14ac:dyDescent="0.2">
      <c r="A696" s="2">
        <v>13</v>
      </c>
      <c r="B696" s="1" t="s">
        <v>261</v>
      </c>
      <c r="C696" s="4">
        <v>1</v>
      </c>
      <c r="D696" s="8">
        <v>1.45</v>
      </c>
      <c r="E696" s="4">
        <v>0</v>
      </c>
      <c r="F696" s="8">
        <v>0</v>
      </c>
      <c r="G696" s="4">
        <v>1</v>
      </c>
      <c r="H696" s="8">
        <v>3.33</v>
      </c>
      <c r="I696" s="4">
        <v>0</v>
      </c>
    </row>
    <row r="697" spans="1:9" x14ac:dyDescent="0.2">
      <c r="A697" s="1"/>
      <c r="C697" s="4"/>
      <c r="D697" s="8"/>
      <c r="E697" s="4"/>
      <c r="F697" s="8"/>
      <c r="G697" s="4"/>
      <c r="H697" s="8"/>
      <c r="I697" s="4"/>
    </row>
    <row r="698" spans="1:9" x14ac:dyDescent="0.2">
      <c r="A698" s="1" t="s">
        <v>27</v>
      </c>
      <c r="C698" s="4"/>
      <c r="D698" s="8"/>
      <c r="E698" s="4"/>
      <c r="F698" s="8"/>
      <c r="G698" s="4"/>
      <c r="H698" s="8"/>
      <c r="I698" s="4"/>
    </row>
    <row r="699" spans="1:9" x14ac:dyDescent="0.2">
      <c r="A699" s="2">
        <v>1</v>
      </c>
      <c r="B699" s="1" t="s">
        <v>215</v>
      </c>
      <c r="C699" s="4">
        <v>40</v>
      </c>
      <c r="D699" s="8">
        <v>8.3699999999999992</v>
      </c>
      <c r="E699" s="4">
        <v>31</v>
      </c>
      <c r="F699" s="8">
        <v>11.79</v>
      </c>
      <c r="G699" s="4">
        <v>9</v>
      </c>
      <c r="H699" s="8">
        <v>4.33</v>
      </c>
      <c r="I699" s="4">
        <v>0</v>
      </c>
    </row>
    <row r="700" spans="1:9" x14ac:dyDescent="0.2">
      <c r="A700" s="2">
        <v>2</v>
      </c>
      <c r="B700" s="1" t="s">
        <v>174</v>
      </c>
      <c r="C700" s="4">
        <v>22</v>
      </c>
      <c r="D700" s="8">
        <v>4.5999999999999996</v>
      </c>
      <c r="E700" s="4">
        <v>22</v>
      </c>
      <c r="F700" s="8">
        <v>8.3699999999999992</v>
      </c>
      <c r="G700" s="4">
        <v>0</v>
      </c>
      <c r="H700" s="8">
        <v>0</v>
      </c>
      <c r="I700" s="4">
        <v>0</v>
      </c>
    </row>
    <row r="701" spans="1:9" x14ac:dyDescent="0.2">
      <c r="A701" s="2">
        <v>3</v>
      </c>
      <c r="B701" s="1" t="s">
        <v>173</v>
      </c>
      <c r="C701" s="4">
        <v>17</v>
      </c>
      <c r="D701" s="8">
        <v>3.56</v>
      </c>
      <c r="E701" s="4">
        <v>16</v>
      </c>
      <c r="F701" s="8">
        <v>6.08</v>
      </c>
      <c r="G701" s="4">
        <v>1</v>
      </c>
      <c r="H701" s="8">
        <v>0.48</v>
      </c>
      <c r="I701" s="4">
        <v>0</v>
      </c>
    </row>
    <row r="702" spans="1:9" x14ac:dyDescent="0.2">
      <c r="A702" s="2">
        <v>4</v>
      </c>
      <c r="B702" s="1" t="s">
        <v>159</v>
      </c>
      <c r="C702" s="4">
        <v>14</v>
      </c>
      <c r="D702" s="8">
        <v>2.93</v>
      </c>
      <c r="E702" s="4">
        <v>5</v>
      </c>
      <c r="F702" s="8">
        <v>1.9</v>
      </c>
      <c r="G702" s="4">
        <v>9</v>
      </c>
      <c r="H702" s="8">
        <v>4.33</v>
      </c>
      <c r="I702" s="4">
        <v>0</v>
      </c>
    </row>
    <row r="703" spans="1:9" x14ac:dyDescent="0.2">
      <c r="A703" s="2">
        <v>4</v>
      </c>
      <c r="B703" s="1" t="s">
        <v>175</v>
      </c>
      <c r="C703" s="4">
        <v>14</v>
      </c>
      <c r="D703" s="8">
        <v>2.93</v>
      </c>
      <c r="E703" s="4">
        <v>11</v>
      </c>
      <c r="F703" s="8">
        <v>4.18</v>
      </c>
      <c r="G703" s="4">
        <v>3</v>
      </c>
      <c r="H703" s="8">
        <v>1.44</v>
      </c>
      <c r="I703" s="4">
        <v>0</v>
      </c>
    </row>
    <row r="704" spans="1:9" x14ac:dyDescent="0.2">
      <c r="A704" s="2">
        <v>6</v>
      </c>
      <c r="B704" s="1" t="s">
        <v>170</v>
      </c>
      <c r="C704" s="4">
        <v>13</v>
      </c>
      <c r="D704" s="8">
        <v>2.72</v>
      </c>
      <c r="E704" s="4">
        <v>8</v>
      </c>
      <c r="F704" s="8">
        <v>3.04</v>
      </c>
      <c r="G704" s="4">
        <v>5</v>
      </c>
      <c r="H704" s="8">
        <v>2.4</v>
      </c>
      <c r="I704" s="4">
        <v>0</v>
      </c>
    </row>
    <row r="705" spans="1:9" x14ac:dyDescent="0.2">
      <c r="A705" s="2">
        <v>7</v>
      </c>
      <c r="B705" s="1" t="s">
        <v>158</v>
      </c>
      <c r="C705" s="4">
        <v>12</v>
      </c>
      <c r="D705" s="8">
        <v>2.5099999999999998</v>
      </c>
      <c r="E705" s="4">
        <v>2</v>
      </c>
      <c r="F705" s="8">
        <v>0.76</v>
      </c>
      <c r="G705" s="4">
        <v>10</v>
      </c>
      <c r="H705" s="8">
        <v>4.8099999999999996</v>
      </c>
      <c r="I705" s="4">
        <v>0</v>
      </c>
    </row>
    <row r="706" spans="1:9" x14ac:dyDescent="0.2">
      <c r="A706" s="2">
        <v>7</v>
      </c>
      <c r="B706" s="1" t="s">
        <v>181</v>
      </c>
      <c r="C706" s="4">
        <v>12</v>
      </c>
      <c r="D706" s="8">
        <v>2.5099999999999998</v>
      </c>
      <c r="E706" s="4">
        <v>11</v>
      </c>
      <c r="F706" s="8">
        <v>4.18</v>
      </c>
      <c r="G706" s="4">
        <v>1</v>
      </c>
      <c r="H706" s="8">
        <v>0.48</v>
      </c>
      <c r="I706" s="4">
        <v>0</v>
      </c>
    </row>
    <row r="707" spans="1:9" x14ac:dyDescent="0.2">
      <c r="A707" s="2">
        <v>9</v>
      </c>
      <c r="B707" s="1" t="s">
        <v>185</v>
      </c>
      <c r="C707" s="4">
        <v>11</v>
      </c>
      <c r="D707" s="8">
        <v>2.2999999999999998</v>
      </c>
      <c r="E707" s="4">
        <v>0</v>
      </c>
      <c r="F707" s="8">
        <v>0</v>
      </c>
      <c r="G707" s="4">
        <v>11</v>
      </c>
      <c r="H707" s="8">
        <v>5.29</v>
      </c>
      <c r="I707" s="4">
        <v>0</v>
      </c>
    </row>
    <row r="708" spans="1:9" x14ac:dyDescent="0.2">
      <c r="A708" s="2">
        <v>10</v>
      </c>
      <c r="B708" s="1" t="s">
        <v>216</v>
      </c>
      <c r="C708" s="4">
        <v>10</v>
      </c>
      <c r="D708" s="8">
        <v>2.09</v>
      </c>
      <c r="E708" s="4">
        <v>6</v>
      </c>
      <c r="F708" s="8">
        <v>2.2799999999999998</v>
      </c>
      <c r="G708" s="4">
        <v>4</v>
      </c>
      <c r="H708" s="8">
        <v>1.92</v>
      </c>
      <c r="I708" s="4">
        <v>0</v>
      </c>
    </row>
    <row r="709" spans="1:9" x14ac:dyDescent="0.2">
      <c r="A709" s="2">
        <v>11</v>
      </c>
      <c r="B709" s="1" t="s">
        <v>163</v>
      </c>
      <c r="C709" s="4">
        <v>9</v>
      </c>
      <c r="D709" s="8">
        <v>1.88</v>
      </c>
      <c r="E709" s="4">
        <v>6</v>
      </c>
      <c r="F709" s="8">
        <v>2.2799999999999998</v>
      </c>
      <c r="G709" s="4">
        <v>3</v>
      </c>
      <c r="H709" s="8">
        <v>1.44</v>
      </c>
      <c r="I709" s="4">
        <v>0</v>
      </c>
    </row>
    <row r="710" spans="1:9" x14ac:dyDescent="0.2">
      <c r="A710" s="2">
        <v>11</v>
      </c>
      <c r="B710" s="1" t="s">
        <v>176</v>
      </c>
      <c r="C710" s="4">
        <v>9</v>
      </c>
      <c r="D710" s="8">
        <v>1.88</v>
      </c>
      <c r="E710" s="4">
        <v>9</v>
      </c>
      <c r="F710" s="8">
        <v>3.42</v>
      </c>
      <c r="G710" s="4">
        <v>0</v>
      </c>
      <c r="H710" s="8">
        <v>0</v>
      </c>
      <c r="I710" s="4">
        <v>0</v>
      </c>
    </row>
    <row r="711" spans="1:9" x14ac:dyDescent="0.2">
      <c r="A711" s="2">
        <v>13</v>
      </c>
      <c r="B711" s="1" t="s">
        <v>162</v>
      </c>
      <c r="C711" s="4">
        <v>8</v>
      </c>
      <c r="D711" s="8">
        <v>1.67</v>
      </c>
      <c r="E711" s="4">
        <v>2</v>
      </c>
      <c r="F711" s="8">
        <v>0.76</v>
      </c>
      <c r="G711" s="4">
        <v>6</v>
      </c>
      <c r="H711" s="8">
        <v>2.88</v>
      </c>
      <c r="I711" s="4">
        <v>0</v>
      </c>
    </row>
    <row r="712" spans="1:9" x14ac:dyDescent="0.2">
      <c r="A712" s="2">
        <v>13</v>
      </c>
      <c r="B712" s="1" t="s">
        <v>190</v>
      </c>
      <c r="C712" s="4">
        <v>8</v>
      </c>
      <c r="D712" s="8">
        <v>1.67</v>
      </c>
      <c r="E712" s="4">
        <v>5</v>
      </c>
      <c r="F712" s="8">
        <v>1.9</v>
      </c>
      <c r="G712" s="4">
        <v>3</v>
      </c>
      <c r="H712" s="8">
        <v>1.44</v>
      </c>
      <c r="I712" s="4">
        <v>0</v>
      </c>
    </row>
    <row r="713" spans="1:9" x14ac:dyDescent="0.2">
      <c r="A713" s="2">
        <v>13</v>
      </c>
      <c r="B713" s="1" t="s">
        <v>191</v>
      </c>
      <c r="C713" s="4">
        <v>8</v>
      </c>
      <c r="D713" s="8">
        <v>1.67</v>
      </c>
      <c r="E713" s="4">
        <v>6</v>
      </c>
      <c r="F713" s="8">
        <v>2.2799999999999998</v>
      </c>
      <c r="G713" s="4">
        <v>2</v>
      </c>
      <c r="H713" s="8">
        <v>0.96</v>
      </c>
      <c r="I713" s="4">
        <v>0</v>
      </c>
    </row>
    <row r="714" spans="1:9" x14ac:dyDescent="0.2">
      <c r="A714" s="2">
        <v>13</v>
      </c>
      <c r="B714" s="1" t="s">
        <v>177</v>
      </c>
      <c r="C714" s="4">
        <v>8</v>
      </c>
      <c r="D714" s="8">
        <v>1.67</v>
      </c>
      <c r="E714" s="4">
        <v>4</v>
      </c>
      <c r="F714" s="8">
        <v>1.52</v>
      </c>
      <c r="G714" s="4">
        <v>4</v>
      </c>
      <c r="H714" s="8">
        <v>1.92</v>
      </c>
      <c r="I714" s="4">
        <v>0</v>
      </c>
    </row>
    <row r="715" spans="1:9" x14ac:dyDescent="0.2">
      <c r="A715" s="2">
        <v>17</v>
      </c>
      <c r="B715" s="1" t="s">
        <v>161</v>
      </c>
      <c r="C715" s="4">
        <v>7</v>
      </c>
      <c r="D715" s="8">
        <v>1.46</v>
      </c>
      <c r="E715" s="4">
        <v>2</v>
      </c>
      <c r="F715" s="8">
        <v>0.76</v>
      </c>
      <c r="G715" s="4">
        <v>5</v>
      </c>
      <c r="H715" s="8">
        <v>2.4</v>
      </c>
      <c r="I715" s="4">
        <v>0</v>
      </c>
    </row>
    <row r="716" spans="1:9" x14ac:dyDescent="0.2">
      <c r="A716" s="2">
        <v>17</v>
      </c>
      <c r="B716" s="1" t="s">
        <v>205</v>
      </c>
      <c r="C716" s="4">
        <v>7</v>
      </c>
      <c r="D716" s="8">
        <v>1.46</v>
      </c>
      <c r="E716" s="4">
        <v>0</v>
      </c>
      <c r="F716" s="8">
        <v>0</v>
      </c>
      <c r="G716" s="4">
        <v>7</v>
      </c>
      <c r="H716" s="8">
        <v>3.37</v>
      </c>
      <c r="I716" s="4">
        <v>0</v>
      </c>
    </row>
    <row r="717" spans="1:9" x14ac:dyDescent="0.2">
      <c r="A717" s="2">
        <v>17</v>
      </c>
      <c r="B717" s="1" t="s">
        <v>186</v>
      </c>
      <c r="C717" s="4">
        <v>7</v>
      </c>
      <c r="D717" s="8">
        <v>1.46</v>
      </c>
      <c r="E717" s="4">
        <v>0</v>
      </c>
      <c r="F717" s="8">
        <v>0</v>
      </c>
      <c r="G717" s="4">
        <v>7</v>
      </c>
      <c r="H717" s="8">
        <v>3.37</v>
      </c>
      <c r="I717" s="4">
        <v>0</v>
      </c>
    </row>
    <row r="718" spans="1:9" x14ac:dyDescent="0.2">
      <c r="A718" s="2">
        <v>17</v>
      </c>
      <c r="B718" s="1" t="s">
        <v>197</v>
      </c>
      <c r="C718" s="4">
        <v>7</v>
      </c>
      <c r="D718" s="8">
        <v>1.46</v>
      </c>
      <c r="E718" s="4">
        <v>0</v>
      </c>
      <c r="F718" s="8">
        <v>0</v>
      </c>
      <c r="G718" s="4">
        <v>2</v>
      </c>
      <c r="H718" s="8">
        <v>0.96</v>
      </c>
      <c r="I718" s="4">
        <v>0</v>
      </c>
    </row>
    <row r="719" spans="1:9" x14ac:dyDescent="0.2">
      <c r="A719" s="1"/>
      <c r="C719" s="4"/>
      <c r="D719" s="8"/>
      <c r="E719" s="4"/>
      <c r="F719" s="8"/>
      <c r="G719" s="4"/>
      <c r="H719" s="8"/>
      <c r="I719" s="4"/>
    </row>
    <row r="720" spans="1:9" x14ac:dyDescent="0.2">
      <c r="A720" s="1" t="s">
        <v>28</v>
      </c>
      <c r="C720" s="4"/>
      <c r="D720" s="8"/>
      <c r="E720" s="4"/>
      <c r="F720" s="8"/>
      <c r="G720" s="4"/>
      <c r="H720" s="8"/>
      <c r="I720" s="4"/>
    </row>
    <row r="721" spans="1:9" x14ac:dyDescent="0.2">
      <c r="A721" s="2">
        <v>1</v>
      </c>
      <c r="B721" s="1" t="s">
        <v>174</v>
      </c>
      <c r="C721" s="4">
        <v>26</v>
      </c>
      <c r="D721" s="8">
        <v>5.15</v>
      </c>
      <c r="E721" s="4">
        <v>24</v>
      </c>
      <c r="F721" s="8">
        <v>7.27</v>
      </c>
      <c r="G721" s="4">
        <v>2</v>
      </c>
      <c r="H721" s="8">
        <v>1.2</v>
      </c>
      <c r="I721" s="4">
        <v>0</v>
      </c>
    </row>
    <row r="722" spans="1:9" x14ac:dyDescent="0.2">
      <c r="A722" s="2">
        <v>2</v>
      </c>
      <c r="B722" s="1" t="s">
        <v>173</v>
      </c>
      <c r="C722" s="4">
        <v>22</v>
      </c>
      <c r="D722" s="8">
        <v>4.3600000000000003</v>
      </c>
      <c r="E722" s="4">
        <v>22</v>
      </c>
      <c r="F722" s="8">
        <v>6.67</v>
      </c>
      <c r="G722" s="4">
        <v>0</v>
      </c>
      <c r="H722" s="8">
        <v>0</v>
      </c>
      <c r="I722" s="4">
        <v>0</v>
      </c>
    </row>
    <row r="723" spans="1:9" x14ac:dyDescent="0.2">
      <c r="A723" s="2">
        <v>3</v>
      </c>
      <c r="B723" s="1" t="s">
        <v>172</v>
      </c>
      <c r="C723" s="4">
        <v>20</v>
      </c>
      <c r="D723" s="8">
        <v>3.96</v>
      </c>
      <c r="E723" s="4">
        <v>19</v>
      </c>
      <c r="F723" s="8">
        <v>5.76</v>
      </c>
      <c r="G723" s="4">
        <v>1</v>
      </c>
      <c r="H723" s="8">
        <v>0.6</v>
      </c>
      <c r="I723" s="4">
        <v>0</v>
      </c>
    </row>
    <row r="724" spans="1:9" x14ac:dyDescent="0.2">
      <c r="A724" s="2">
        <v>4</v>
      </c>
      <c r="B724" s="1" t="s">
        <v>168</v>
      </c>
      <c r="C724" s="4">
        <v>19</v>
      </c>
      <c r="D724" s="8">
        <v>3.76</v>
      </c>
      <c r="E724" s="4">
        <v>18</v>
      </c>
      <c r="F724" s="8">
        <v>5.45</v>
      </c>
      <c r="G724" s="4">
        <v>1</v>
      </c>
      <c r="H724" s="8">
        <v>0.6</v>
      </c>
      <c r="I724" s="4">
        <v>0</v>
      </c>
    </row>
    <row r="725" spans="1:9" x14ac:dyDescent="0.2">
      <c r="A725" s="2">
        <v>5</v>
      </c>
      <c r="B725" s="1" t="s">
        <v>171</v>
      </c>
      <c r="C725" s="4">
        <v>16</v>
      </c>
      <c r="D725" s="8">
        <v>3.17</v>
      </c>
      <c r="E725" s="4">
        <v>15</v>
      </c>
      <c r="F725" s="8">
        <v>4.55</v>
      </c>
      <c r="G725" s="4">
        <v>1</v>
      </c>
      <c r="H725" s="8">
        <v>0.6</v>
      </c>
      <c r="I725" s="4">
        <v>0</v>
      </c>
    </row>
    <row r="726" spans="1:9" x14ac:dyDescent="0.2">
      <c r="A726" s="2">
        <v>6</v>
      </c>
      <c r="B726" s="1" t="s">
        <v>158</v>
      </c>
      <c r="C726" s="4">
        <v>15</v>
      </c>
      <c r="D726" s="8">
        <v>2.97</v>
      </c>
      <c r="E726" s="4">
        <v>4</v>
      </c>
      <c r="F726" s="8">
        <v>1.21</v>
      </c>
      <c r="G726" s="4">
        <v>11</v>
      </c>
      <c r="H726" s="8">
        <v>6.63</v>
      </c>
      <c r="I726" s="4">
        <v>0</v>
      </c>
    </row>
    <row r="727" spans="1:9" x14ac:dyDescent="0.2">
      <c r="A727" s="2">
        <v>7</v>
      </c>
      <c r="B727" s="1" t="s">
        <v>166</v>
      </c>
      <c r="C727" s="4">
        <v>13</v>
      </c>
      <c r="D727" s="8">
        <v>2.57</v>
      </c>
      <c r="E727" s="4">
        <v>12</v>
      </c>
      <c r="F727" s="8">
        <v>3.64</v>
      </c>
      <c r="G727" s="4">
        <v>1</v>
      </c>
      <c r="H727" s="8">
        <v>0.6</v>
      </c>
      <c r="I727" s="4">
        <v>0</v>
      </c>
    </row>
    <row r="728" spans="1:9" x14ac:dyDescent="0.2">
      <c r="A728" s="2">
        <v>7</v>
      </c>
      <c r="B728" s="1" t="s">
        <v>170</v>
      </c>
      <c r="C728" s="4">
        <v>13</v>
      </c>
      <c r="D728" s="8">
        <v>2.57</v>
      </c>
      <c r="E728" s="4">
        <v>12</v>
      </c>
      <c r="F728" s="8">
        <v>3.64</v>
      </c>
      <c r="G728" s="4">
        <v>1</v>
      </c>
      <c r="H728" s="8">
        <v>0.6</v>
      </c>
      <c r="I728" s="4">
        <v>0</v>
      </c>
    </row>
    <row r="729" spans="1:9" x14ac:dyDescent="0.2">
      <c r="A729" s="2">
        <v>9</v>
      </c>
      <c r="B729" s="1" t="s">
        <v>163</v>
      </c>
      <c r="C729" s="4">
        <v>11</v>
      </c>
      <c r="D729" s="8">
        <v>2.1800000000000002</v>
      </c>
      <c r="E729" s="4">
        <v>7</v>
      </c>
      <c r="F729" s="8">
        <v>2.12</v>
      </c>
      <c r="G729" s="4">
        <v>4</v>
      </c>
      <c r="H729" s="8">
        <v>2.41</v>
      </c>
      <c r="I729" s="4">
        <v>0</v>
      </c>
    </row>
    <row r="730" spans="1:9" x14ac:dyDescent="0.2">
      <c r="A730" s="2">
        <v>10</v>
      </c>
      <c r="B730" s="1" t="s">
        <v>201</v>
      </c>
      <c r="C730" s="4">
        <v>10</v>
      </c>
      <c r="D730" s="8">
        <v>1.98</v>
      </c>
      <c r="E730" s="4">
        <v>8</v>
      </c>
      <c r="F730" s="8">
        <v>2.42</v>
      </c>
      <c r="G730" s="4">
        <v>2</v>
      </c>
      <c r="H730" s="8">
        <v>1.2</v>
      </c>
      <c r="I730" s="4">
        <v>0</v>
      </c>
    </row>
    <row r="731" spans="1:9" x14ac:dyDescent="0.2">
      <c r="A731" s="2">
        <v>10</v>
      </c>
      <c r="B731" s="1" t="s">
        <v>210</v>
      </c>
      <c r="C731" s="4">
        <v>10</v>
      </c>
      <c r="D731" s="8">
        <v>1.98</v>
      </c>
      <c r="E731" s="4">
        <v>8</v>
      </c>
      <c r="F731" s="8">
        <v>2.42</v>
      </c>
      <c r="G731" s="4">
        <v>2</v>
      </c>
      <c r="H731" s="8">
        <v>1.2</v>
      </c>
      <c r="I731" s="4">
        <v>0</v>
      </c>
    </row>
    <row r="732" spans="1:9" x14ac:dyDescent="0.2">
      <c r="A732" s="2">
        <v>10</v>
      </c>
      <c r="B732" s="1" t="s">
        <v>185</v>
      </c>
      <c r="C732" s="4">
        <v>10</v>
      </c>
      <c r="D732" s="8">
        <v>1.98</v>
      </c>
      <c r="E732" s="4">
        <v>2</v>
      </c>
      <c r="F732" s="8">
        <v>0.61</v>
      </c>
      <c r="G732" s="4">
        <v>8</v>
      </c>
      <c r="H732" s="8">
        <v>4.82</v>
      </c>
      <c r="I732" s="4">
        <v>0</v>
      </c>
    </row>
    <row r="733" spans="1:9" x14ac:dyDescent="0.2">
      <c r="A733" s="2">
        <v>10</v>
      </c>
      <c r="B733" s="1" t="s">
        <v>167</v>
      </c>
      <c r="C733" s="4">
        <v>10</v>
      </c>
      <c r="D733" s="8">
        <v>1.98</v>
      </c>
      <c r="E733" s="4">
        <v>4</v>
      </c>
      <c r="F733" s="8">
        <v>1.21</v>
      </c>
      <c r="G733" s="4">
        <v>6</v>
      </c>
      <c r="H733" s="8">
        <v>3.61</v>
      </c>
      <c r="I733" s="4">
        <v>0</v>
      </c>
    </row>
    <row r="734" spans="1:9" x14ac:dyDescent="0.2">
      <c r="A734" s="2">
        <v>14</v>
      </c>
      <c r="B734" s="1" t="s">
        <v>160</v>
      </c>
      <c r="C734" s="4">
        <v>9</v>
      </c>
      <c r="D734" s="8">
        <v>1.78</v>
      </c>
      <c r="E734" s="4">
        <v>6</v>
      </c>
      <c r="F734" s="8">
        <v>1.82</v>
      </c>
      <c r="G734" s="4">
        <v>3</v>
      </c>
      <c r="H734" s="8">
        <v>1.81</v>
      </c>
      <c r="I734" s="4">
        <v>0</v>
      </c>
    </row>
    <row r="735" spans="1:9" x14ac:dyDescent="0.2">
      <c r="A735" s="2">
        <v>14</v>
      </c>
      <c r="B735" s="1" t="s">
        <v>178</v>
      </c>
      <c r="C735" s="4">
        <v>9</v>
      </c>
      <c r="D735" s="8">
        <v>1.78</v>
      </c>
      <c r="E735" s="4">
        <v>9</v>
      </c>
      <c r="F735" s="8">
        <v>2.73</v>
      </c>
      <c r="G735" s="4">
        <v>0</v>
      </c>
      <c r="H735" s="8">
        <v>0</v>
      </c>
      <c r="I735" s="4">
        <v>0</v>
      </c>
    </row>
    <row r="736" spans="1:9" x14ac:dyDescent="0.2">
      <c r="A736" s="2">
        <v>16</v>
      </c>
      <c r="B736" s="1" t="s">
        <v>161</v>
      </c>
      <c r="C736" s="4">
        <v>8</v>
      </c>
      <c r="D736" s="8">
        <v>1.58</v>
      </c>
      <c r="E736" s="4">
        <v>3</v>
      </c>
      <c r="F736" s="8">
        <v>0.91</v>
      </c>
      <c r="G736" s="4">
        <v>5</v>
      </c>
      <c r="H736" s="8">
        <v>3.01</v>
      </c>
      <c r="I736" s="4">
        <v>0</v>
      </c>
    </row>
    <row r="737" spans="1:9" x14ac:dyDescent="0.2">
      <c r="A737" s="2">
        <v>16</v>
      </c>
      <c r="B737" s="1" t="s">
        <v>190</v>
      </c>
      <c r="C737" s="4">
        <v>8</v>
      </c>
      <c r="D737" s="8">
        <v>1.58</v>
      </c>
      <c r="E737" s="4">
        <v>8</v>
      </c>
      <c r="F737" s="8">
        <v>2.42</v>
      </c>
      <c r="G737" s="4">
        <v>0</v>
      </c>
      <c r="H737" s="8">
        <v>0</v>
      </c>
      <c r="I737" s="4">
        <v>0</v>
      </c>
    </row>
    <row r="738" spans="1:9" x14ac:dyDescent="0.2">
      <c r="A738" s="2">
        <v>16</v>
      </c>
      <c r="B738" s="1" t="s">
        <v>182</v>
      </c>
      <c r="C738" s="4">
        <v>8</v>
      </c>
      <c r="D738" s="8">
        <v>1.58</v>
      </c>
      <c r="E738" s="4">
        <v>3</v>
      </c>
      <c r="F738" s="8">
        <v>0.91</v>
      </c>
      <c r="G738" s="4">
        <v>5</v>
      </c>
      <c r="H738" s="8">
        <v>3.01</v>
      </c>
      <c r="I738" s="4">
        <v>0</v>
      </c>
    </row>
    <row r="739" spans="1:9" x14ac:dyDescent="0.2">
      <c r="A739" s="2">
        <v>16</v>
      </c>
      <c r="B739" s="1" t="s">
        <v>240</v>
      </c>
      <c r="C739" s="4">
        <v>8</v>
      </c>
      <c r="D739" s="8">
        <v>1.58</v>
      </c>
      <c r="E739" s="4">
        <v>0</v>
      </c>
      <c r="F739" s="8">
        <v>0</v>
      </c>
      <c r="G739" s="4">
        <v>1</v>
      </c>
      <c r="H739" s="8">
        <v>0.6</v>
      </c>
      <c r="I739" s="4">
        <v>0</v>
      </c>
    </row>
    <row r="740" spans="1:9" x14ac:dyDescent="0.2">
      <c r="A740" s="2">
        <v>20</v>
      </c>
      <c r="B740" s="1" t="s">
        <v>159</v>
      </c>
      <c r="C740" s="4">
        <v>7</v>
      </c>
      <c r="D740" s="8">
        <v>1.39</v>
      </c>
      <c r="E740" s="4">
        <v>3</v>
      </c>
      <c r="F740" s="8">
        <v>0.91</v>
      </c>
      <c r="G740" s="4">
        <v>4</v>
      </c>
      <c r="H740" s="8">
        <v>2.41</v>
      </c>
      <c r="I740" s="4">
        <v>0</v>
      </c>
    </row>
    <row r="741" spans="1:9" x14ac:dyDescent="0.2">
      <c r="A741" s="2">
        <v>20</v>
      </c>
      <c r="B741" s="1" t="s">
        <v>191</v>
      </c>
      <c r="C741" s="4">
        <v>7</v>
      </c>
      <c r="D741" s="8">
        <v>1.39</v>
      </c>
      <c r="E741" s="4">
        <v>6</v>
      </c>
      <c r="F741" s="8">
        <v>1.82</v>
      </c>
      <c r="G741" s="4">
        <v>1</v>
      </c>
      <c r="H741" s="8">
        <v>0.6</v>
      </c>
      <c r="I741" s="4">
        <v>0</v>
      </c>
    </row>
    <row r="742" spans="1:9" x14ac:dyDescent="0.2">
      <c r="A742" s="2">
        <v>20</v>
      </c>
      <c r="B742" s="1" t="s">
        <v>164</v>
      </c>
      <c r="C742" s="4">
        <v>7</v>
      </c>
      <c r="D742" s="8">
        <v>1.39</v>
      </c>
      <c r="E742" s="4">
        <v>4</v>
      </c>
      <c r="F742" s="8">
        <v>1.21</v>
      </c>
      <c r="G742" s="4">
        <v>3</v>
      </c>
      <c r="H742" s="8">
        <v>1.81</v>
      </c>
      <c r="I742" s="4">
        <v>0</v>
      </c>
    </row>
    <row r="743" spans="1:9" x14ac:dyDescent="0.2">
      <c r="A743" s="2">
        <v>20</v>
      </c>
      <c r="B743" s="1" t="s">
        <v>193</v>
      </c>
      <c r="C743" s="4">
        <v>7</v>
      </c>
      <c r="D743" s="8">
        <v>1.39</v>
      </c>
      <c r="E743" s="4">
        <v>3</v>
      </c>
      <c r="F743" s="8">
        <v>0.91</v>
      </c>
      <c r="G743" s="4">
        <v>4</v>
      </c>
      <c r="H743" s="8">
        <v>2.41</v>
      </c>
      <c r="I743" s="4">
        <v>0</v>
      </c>
    </row>
    <row r="744" spans="1:9" x14ac:dyDescent="0.2">
      <c r="A744" s="2">
        <v>20</v>
      </c>
      <c r="B744" s="1" t="s">
        <v>176</v>
      </c>
      <c r="C744" s="4">
        <v>7</v>
      </c>
      <c r="D744" s="8">
        <v>1.39</v>
      </c>
      <c r="E744" s="4">
        <v>7</v>
      </c>
      <c r="F744" s="8">
        <v>2.12</v>
      </c>
      <c r="G744" s="4">
        <v>0</v>
      </c>
      <c r="H744" s="8">
        <v>0</v>
      </c>
      <c r="I744" s="4">
        <v>0</v>
      </c>
    </row>
    <row r="745" spans="1:9" x14ac:dyDescent="0.2">
      <c r="A745" s="1"/>
      <c r="C745" s="4"/>
      <c r="D745" s="8"/>
      <c r="E745" s="4"/>
      <c r="F745" s="8"/>
      <c r="G745" s="4"/>
      <c r="H745" s="8"/>
      <c r="I745" s="4"/>
    </row>
    <row r="746" spans="1:9" x14ac:dyDescent="0.2">
      <c r="A746" s="1" t="s">
        <v>29</v>
      </c>
      <c r="C746" s="4"/>
      <c r="D746" s="8"/>
      <c r="E746" s="4"/>
      <c r="F746" s="8"/>
      <c r="G746" s="4"/>
      <c r="H746" s="8"/>
      <c r="I746" s="4"/>
    </row>
    <row r="747" spans="1:9" x14ac:dyDescent="0.2">
      <c r="A747" s="2">
        <v>1</v>
      </c>
      <c r="B747" s="1" t="s">
        <v>225</v>
      </c>
      <c r="C747" s="4">
        <v>4</v>
      </c>
      <c r="D747" s="8">
        <v>6.9</v>
      </c>
      <c r="E747" s="4">
        <v>1</v>
      </c>
      <c r="F747" s="8">
        <v>3.7</v>
      </c>
      <c r="G747" s="4">
        <v>3</v>
      </c>
      <c r="H747" s="8">
        <v>10.34</v>
      </c>
      <c r="I747" s="4">
        <v>0</v>
      </c>
    </row>
    <row r="748" spans="1:9" x14ac:dyDescent="0.2">
      <c r="A748" s="2">
        <v>2</v>
      </c>
      <c r="B748" s="1" t="s">
        <v>158</v>
      </c>
      <c r="C748" s="4">
        <v>3</v>
      </c>
      <c r="D748" s="8">
        <v>5.17</v>
      </c>
      <c r="E748" s="4">
        <v>0</v>
      </c>
      <c r="F748" s="8">
        <v>0</v>
      </c>
      <c r="G748" s="4">
        <v>3</v>
      </c>
      <c r="H748" s="8">
        <v>10.34</v>
      </c>
      <c r="I748" s="4">
        <v>0</v>
      </c>
    </row>
    <row r="749" spans="1:9" x14ac:dyDescent="0.2">
      <c r="A749" s="2">
        <v>2</v>
      </c>
      <c r="B749" s="1" t="s">
        <v>162</v>
      </c>
      <c r="C749" s="4">
        <v>3</v>
      </c>
      <c r="D749" s="8">
        <v>5.17</v>
      </c>
      <c r="E749" s="4">
        <v>1</v>
      </c>
      <c r="F749" s="8">
        <v>3.7</v>
      </c>
      <c r="G749" s="4">
        <v>2</v>
      </c>
      <c r="H749" s="8">
        <v>6.9</v>
      </c>
      <c r="I749" s="4">
        <v>0</v>
      </c>
    </row>
    <row r="750" spans="1:9" x14ac:dyDescent="0.2">
      <c r="A750" s="2">
        <v>2</v>
      </c>
      <c r="B750" s="1" t="s">
        <v>164</v>
      </c>
      <c r="C750" s="4">
        <v>3</v>
      </c>
      <c r="D750" s="8">
        <v>5.17</v>
      </c>
      <c r="E750" s="4">
        <v>1</v>
      </c>
      <c r="F750" s="8">
        <v>3.7</v>
      </c>
      <c r="G750" s="4">
        <v>2</v>
      </c>
      <c r="H750" s="8">
        <v>6.9</v>
      </c>
      <c r="I750" s="4">
        <v>0</v>
      </c>
    </row>
    <row r="751" spans="1:9" x14ac:dyDescent="0.2">
      <c r="A751" s="2">
        <v>2</v>
      </c>
      <c r="B751" s="1" t="s">
        <v>175</v>
      </c>
      <c r="C751" s="4">
        <v>3</v>
      </c>
      <c r="D751" s="8">
        <v>5.17</v>
      </c>
      <c r="E751" s="4">
        <v>3</v>
      </c>
      <c r="F751" s="8">
        <v>11.11</v>
      </c>
      <c r="G751" s="4">
        <v>0</v>
      </c>
      <c r="H751" s="8">
        <v>0</v>
      </c>
      <c r="I751" s="4">
        <v>0</v>
      </c>
    </row>
    <row r="752" spans="1:9" x14ac:dyDescent="0.2">
      <c r="A752" s="2">
        <v>6</v>
      </c>
      <c r="B752" s="1" t="s">
        <v>159</v>
      </c>
      <c r="C752" s="4">
        <v>2</v>
      </c>
      <c r="D752" s="8">
        <v>3.45</v>
      </c>
      <c r="E752" s="4">
        <v>0</v>
      </c>
      <c r="F752" s="8">
        <v>0</v>
      </c>
      <c r="G752" s="4">
        <v>2</v>
      </c>
      <c r="H752" s="8">
        <v>6.9</v>
      </c>
      <c r="I752" s="4">
        <v>0</v>
      </c>
    </row>
    <row r="753" spans="1:9" x14ac:dyDescent="0.2">
      <c r="A753" s="2">
        <v>6</v>
      </c>
      <c r="B753" s="1" t="s">
        <v>160</v>
      </c>
      <c r="C753" s="4">
        <v>2</v>
      </c>
      <c r="D753" s="8">
        <v>3.45</v>
      </c>
      <c r="E753" s="4">
        <v>1</v>
      </c>
      <c r="F753" s="8">
        <v>3.7</v>
      </c>
      <c r="G753" s="4">
        <v>1</v>
      </c>
      <c r="H753" s="8">
        <v>3.45</v>
      </c>
      <c r="I753" s="4">
        <v>0</v>
      </c>
    </row>
    <row r="754" spans="1:9" x14ac:dyDescent="0.2">
      <c r="A754" s="2">
        <v>6</v>
      </c>
      <c r="B754" s="1" t="s">
        <v>221</v>
      </c>
      <c r="C754" s="4">
        <v>2</v>
      </c>
      <c r="D754" s="8">
        <v>3.45</v>
      </c>
      <c r="E754" s="4">
        <v>1</v>
      </c>
      <c r="F754" s="8">
        <v>3.7</v>
      </c>
      <c r="G754" s="4">
        <v>1</v>
      </c>
      <c r="H754" s="8">
        <v>3.45</v>
      </c>
      <c r="I754" s="4">
        <v>0</v>
      </c>
    </row>
    <row r="755" spans="1:9" x14ac:dyDescent="0.2">
      <c r="A755" s="2">
        <v>6</v>
      </c>
      <c r="B755" s="1" t="s">
        <v>178</v>
      </c>
      <c r="C755" s="4">
        <v>2</v>
      </c>
      <c r="D755" s="8">
        <v>3.45</v>
      </c>
      <c r="E755" s="4">
        <v>2</v>
      </c>
      <c r="F755" s="8">
        <v>7.41</v>
      </c>
      <c r="G755" s="4">
        <v>0</v>
      </c>
      <c r="H755" s="8">
        <v>0</v>
      </c>
      <c r="I755" s="4">
        <v>0</v>
      </c>
    </row>
    <row r="756" spans="1:9" x14ac:dyDescent="0.2">
      <c r="A756" s="2">
        <v>6</v>
      </c>
      <c r="B756" s="1" t="s">
        <v>208</v>
      </c>
      <c r="C756" s="4">
        <v>2</v>
      </c>
      <c r="D756" s="8">
        <v>3.45</v>
      </c>
      <c r="E756" s="4">
        <v>1</v>
      </c>
      <c r="F756" s="8">
        <v>3.7</v>
      </c>
      <c r="G756" s="4">
        <v>1</v>
      </c>
      <c r="H756" s="8">
        <v>3.45</v>
      </c>
      <c r="I756" s="4">
        <v>0</v>
      </c>
    </row>
    <row r="757" spans="1:9" x14ac:dyDescent="0.2">
      <c r="A757" s="2">
        <v>6</v>
      </c>
      <c r="B757" s="1" t="s">
        <v>181</v>
      </c>
      <c r="C757" s="4">
        <v>2</v>
      </c>
      <c r="D757" s="8">
        <v>3.45</v>
      </c>
      <c r="E757" s="4">
        <v>1</v>
      </c>
      <c r="F757" s="8">
        <v>3.7</v>
      </c>
      <c r="G757" s="4">
        <v>1</v>
      </c>
      <c r="H757" s="8">
        <v>3.45</v>
      </c>
      <c r="I757" s="4">
        <v>0</v>
      </c>
    </row>
    <row r="758" spans="1:9" x14ac:dyDescent="0.2">
      <c r="A758" s="2">
        <v>6</v>
      </c>
      <c r="B758" s="1" t="s">
        <v>177</v>
      </c>
      <c r="C758" s="4">
        <v>2</v>
      </c>
      <c r="D758" s="8">
        <v>3.45</v>
      </c>
      <c r="E758" s="4">
        <v>2</v>
      </c>
      <c r="F758" s="8">
        <v>7.41</v>
      </c>
      <c r="G758" s="4">
        <v>0</v>
      </c>
      <c r="H758" s="8">
        <v>0</v>
      </c>
      <c r="I758" s="4">
        <v>0</v>
      </c>
    </row>
    <row r="759" spans="1:9" x14ac:dyDescent="0.2">
      <c r="A759" s="2">
        <v>13</v>
      </c>
      <c r="B759" s="1" t="s">
        <v>202</v>
      </c>
      <c r="C759" s="4">
        <v>1</v>
      </c>
      <c r="D759" s="8">
        <v>1.72</v>
      </c>
      <c r="E759" s="4">
        <v>0</v>
      </c>
      <c r="F759" s="8">
        <v>0</v>
      </c>
      <c r="G759" s="4">
        <v>1</v>
      </c>
      <c r="H759" s="8">
        <v>3.45</v>
      </c>
      <c r="I759" s="4">
        <v>0</v>
      </c>
    </row>
    <row r="760" spans="1:9" x14ac:dyDescent="0.2">
      <c r="A760" s="2">
        <v>13</v>
      </c>
      <c r="B760" s="1" t="s">
        <v>187</v>
      </c>
      <c r="C760" s="4">
        <v>1</v>
      </c>
      <c r="D760" s="8">
        <v>1.72</v>
      </c>
      <c r="E760" s="4">
        <v>1</v>
      </c>
      <c r="F760" s="8">
        <v>3.7</v>
      </c>
      <c r="G760" s="4">
        <v>0</v>
      </c>
      <c r="H760" s="8">
        <v>0</v>
      </c>
      <c r="I760" s="4">
        <v>0</v>
      </c>
    </row>
    <row r="761" spans="1:9" x14ac:dyDescent="0.2">
      <c r="A761" s="2">
        <v>13</v>
      </c>
      <c r="B761" s="1" t="s">
        <v>161</v>
      </c>
      <c r="C761" s="4">
        <v>1</v>
      </c>
      <c r="D761" s="8">
        <v>1.72</v>
      </c>
      <c r="E761" s="4">
        <v>0</v>
      </c>
      <c r="F761" s="8">
        <v>0</v>
      </c>
      <c r="G761" s="4">
        <v>1</v>
      </c>
      <c r="H761" s="8">
        <v>3.45</v>
      </c>
      <c r="I761" s="4">
        <v>0</v>
      </c>
    </row>
    <row r="762" spans="1:9" x14ac:dyDescent="0.2">
      <c r="A762" s="2">
        <v>13</v>
      </c>
      <c r="B762" s="1" t="s">
        <v>244</v>
      </c>
      <c r="C762" s="4">
        <v>1</v>
      </c>
      <c r="D762" s="8">
        <v>1.72</v>
      </c>
      <c r="E762" s="4">
        <v>0</v>
      </c>
      <c r="F762" s="8">
        <v>0</v>
      </c>
      <c r="G762" s="4">
        <v>1</v>
      </c>
      <c r="H762" s="8">
        <v>3.45</v>
      </c>
      <c r="I762" s="4">
        <v>0</v>
      </c>
    </row>
    <row r="763" spans="1:9" x14ac:dyDescent="0.2">
      <c r="A763" s="2">
        <v>13</v>
      </c>
      <c r="B763" s="1" t="s">
        <v>262</v>
      </c>
      <c r="C763" s="4">
        <v>1</v>
      </c>
      <c r="D763" s="8">
        <v>1.72</v>
      </c>
      <c r="E763" s="4">
        <v>0</v>
      </c>
      <c r="F763" s="8">
        <v>0</v>
      </c>
      <c r="G763" s="4">
        <v>1</v>
      </c>
      <c r="H763" s="8">
        <v>3.45</v>
      </c>
      <c r="I763" s="4">
        <v>0</v>
      </c>
    </row>
    <row r="764" spans="1:9" x14ac:dyDescent="0.2">
      <c r="A764" s="2">
        <v>13</v>
      </c>
      <c r="B764" s="1" t="s">
        <v>251</v>
      </c>
      <c r="C764" s="4">
        <v>1</v>
      </c>
      <c r="D764" s="8">
        <v>1.72</v>
      </c>
      <c r="E764" s="4">
        <v>1</v>
      </c>
      <c r="F764" s="8">
        <v>3.7</v>
      </c>
      <c r="G764" s="4">
        <v>0</v>
      </c>
      <c r="H764" s="8">
        <v>0</v>
      </c>
      <c r="I764" s="4">
        <v>0</v>
      </c>
    </row>
    <row r="765" spans="1:9" x14ac:dyDescent="0.2">
      <c r="A765" s="2">
        <v>13</v>
      </c>
      <c r="B765" s="1" t="s">
        <v>263</v>
      </c>
      <c r="C765" s="4">
        <v>1</v>
      </c>
      <c r="D765" s="8">
        <v>1.72</v>
      </c>
      <c r="E765" s="4">
        <v>0</v>
      </c>
      <c r="F765" s="8">
        <v>0</v>
      </c>
      <c r="G765" s="4">
        <v>1</v>
      </c>
      <c r="H765" s="8">
        <v>3.45</v>
      </c>
      <c r="I765" s="4">
        <v>0</v>
      </c>
    </row>
    <row r="766" spans="1:9" x14ac:dyDescent="0.2">
      <c r="A766" s="2">
        <v>13</v>
      </c>
      <c r="B766" s="1" t="s">
        <v>224</v>
      </c>
      <c r="C766" s="4">
        <v>1</v>
      </c>
      <c r="D766" s="8">
        <v>1.72</v>
      </c>
      <c r="E766" s="4">
        <v>0</v>
      </c>
      <c r="F766" s="8">
        <v>0</v>
      </c>
      <c r="G766" s="4">
        <v>1</v>
      </c>
      <c r="H766" s="8">
        <v>3.45</v>
      </c>
      <c r="I766" s="4">
        <v>0</v>
      </c>
    </row>
    <row r="767" spans="1:9" x14ac:dyDescent="0.2">
      <c r="A767" s="2">
        <v>13</v>
      </c>
      <c r="B767" s="1" t="s">
        <v>264</v>
      </c>
      <c r="C767" s="4">
        <v>1</v>
      </c>
      <c r="D767" s="8">
        <v>1.72</v>
      </c>
      <c r="E767" s="4">
        <v>0</v>
      </c>
      <c r="F767" s="8">
        <v>0</v>
      </c>
      <c r="G767" s="4">
        <v>1</v>
      </c>
      <c r="H767" s="8">
        <v>3.45</v>
      </c>
      <c r="I767" s="4">
        <v>0</v>
      </c>
    </row>
    <row r="768" spans="1:9" x14ac:dyDescent="0.2">
      <c r="A768" s="2">
        <v>13</v>
      </c>
      <c r="B768" s="1" t="s">
        <v>265</v>
      </c>
      <c r="C768" s="4">
        <v>1</v>
      </c>
      <c r="D768" s="8">
        <v>1.72</v>
      </c>
      <c r="E768" s="4">
        <v>1</v>
      </c>
      <c r="F768" s="8">
        <v>3.7</v>
      </c>
      <c r="G768" s="4">
        <v>0</v>
      </c>
      <c r="H768" s="8">
        <v>0</v>
      </c>
      <c r="I768" s="4">
        <v>0</v>
      </c>
    </row>
    <row r="769" spans="1:9" x14ac:dyDescent="0.2">
      <c r="A769" s="2">
        <v>13</v>
      </c>
      <c r="B769" s="1" t="s">
        <v>266</v>
      </c>
      <c r="C769" s="4">
        <v>1</v>
      </c>
      <c r="D769" s="8">
        <v>1.72</v>
      </c>
      <c r="E769" s="4">
        <v>1</v>
      </c>
      <c r="F769" s="8">
        <v>3.7</v>
      </c>
      <c r="G769" s="4">
        <v>0</v>
      </c>
      <c r="H769" s="8">
        <v>0</v>
      </c>
      <c r="I769" s="4">
        <v>0</v>
      </c>
    </row>
    <row r="770" spans="1:9" x14ac:dyDescent="0.2">
      <c r="A770" s="2">
        <v>13</v>
      </c>
      <c r="B770" s="1" t="s">
        <v>191</v>
      </c>
      <c r="C770" s="4">
        <v>1</v>
      </c>
      <c r="D770" s="8">
        <v>1.72</v>
      </c>
      <c r="E770" s="4">
        <v>0</v>
      </c>
      <c r="F770" s="8">
        <v>0</v>
      </c>
      <c r="G770" s="4">
        <v>1</v>
      </c>
      <c r="H770" s="8">
        <v>3.45</v>
      </c>
      <c r="I770" s="4">
        <v>0</v>
      </c>
    </row>
    <row r="771" spans="1:9" x14ac:dyDescent="0.2">
      <c r="A771" s="2">
        <v>13</v>
      </c>
      <c r="B771" s="1" t="s">
        <v>163</v>
      </c>
      <c r="C771" s="4">
        <v>1</v>
      </c>
      <c r="D771" s="8">
        <v>1.72</v>
      </c>
      <c r="E771" s="4">
        <v>0</v>
      </c>
      <c r="F771" s="8">
        <v>0</v>
      </c>
      <c r="G771" s="4">
        <v>0</v>
      </c>
      <c r="H771" s="8">
        <v>0</v>
      </c>
      <c r="I771" s="4">
        <v>1</v>
      </c>
    </row>
    <row r="772" spans="1:9" x14ac:dyDescent="0.2">
      <c r="A772" s="2">
        <v>13</v>
      </c>
      <c r="B772" s="1" t="s">
        <v>210</v>
      </c>
      <c r="C772" s="4">
        <v>1</v>
      </c>
      <c r="D772" s="8">
        <v>1.72</v>
      </c>
      <c r="E772" s="4">
        <v>1</v>
      </c>
      <c r="F772" s="8">
        <v>3.7</v>
      </c>
      <c r="G772" s="4">
        <v>0</v>
      </c>
      <c r="H772" s="8">
        <v>0</v>
      </c>
      <c r="I772" s="4">
        <v>0</v>
      </c>
    </row>
    <row r="773" spans="1:9" x14ac:dyDescent="0.2">
      <c r="A773" s="2">
        <v>13</v>
      </c>
      <c r="B773" s="1" t="s">
        <v>185</v>
      </c>
      <c r="C773" s="4">
        <v>1</v>
      </c>
      <c r="D773" s="8">
        <v>1.72</v>
      </c>
      <c r="E773" s="4">
        <v>0</v>
      </c>
      <c r="F773" s="8">
        <v>0</v>
      </c>
      <c r="G773" s="4">
        <v>1</v>
      </c>
      <c r="H773" s="8">
        <v>3.45</v>
      </c>
      <c r="I773" s="4">
        <v>0</v>
      </c>
    </row>
    <row r="774" spans="1:9" x14ac:dyDescent="0.2">
      <c r="A774" s="2">
        <v>13</v>
      </c>
      <c r="B774" s="1" t="s">
        <v>189</v>
      </c>
      <c r="C774" s="4">
        <v>1</v>
      </c>
      <c r="D774" s="8">
        <v>1.72</v>
      </c>
      <c r="E774" s="4">
        <v>0</v>
      </c>
      <c r="F774" s="8">
        <v>0</v>
      </c>
      <c r="G774" s="4">
        <v>1</v>
      </c>
      <c r="H774" s="8">
        <v>3.45</v>
      </c>
      <c r="I774" s="4">
        <v>0</v>
      </c>
    </row>
    <row r="775" spans="1:9" x14ac:dyDescent="0.2">
      <c r="A775" s="2">
        <v>13</v>
      </c>
      <c r="B775" s="1" t="s">
        <v>267</v>
      </c>
      <c r="C775" s="4">
        <v>1</v>
      </c>
      <c r="D775" s="8">
        <v>1.72</v>
      </c>
      <c r="E775" s="4">
        <v>0</v>
      </c>
      <c r="F775" s="8">
        <v>0</v>
      </c>
      <c r="G775" s="4">
        <v>1</v>
      </c>
      <c r="H775" s="8">
        <v>3.45</v>
      </c>
      <c r="I775" s="4">
        <v>0</v>
      </c>
    </row>
    <row r="776" spans="1:9" x14ac:dyDescent="0.2">
      <c r="A776" s="2">
        <v>13</v>
      </c>
      <c r="B776" s="1" t="s">
        <v>170</v>
      </c>
      <c r="C776" s="4">
        <v>1</v>
      </c>
      <c r="D776" s="8">
        <v>1.72</v>
      </c>
      <c r="E776" s="4">
        <v>1</v>
      </c>
      <c r="F776" s="8">
        <v>3.7</v>
      </c>
      <c r="G776" s="4">
        <v>0</v>
      </c>
      <c r="H776" s="8">
        <v>0</v>
      </c>
      <c r="I776" s="4">
        <v>0</v>
      </c>
    </row>
    <row r="777" spans="1:9" x14ac:dyDescent="0.2">
      <c r="A777" s="2">
        <v>13</v>
      </c>
      <c r="B777" s="1" t="s">
        <v>186</v>
      </c>
      <c r="C777" s="4">
        <v>1</v>
      </c>
      <c r="D777" s="8">
        <v>1.72</v>
      </c>
      <c r="E777" s="4">
        <v>0</v>
      </c>
      <c r="F777" s="8">
        <v>0</v>
      </c>
      <c r="G777" s="4">
        <v>1</v>
      </c>
      <c r="H777" s="8">
        <v>3.45</v>
      </c>
      <c r="I777" s="4">
        <v>0</v>
      </c>
    </row>
    <row r="778" spans="1:9" x14ac:dyDescent="0.2">
      <c r="A778" s="2">
        <v>13</v>
      </c>
      <c r="B778" s="1" t="s">
        <v>182</v>
      </c>
      <c r="C778" s="4">
        <v>1</v>
      </c>
      <c r="D778" s="8">
        <v>1.72</v>
      </c>
      <c r="E778" s="4">
        <v>1</v>
      </c>
      <c r="F778" s="8">
        <v>3.7</v>
      </c>
      <c r="G778" s="4">
        <v>0</v>
      </c>
      <c r="H778" s="8">
        <v>0</v>
      </c>
      <c r="I778" s="4">
        <v>0</v>
      </c>
    </row>
    <row r="779" spans="1:9" x14ac:dyDescent="0.2">
      <c r="A779" s="2">
        <v>13</v>
      </c>
      <c r="B779" s="1" t="s">
        <v>173</v>
      </c>
      <c r="C779" s="4">
        <v>1</v>
      </c>
      <c r="D779" s="8">
        <v>1.72</v>
      </c>
      <c r="E779" s="4">
        <v>1</v>
      </c>
      <c r="F779" s="8">
        <v>3.7</v>
      </c>
      <c r="G779" s="4">
        <v>0</v>
      </c>
      <c r="H779" s="8">
        <v>0</v>
      </c>
      <c r="I779" s="4">
        <v>0</v>
      </c>
    </row>
    <row r="780" spans="1:9" x14ac:dyDescent="0.2">
      <c r="A780" s="2">
        <v>13</v>
      </c>
      <c r="B780" s="1" t="s">
        <v>174</v>
      </c>
      <c r="C780" s="4">
        <v>1</v>
      </c>
      <c r="D780" s="8">
        <v>1.72</v>
      </c>
      <c r="E780" s="4">
        <v>1</v>
      </c>
      <c r="F780" s="8">
        <v>3.7</v>
      </c>
      <c r="G780" s="4">
        <v>0</v>
      </c>
      <c r="H780" s="8">
        <v>0</v>
      </c>
      <c r="I780" s="4">
        <v>0</v>
      </c>
    </row>
    <row r="781" spans="1:9" x14ac:dyDescent="0.2">
      <c r="A781" s="2">
        <v>13</v>
      </c>
      <c r="B781" s="1" t="s">
        <v>268</v>
      </c>
      <c r="C781" s="4">
        <v>1</v>
      </c>
      <c r="D781" s="8">
        <v>1.72</v>
      </c>
      <c r="E781" s="4">
        <v>1</v>
      </c>
      <c r="F781" s="8">
        <v>3.7</v>
      </c>
      <c r="G781" s="4">
        <v>0</v>
      </c>
      <c r="H781" s="8">
        <v>0</v>
      </c>
      <c r="I781" s="4">
        <v>0</v>
      </c>
    </row>
    <row r="782" spans="1:9" x14ac:dyDescent="0.2">
      <c r="A782" s="2">
        <v>13</v>
      </c>
      <c r="B782" s="1" t="s">
        <v>269</v>
      </c>
      <c r="C782" s="4">
        <v>1</v>
      </c>
      <c r="D782" s="8">
        <v>1.72</v>
      </c>
      <c r="E782" s="4">
        <v>1</v>
      </c>
      <c r="F782" s="8">
        <v>3.7</v>
      </c>
      <c r="G782" s="4">
        <v>0</v>
      </c>
      <c r="H782" s="8">
        <v>0</v>
      </c>
      <c r="I782" s="4">
        <v>0</v>
      </c>
    </row>
    <row r="783" spans="1:9" x14ac:dyDescent="0.2">
      <c r="A783" s="2">
        <v>13</v>
      </c>
      <c r="B783" s="1" t="s">
        <v>176</v>
      </c>
      <c r="C783" s="4">
        <v>1</v>
      </c>
      <c r="D783" s="8">
        <v>1.72</v>
      </c>
      <c r="E783" s="4">
        <v>1</v>
      </c>
      <c r="F783" s="8">
        <v>3.7</v>
      </c>
      <c r="G783" s="4">
        <v>0</v>
      </c>
      <c r="H783" s="8">
        <v>0</v>
      </c>
      <c r="I783" s="4">
        <v>0</v>
      </c>
    </row>
    <row r="784" spans="1:9" x14ac:dyDescent="0.2">
      <c r="A784" s="2">
        <v>13</v>
      </c>
      <c r="B784" s="1" t="s">
        <v>270</v>
      </c>
      <c r="C784" s="4">
        <v>1</v>
      </c>
      <c r="D784" s="8">
        <v>1.72</v>
      </c>
      <c r="E784" s="4">
        <v>0</v>
      </c>
      <c r="F784" s="8">
        <v>0</v>
      </c>
      <c r="G784" s="4">
        <v>1</v>
      </c>
      <c r="H784" s="8">
        <v>3.45</v>
      </c>
      <c r="I784" s="4">
        <v>0</v>
      </c>
    </row>
    <row r="785" spans="1:9" x14ac:dyDescent="0.2">
      <c r="A785" s="2">
        <v>13</v>
      </c>
      <c r="B785" s="1" t="s">
        <v>206</v>
      </c>
      <c r="C785" s="4">
        <v>1</v>
      </c>
      <c r="D785" s="8">
        <v>1.72</v>
      </c>
      <c r="E785" s="4">
        <v>1</v>
      </c>
      <c r="F785" s="8">
        <v>3.7</v>
      </c>
      <c r="G785" s="4">
        <v>0</v>
      </c>
      <c r="H785" s="8">
        <v>0</v>
      </c>
      <c r="I785" s="4">
        <v>0</v>
      </c>
    </row>
    <row r="786" spans="1:9" x14ac:dyDescent="0.2">
      <c r="A786" s="2">
        <v>13</v>
      </c>
      <c r="B786" s="1" t="s">
        <v>240</v>
      </c>
      <c r="C786" s="4">
        <v>1</v>
      </c>
      <c r="D786" s="8">
        <v>1.72</v>
      </c>
      <c r="E786" s="4">
        <v>0</v>
      </c>
      <c r="F786" s="8">
        <v>0</v>
      </c>
      <c r="G786" s="4">
        <v>0</v>
      </c>
      <c r="H786" s="8">
        <v>0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30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215</v>
      </c>
      <c r="C789" s="4">
        <v>11</v>
      </c>
      <c r="D789" s="8">
        <v>9.17</v>
      </c>
      <c r="E789" s="4">
        <v>8</v>
      </c>
      <c r="F789" s="8">
        <v>9.8800000000000008</v>
      </c>
      <c r="G789" s="4">
        <v>3</v>
      </c>
      <c r="H789" s="8">
        <v>7.89</v>
      </c>
      <c r="I789" s="4">
        <v>0</v>
      </c>
    </row>
    <row r="790" spans="1:9" x14ac:dyDescent="0.2">
      <c r="A790" s="2">
        <v>2</v>
      </c>
      <c r="B790" s="1" t="s">
        <v>178</v>
      </c>
      <c r="C790" s="4">
        <v>9</v>
      </c>
      <c r="D790" s="8">
        <v>7.5</v>
      </c>
      <c r="E790" s="4">
        <v>7</v>
      </c>
      <c r="F790" s="8">
        <v>8.64</v>
      </c>
      <c r="G790" s="4">
        <v>2</v>
      </c>
      <c r="H790" s="8">
        <v>5.26</v>
      </c>
      <c r="I790" s="4">
        <v>0</v>
      </c>
    </row>
    <row r="791" spans="1:9" x14ac:dyDescent="0.2">
      <c r="A791" s="2">
        <v>3</v>
      </c>
      <c r="B791" s="1" t="s">
        <v>160</v>
      </c>
      <c r="C791" s="4">
        <v>8</v>
      </c>
      <c r="D791" s="8">
        <v>6.67</v>
      </c>
      <c r="E791" s="4">
        <v>7</v>
      </c>
      <c r="F791" s="8">
        <v>8.64</v>
      </c>
      <c r="G791" s="4">
        <v>1</v>
      </c>
      <c r="H791" s="8">
        <v>2.63</v>
      </c>
      <c r="I791" s="4">
        <v>0</v>
      </c>
    </row>
    <row r="792" spans="1:9" x14ac:dyDescent="0.2">
      <c r="A792" s="2">
        <v>4</v>
      </c>
      <c r="B792" s="1" t="s">
        <v>163</v>
      </c>
      <c r="C792" s="4">
        <v>6</v>
      </c>
      <c r="D792" s="8">
        <v>5</v>
      </c>
      <c r="E792" s="4">
        <v>5</v>
      </c>
      <c r="F792" s="8">
        <v>6.17</v>
      </c>
      <c r="G792" s="4">
        <v>1</v>
      </c>
      <c r="H792" s="8">
        <v>2.63</v>
      </c>
      <c r="I792" s="4">
        <v>0</v>
      </c>
    </row>
    <row r="793" spans="1:9" x14ac:dyDescent="0.2">
      <c r="A793" s="2">
        <v>4</v>
      </c>
      <c r="B793" s="1" t="s">
        <v>185</v>
      </c>
      <c r="C793" s="4">
        <v>6</v>
      </c>
      <c r="D793" s="8">
        <v>5</v>
      </c>
      <c r="E793" s="4">
        <v>2</v>
      </c>
      <c r="F793" s="8">
        <v>2.4700000000000002</v>
      </c>
      <c r="G793" s="4">
        <v>4</v>
      </c>
      <c r="H793" s="8">
        <v>10.53</v>
      </c>
      <c r="I793" s="4">
        <v>0</v>
      </c>
    </row>
    <row r="794" spans="1:9" x14ac:dyDescent="0.2">
      <c r="A794" s="2">
        <v>4</v>
      </c>
      <c r="B794" s="1" t="s">
        <v>173</v>
      </c>
      <c r="C794" s="4">
        <v>6</v>
      </c>
      <c r="D794" s="8">
        <v>5</v>
      </c>
      <c r="E794" s="4">
        <v>6</v>
      </c>
      <c r="F794" s="8">
        <v>7.41</v>
      </c>
      <c r="G794" s="4">
        <v>0</v>
      </c>
      <c r="H794" s="8">
        <v>0</v>
      </c>
      <c r="I794" s="4">
        <v>0</v>
      </c>
    </row>
    <row r="795" spans="1:9" x14ac:dyDescent="0.2">
      <c r="A795" s="2">
        <v>4</v>
      </c>
      <c r="B795" s="1" t="s">
        <v>174</v>
      </c>
      <c r="C795" s="4">
        <v>6</v>
      </c>
      <c r="D795" s="8">
        <v>5</v>
      </c>
      <c r="E795" s="4">
        <v>6</v>
      </c>
      <c r="F795" s="8">
        <v>7.41</v>
      </c>
      <c r="G795" s="4">
        <v>0</v>
      </c>
      <c r="H795" s="8">
        <v>0</v>
      </c>
      <c r="I795" s="4">
        <v>0</v>
      </c>
    </row>
    <row r="796" spans="1:9" x14ac:dyDescent="0.2">
      <c r="A796" s="2">
        <v>8</v>
      </c>
      <c r="B796" s="1" t="s">
        <v>159</v>
      </c>
      <c r="C796" s="4">
        <v>3</v>
      </c>
      <c r="D796" s="8">
        <v>2.5</v>
      </c>
      <c r="E796" s="4">
        <v>2</v>
      </c>
      <c r="F796" s="8">
        <v>2.4700000000000002</v>
      </c>
      <c r="G796" s="4">
        <v>1</v>
      </c>
      <c r="H796" s="8">
        <v>2.63</v>
      </c>
      <c r="I796" s="4">
        <v>0</v>
      </c>
    </row>
    <row r="797" spans="1:9" x14ac:dyDescent="0.2">
      <c r="A797" s="2">
        <v>8</v>
      </c>
      <c r="B797" s="1" t="s">
        <v>202</v>
      </c>
      <c r="C797" s="4">
        <v>3</v>
      </c>
      <c r="D797" s="8">
        <v>2.5</v>
      </c>
      <c r="E797" s="4">
        <v>3</v>
      </c>
      <c r="F797" s="8">
        <v>3.7</v>
      </c>
      <c r="G797" s="4">
        <v>0</v>
      </c>
      <c r="H797" s="8">
        <v>0</v>
      </c>
      <c r="I797" s="4">
        <v>0</v>
      </c>
    </row>
    <row r="798" spans="1:9" x14ac:dyDescent="0.2">
      <c r="A798" s="2">
        <v>8</v>
      </c>
      <c r="B798" s="1" t="s">
        <v>161</v>
      </c>
      <c r="C798" s="4">
        <v>3</v>
      </c>
      <c r="D798" s="8">
        <v>2.5</v>
      </c>
      <c r="E798" s="4">
        <v>1</v>
      </c>
      <c r="F798" s="8">
        <v>1.23</v>
      </c>
      <c r="G798" s="4">
        <v>2</v>
      </c>
      <c r="H798" s="8">
        <v>5.26</v>
      </c>
      <c r="I798" s="4">
        <v>0</v>
      </c>
    </row>
    <row r="799" spans="1:9" x14ac:dyDescent="0.2">
      <c r="A799" s="2">
        <v>8</v>
      </c>
      <c r="B799" s="1" t="s">
        <v>193</v>
      </c>
      <c r="C799" s="4">
        <v>3</v>
      </c>
      <c r="D799" s="8">
        <v>2.5</v>
      </c>
      <c r="E799" s="4">
        <v>3</v>
      </c>
      <c r="F799" s="8">
        <v>3.7</v>
      </c>
      <c r="G799" s="4">
        <v>0</v>
      </c>
      <c r="H799" s="8">
        <v>0</v>
      </c>
      <c r="I799" s="4">
        <v>0</v>
      </c>
    </row>
    <row r="800" spans="1:9" x14ac:dyDescent="0.2">
      <c r="A800" s="2">
        <v>8</v>
      </c>
      <c r="B800" s="1" t="s">
        <v>181</v>
      </c>
      <c r="C800" s="4">
        <v>3</v>
      </c>
      <c r="D800" s="8">
        <v>2.5</v>
      </c>
      <c r="E800" s="4">
        <v>3</v>
      </c>
      <c r="F800" s="8">
        <v>3.7</v>
      </c>
      <c r="G800" s="4">
        <v>0</v>
      </c>
      <c r="H800" s="8">
        <v>0</v>
      </c>
      <c r="I800" s="4">
        <v>0</v>
      </c>
    </row>
    <row r="801" spans="1:9" x14ac:dyDescent="0.2">
      <c r="A801" s="2">
        <v>8</v>
      </c>
      <c r="B801" s="1" t="s">
        <v>170</v>
      </c>
      <c r="C801" s="4">
        <v>3</v>
      </c>
      <c r="D801" s="8">
        <v>2.5</v>
      </c>
      <c r="E801" s="4">
        <v>3</v>
      </c>
      <c r="F801" s="8">
        <v>3.7</v>
      </c>
      <c r="G801" s="4">
        <v>0</v>
      </c>
      <c r="H801" s="8">
        <v>0</v>
      </c>
      <c r="I801" s="4">
        <v>0</v>
      </c>
    </row>
    <row r="802" spans="1:9" x14ac:dyDescent="0.2">
      <c r="A802" s="2">
        <v>8</v>
      </c>
      <c r="B802" s="1" t="s">
        <v>200</v>
      </c>
      <c r="C802" s="4">
        <v>3</v>
      </c>
      <c r="D802" s="8">
        <v>2.5</v>
      </c>
      <c r="E802" s="4">
        <v>0</v>
      </c>
      <c r="F802" s="8">
        <v>0</v>
      </c>
      <c r="G802" s="4">
        <v>3</v>
      </c>
      <c r="H802" s="8">
        <v>7.89</v>
      </c>
      <c r="I802" s="4">
        <v>0</v>
      </c>
    </row>
    <row r="803" spans="1:9" x14ac:dyDescent="0.2">
      <c r="A803" s="2">
        <v>15</v>
      </c>
      <c r="B803" s="1" t="s">
        <v>158</v>
      </c>
      <c r="C803" s="4">
        <v>2</v>
      </c>
      <c r="D803" s="8">
        <v>1.67</v>
      </c>
      <c r="E803" s="4">
        <v>0</v>
      </c>
      <c r="F803" s="8">
        <v>0</v>
      </c>
      <c r="G803" s="4">
        <v>2</v>
      </c>
      <c r="H803" s="8">
        <v>5.26</v>
      </c>
      <c r="I803" s="4">
        <v>0</v>
      </c>
    </row>
    <row r="804" spans="1:9" x14ac:dyDescent="0.2">
      <c r="A804" s="2">
        <v>15</v>
      </c>
      <c r="B804" s="1" t="s">
        <v>201</v>
      </c>
      <c r="C804" s="4">
        <v>2</v>
      </c>
      <c r="D804" s="8">
        <v>1.67</v>
      </c>
      <c r="E804" s="4">
        <v>2</v>
      </c>
      <c r="F804" s="8">
        <v>2.4700000000000002</v>
      </c>
      <c r="G804" s="4">
        <v>0</v>
      </c>
      <c r="H804" s="8">
        <v>0</v>
      </c>
      <c r="I804" s="4">
        <v>0</v>
      </c>
    </row>
    <row r="805" spans="1:9" x14ac:dyDescent="0.2">
      <c r="A805" s="2">
        <v>15</v>
      </c>
      <c r="B805" s="1" t="s">
        <v>169</v>
      </c>
      <c r="C805" s="4">
        <v>2</v>
      </c>
      <c r="D805" s="8">
        <v>1.67</v>
      </c>
      <c r="E805" s="4">
        <v>2</v>
      </c>
      <c r="F805" s="8">
        <v>2.4700000000000002</v>
      </c>
      <c r="G805" s="4">
        <v>0</v>
      </c>
      <c r="H805" s="8">
        <v>0</v>
      </c>
      <c r="I805" s="4">
        <v>0</v>
      </c>
    </row>
    <row r="806" spans="1:9" x14ac:dyDescent="0.2">
      <c r="A806" s="2">
        <v>15</v>
      </c>
      <c r="B806" s="1" t="s">
        <v>271</v>
      </c>
      <c r="C806" s="4">
        <v>2</v>
      </c>
      <c r="D806" s="8">
        <v>1.67</v>
      </c>
      <c r="E806" s="4">
        <v>2</v>
      </c>
      <c r="F806" s="8">
        <v>2.4700000000000002</v>
      </c>
      <c r="G806" s="4">
        <v>0</v>
      </c>
      <c r="H806" s="8">
        <v>0</v>
      </c>
      <c r="I806" s="4">
        <v>0</v>
      </c>
    </row>
    <row r="807" spans="1:9" x14ac:dyDescent="0.2">
      <c r="A807" s="2">
        <v>15</v>
      </c>
      <c r="B807" s="1" t="s">
        <v>171</v>
      </c>
      <c r="C807" s="4">
        <v>2</v>
      </c>
      <c r="D807" s="8">
        <v>1.67</v>
      </c>
      <c r="E807" s="4">
        <v>2</v>
      </c>
      <c r="F807" s="8">
        <v>2.4700000000000002</v>
      </c>
      <c r="G807" s="4">
        <v>0</v>
      </c>
      <c r="H807" s="8">
        <v>0</v>
      </c>
      <c r="I807" s="4">
        <v>0</v>
      </c>
    </row>
    <row r="808" spans="1:9" x14ac:dyDescent="0.2">
      <c r="A808" s="2">
        <v>15</v>
      </c>
      <c r="B808" s="1" t="s">
        <v>172</v>
      </c>
      <c r="C808" s="4">
        <v>2</v>
      </c>
      <c r="D808" s="8">
        <v>1.67</v>
      </c>
      <c r="E808" s="4">
        <v>2</v>
      </c>
      <c r="F808" s="8">
        <v>2.4700000000000002</v>
      </c>
      <c r="G808" s="4">
        <v>0</v>
      </c>
      <c r="H808" s="8">
        <v>0</v>
      </c>
      <c r="I808" s="4">
        <v>0</v>
      </c>
    </row>
    <row r="809" spans="1:9" x14ac:dyDescent="0.2">
      <c r="A809" s="2">
        <v>15</v>
      </c>
      <c r="B809" s="1" t="s">
        <v>211</v>
      </c>
      <c r="C809" s="4">
        <v>2</v>
      </c>
      <c r="D809" s="8">
        <v>1.67</v>
      </c>
      <c r="E809" s="4">
        <v>0</v>
      </c>
      <c r="F809" s="8">
        <v>0</v>
      </c>
      <c r="G809" s="4">
        <v>2</v>
      </c>
      <c r="H809" s="8">
        <v>5.26</v>
      </c>
      <c r="I809" s="4">
        <v>0</v>
      </c>
    </row>
    <row r="810" spans="1:9" x14ac:dyDescent="0.2">
      <c r="A810" s="1"/>
      <c r="C810" s="4"/>
      <c r="D810" s="8"/>
      <c r="E810" s="4"/>
      <c r="F810" s="8"/>
      <c r="G810" s="4"/>
      <c r="H810" s="8"/>
      <c r="I810" s="4"/>
    </row>
    <row r="811" spans="1:9" x14ac:dyDescent="0.2">
      <c r="A811" s="1" t="s">
        <v>31</v>
      </c>
      <c r="C811" s="4"/>
      <c r="D811" s="8"/>
      <c r="E811" s="4"/>
      <c r="F811" s="8"/>
      <c r="G811" s="4"/>
      <c r="H811" s="8"/>
      <c r="I811" s="4"/>
    </row>
    <row r="812" spans="1:9" x14ac:dyDescent="0.2">
      <c r="A812" s="2">
        <v>1</v>
      </c>
      <c r="B812" s="1" t="s">
        <v>181</v>
      </c>
      <c r="C812" s="4">
        <v>5</v>
      </c>
      <c r="D812" s="8">
        <v>9.6199999999999992</v>
      </c>
      <c r="E812" s="4">
        <v>5</v>
      </c>
      <c r="F812" s="8">
        <v>17.86</v>
      </c>
      <c r="G812" s="4">
        <v>0</v>
      </c>
      <c r="H812" s="8">
        <v>0</v>
      </c>
      <c r="I812" s="4">
        <v>0</v>
      </c>
    </row>
    <row r="813" spans="1:9" x14ac:dyDescent="0.2">
      <c r="A813" s="2">
        <v>2</v>
      </c>
      <c r="B813" s="1" t="s">
        <v>173</v>
      </c>
      <c r="C813" s="4">
        <v>4</v>
      </c>
      <c r="D813" s="8">
        <v>7.69</v>
      </c>
      <c r="E813" s="4">
        <v>4</v>
      </c>
      <c r="F813" s="8">
        <v>14.29</v>
      </c>
      <c r="G813" s="4">
        <v>0</v>
      </c>
      <c r="H813" s="8">
        <v>0</v>
      </c>
      <c r="I813" s="4">
        <v>0</v>
      </c>
    </row>
    <row r="814" spans="1:9" x14ac:dyDescent="0.2">
      <c r="A814" s="2">
        <v>2</v>
      </c>
      <c r="B814" s="1" t="s">
        <v>174</v>
      </c>
      <c r="C814" s="4">
        <v>4</v>
      </c>
      <c r="D814" s="8">
        <v>7.69</v>
      </c>
      <c r="E814" s="4">
        <v>4</v>
      </c>
      <c r="F814" s="8">
        <v>14.29</v>
      </c>
      <c r="G814" s="4">
        <v>0</v>
      </c>
      <c r="H814" s="8">
        <v>0</v>
      </c>
      <c r="I814" s="4">
        <v>0</v>
      </c>
    </row>
    <row r="815" spans="1:9" x14ac:dyDescent="0.2">
      <c r="A815" s="2">
        <v>4</v>
      </c>
      <c r="B815" s="1" t="s">
        <v>163</v>
      </c>
      <c r="C815" s="4">
        <v>3</v>
      </c>
      <c r="D815" s="8">
        <v>5.77</v>
      </c>
      <c r="E815" s="4">
        <v>2</v>
      </c>
      <c r="F815" s="8">
        <v>7.14</v>
      </c>
      <c r="G815" s="4">
        <v>0</v>
      </c>
      <c r="H815" s="8">
        <v>0</v>
      </c>
      <c r="I815" s="4">
        <v>1</v>
      </c>
    </row>
    <row r="816" spans="1:9" x14ac:dyDescent="0.2">
      <c r="A816" s="2">
        <v>5</v>
      </c>
      <c r="B816" s="1" t="s">
        <v>159</v>
      </c>
      <c r="C816" s="4">
        <v>2</v>
      </c>
      <c r="D816" s="8">
        <v>3.85</v>
      </c>
      <c r="E816" s="4">
        <v>1</v>
      </c>
      <c r="F816" s="8">
        <v>3.57</v>
      </c>
      <c r="G816" s="4">
        <v>1</v>
      </c>
      <c r="H816" s="8">
        <v>4.3499999999999996</v>
      </c>
      <c r="I816" s="4">
        <v>0</v>
      </c>
    </row>
    <row r="817" spans="1:9" x14ac:dyDescent="0.2">
      <c r="A817" s="2">
        <v>5</v>
      </c>
      <c r="B817" s="1" t="s">
        <v>160</v>
      </c>
      <c r="C817" s="4">
        <v>2</v>
      </c>
      <c r="D817" s="8">
        <v>3.85</v>
      </c>
      <c r="E817" s="4">
        <v>1</v>
      </c>
      <c r="F817" s="8">
        <v>3.57</v>
      </c>
      <c r="G817" s="4">
        <v>1</v>
      </c>
      <c r="H817" s="8">
        <v>4.3499999999999996</v>
      </c>
      <c r="I817" s="4">
        <v>0</v>
      </c>
    </row>
    <row r="818" spans="1:9" x14ac:dyDescent="0.2">
      <c r="A818" s="2">
        <v>5</v>
      </c>
      <c r="B818" s="1" t="s">
        <v>178</v>
      </c>
      <c r="C818" s="4">
        <v>2</v>
      </c>
      <c r="D818" s="8">
        <v>3.85</v>
      </c>
      <c r="E818" s="4">
        <v>2</v>
      </c>
      <c r="F818" s="8">
        <v>7.14</v>
      </c>
      <c r="G818" s="4">
        <v>0</v>
      </c>
      <c r="H818" s="8">
        <v>0</v>
      </c>
      <c r="I818" s="4">
        <v>0</v>
      </c>
    </row>
    <row r="819" spans="1:9" x14ac:dyDescent="0.2">
      <c r="A819" s="2">
        <v>5</v>
      </c>
      <c r="B819" s="1" t="s">
        <v>205</v>
      </c>
      <c r="C819" s="4">
        <v>2</v>
      </c>
      <c r="D819" s="8">
        <v>3.85</v>
      </c>
      <c r="E819" s="4">
        <v>0</v>
      </c>
      <c r="F819" s="8">
        <v>0</v>
      </c>
      <c r="G819" s="4">
        <v>2</v>
      </c>
      <c r="H819" s="8">
        <v>8.6999999999999993</v>
      </c>
      <c r="I819" s="4">
        <v>0</v>
      </c>
    </row>
    <row r="820" spans="1:9" x14ac:dyDescent="0.2">
      <c r="A820" s="2">
        <v>5</v>
      </c>
      <c r="B820" s="1" t="s">
        <v>215</v>
      </c>
      <c r="C820" s="4">
        <v>2</v>
      </c>
      <c r="D820" s="8">
        <v>3.85</v>
      </c>
      <c r="E820" s="4">
        <v>1</v>
      </c>
      <c r="F820" s="8">
        <v>3.57</v>
      </c>
      <c r="G820" s="4">
        <v>1</v>
      </c>
      <c r="H820" s="8">
        <v>4.3499999999999996</v>
      </c>
      <c r="I820" s="4">
        <v>0</v>
      </c>
    </row>
    <row r="821" spans="1:9" x14ac:dyDescent="0.2">
      <c r="A821" s="2">
        <v>5</v>
      </c>
      <c r="B821" s="1" t="s">
        <v>200</v>
      </c>
      <c r="C821" s="4">
        <v>2</v>
      </c>
      <c r="D821" s="8">
        <v>3.85</v>
      </c>
      <c r="E821" s="4">
        <v>0</v>
      </c>
      <c r="F821" s="8">
        <v>0</v>
      </c>
      <c r="G821" s="4">
        <v>2</v>
      </c>
      <c r="H821" s="8">
        <v>8.6999999999999993</v>
      </c>
      <c r="I821" s="4">
        <v>0</v>
      </c>
    </row>
    <row r="822" spans="1:9" x14ac:dyDescent="0.2">
      <c r="A822" s="2">
        <v>11</v>
      </c>
      <c r="B822" s="1" t="s">
        <v>199</v>
      </c>
      <c r="C822" s="4">
        <v>1</v>
      </c>
      <c r="D822" s="8">
        <v>1.92</v>
      </c>
      <c r="E822" s="4">
        <v>1</v>
      </c>
      <c r="F822" s="8">
        <v>3.57</v>
      </c>
      <c r="G822" s="4">
        <v>0</v>
      </c>
      <c r="H822" s="8">
        <v>0</v>
      </c>
      <c r="I822" s="4">
        <v>0</v>
      </c>
    </row>
    <row r="823" spans="1:9" x14ac:dyDescent="0.2">
      <c r="A823" s="2">
        <v>11</v>
      </c>
      <c r="B823" s="1" t="s">
        <v>201</v>
      </c>
      <c r="C823" s="4">
        <v>1</v>
      </c>
      <c r="D823" s="8">
        <v>1.92</v>
      </c>
      <c r="E823" s="4">
        <v>1</v>
      </c>
      <c r="F823" s="8">
        <v>3.57</v>
      </c>
      <c r="G823" s="4">
        <v>0</v>
      </c>
      <c r="H823" s="8">
        <v>0</v>
      </c>
      <c r="I823" s="4">
        <v>0</v>
      </c>
    </row>
    <row r="824" spans="1:9" x14ac:dyDescent="0.2">
      <c r="A824" s="2">
        <v>11</v>
      </c>
      <c r="B824" s="1" t="s">
        <v>187</v>
      </c>
      <c r="C824" s="4">
        <v>1</v>
      </c>
      <c r="D824" s="8">
        <v>1.92</v>
      </c>
      <c r="E824" s="4">
        <v>0</v>
      </c>
      <c r="F824" s="8">
        <v>0</v>
      </c>
      <c r="G824" s="4">
        <v>1</v>
      </c>
      <c r="H824" s="8">
        <v>4.3499999999999996</v>
      </c>
      <c r="I824" s="4">
        <v>0</v>
      </c>
    </row>
    <row r="825" spans="1:9" x14ac:dyDescent="0.2">
      <c r="A825" s="2">
        <v>11</v>
      </c>
      <c r="B825" s="1" t="s">
        <v>272</v>
      </c>
      <c r="C825" s="4">
        <v>1</v>
      </c>
      <c r="D825" s="8">
        <v>1.92</v>
      </c>
      <c r="E825" s="4">
        <v>0</v>
      </c>
      <c r="F825" s="8">
        <v>0</v>
      </c>
      <c r="G825" s="4">
        <v>1</v>
      </c>
      <c r="H825" s="8">
        <v>4.3499999999999996</v>
      </c>
      <c r="I825" s="4">
        <v>0</v>
      </c>
    </row>
    <row r="826" spans="1:9" x14ac:dyDescent="0.2">
      <c r="A826" s="2">
        <v>11</v>
      </c>
      <c r="B826" s="1" t="s">
        <v>229</v>
      </c>
      <c r="C826" s="4">
        <v>1</v>
      </c>
      <c r="D826" s="8">
        <v>1.92</v>
      </c>
      <c r="E826" s="4">
        <v>0</v>
      </c>
      <c r="F826" s="8">
        <v>0</v>
      </c>
      <c r="G826" s="4">
        <v>1</v>
      </c>
      <c r="H826" s="8">
        <v>4.3499999999999996</v>
      </c>
      <c r="I826" s="4">
        <v>0</v>
      </c>
    </row>
    <row r="827" spans="1:9" x14ac:dyDescent="0.2">
      <c r="A827" s="2">
        <v>11</v>
      </c>
      <c r="B827" s="1" t="s">
        <v>242</v>
      </c>
      <c r="C827" s="4">
        <v>1</v>
      </c>
      <c r="D827" s="8">
        <v>1.92</v>
      </c>
      <c r="E827" s="4">
        <v>0</v>
      </c>
      <c r="F827" s="8">
        <v>0</v>
      </c>
      <c r="G827" s="4">
        <v>1</v>
      </c>
      <c r="H827" s="8">
        <v>4.3499999999999996</v>
      </c>
      <c r="I827" s="4">
        <v>0</v>
      </c>
    </row>
    <row r="828" spans="1:9" x14ac:dyDescent="0.2">
      <c r="A828" s="2">
        <v>11</v>
      </c>
      <c r="B828" s="1" t="s">
        <v>262</v>
      </c>
      <c r="C828" s="4">
        <v>1</v>
      </c>
      <c r="D828" s="8">
        <v>1.92</v>
      </c>
      <c r="E828" s="4">
        <v>0</v>
      </c>
      <c r="F828" s="8">
        <v>0</v>
      </c>
      <c r="G828" s="4">
        <v>1</v>
      </c>
      <c r="H828" s="8">
        <v>4.3499999999999996</v>
      </c>
      <c r="I828" s="4">
        <v>0</v>
      </c>
    </row>
    <row r="829" spans="1:9" x14ac:dyDescent="0.2">
      <c r="A829" s="2">
        <v>11</v>
      </c>
      <c r="B829" s="1" t="s">
        <v>273</v>
      </c>
      <c r="C829" s="4">
        <v>1</v>
      </c>
      <c r="D829" s="8">
        <v>1.92</v>
      </c>
      <c r="E829" s="4">
        <v>1</v>
      </c>
      <c r="F829" s="8">
        <v>3.57</v>
      </c>
      <c r="G829" s="4">
        <v>0</v>
      </c>
      <c r="H829" s="8">
        <v>0</v>
      </c>
      <c r="I829" s="4">
        <v>0</v>
      </c>
    </row>
    <row r="830" spans="1:9" x14ac:dyDescent="0.2">
      <c r="A830" s="2">
        <v>11</v>
      </c>
      <c r="B830" s="1" t="s">
        <v>274</v>
      </c>
      <c r="C830" s="4">
        <v>1</v>
      </c>
      <c r="D830" s="8">
        <v>1.92</v>
      </c>
      <c r="E830" s="4">
        <v>0</v>
      </c>
      <c r="F830" s="8">
        <v>0</v>
      </c>
      <c r="G830" s="4">
        <v>1</v>
      </c>
      <c r="H830" s="8">
        <v>4.3499999999999996</v>
      </c>
      <c r="I830" s="4">
        <v>0</v>
      </c>
    </row>
    <row r="831" spans="1:9" x14ac:dyDescent="0.2">
      <c r="A831" s="2">
        <v>11</v>
      </c>
      <c r="B831" s="1" t="s">
        <v>275</v>
      </c>
      <c r="C831" s="4">
        <v>1</v>
      </c>
      <c r="D831" s="8">
        <v>1.92</v>
      </c>
      <c r="E831" s="4">
        <v>0</v>
      </c>
      <c r="F831" s="8">
        <v>0</v>
      </c>
      <c r="G831" s="4">
        <v>1</v>
      </c>
      <c r="H831" s="8">
        <v>4.3499999999999996</v>
      </c>
      <c r="I831" s="4">
        <v>0</v>
      </c>
    </row>
    <row r="832" spans="1:9" x14ac:dyDescent="0.2">
      <c r="A832" s="2">
        <v>11</v>
      </c>
      <c r="B832" s="1" t="s">
        <v>212</v>
      </c>
      <c r="C832" s="4">
        <v>1</v>
      </c>
      <c r="D832" s="8">
        <v>1.92</v>
      </c>
      <c r="E832" s="4">
        <v>0</v>
      </c>
      <c r="F832" s="8">
        <v>0</v>
      </c>
      <c r="G832" s="4">
        <v>1</v>
      </c>
      <c r="H832" s="8">
        <v>4.3499999999999996</v>
      </c>
      <c r="I832" s="4">
        <v>0</v>
      </c>
    </row>
    <row r="833" spans="1:9" x14ac:dyDescent="0.2">
      <c r="A833" s="2">
        <v>11</v>
      </c>
      <c r="B833" s="1" t="s">
        <v>164</v>
      </c>
      <c r="C833" s="4">
        <v>1</v>
      </c>
      <c r="D833" s="8">
        <v>1.92</v>
      </c>
      <c r="E833" s="4">
        <v>1</v>
      </c>
      <c r="F833" s="8">
        <v>3.57</v>
      </c>
      <c r="G833" s="4">
        <v>0</v>
      </c>
      <c r="H833" s="8">
        <v>0</v>
      </c>
      <c r="I833" s="4">
        <v>0</v>
      </c>
    </row>
    <row r="834" spans="1:9" x14ac:dyDescent="0.2">
      <c r="A834" s="2">
        <v>11</v>
      </c>
      <c r="B834" s="1" t="s">
        <v>226</v>
      </c>
      <c r="C834" s="4">
        <v>1</v>
      </c>
      <c r="D834" s="8">
        <v>1.92</v>
      </c>
      <c r="E834" s="4">
        <v>0</v>
      </c>
      <c r="F834" s="8">
        <v>0</v>
      </c>
      <c r="G834" s="4">
        <v>1</v>
      </c>
      <c r="H834" s="8">
        <v>4.3499999999999996</v>
      </c>
      <c r="I834" s="4">
        <v>0</v>
      </c>
    </row>
    <row r="835" spans="1:9" x14ac:dyDescent="0.2">
      <c r="A835" s="2">
        <v>11</v>
      </c>
      <c r="B835" s="1" t="s">
        <v>243</v>
      </c>
      <c r="C835" s="4">
        <v>1</v>
      </c>
      <c r="D835" s="8">
        <v>1.92</v>
      </c>
      <c r="E835" s="4">
        <v>0</v>
      </c>
      <c r="F835" s="8">
        <v>0</v>
      </c>
      <c r="G835" s="4">
        <v>1</v>
      </c>
      <c r="H835" s="8">
        <v>4.3499999999999996</v>
      </c>
      <c r="I835" s="4">
        <v>0</v>
      </c>
    </row>
    <row r="836" spans="1:9" x14ac:dyDescent="0.2">
      <c r="A836" s="2">
        <v>11</v>
      </c>
      <c r="B836" s="1" t="s">
        <v>166</v>
      </c>
      <c r="C836" s="4">
        <v>1</v>
      </c>
      <c r="D836" s="8">
        <v>1.92</v>
      </c>
      <c r="E836" s="4">
        <v>1</v>
      </c>
      <c r="F836" s="8">
        <v>3.57</v>
      </c>
      <c r="G836" s="4">
        <v>0</v>
      </c>
      <c r="H836" s="8">
        <v>0</v>
      </c>
      <c r="I836" s="4">
        <v>0</v>
      </c>
    </row>
    <row r="837" spans="1:9" x14ac:dyDescent="0.2">
      <c r="A837" s="2">
        <v>11</v>
      </c>
      <c r="B837" s="1" t="s">
        <v>189</v>
      </c>
      <c r="C837" s="4">
        <v>1</v>
      </c>
      <c r="D837" s="8">
        <v>1.92</v>
      </c>
      <c r="E837" s="4">
        <v>1</v>
      </c>
      <c r="F837" s="8">
        <v>3.57</v>
      </c>
      <c r="G837" s="4">
        <v>0</v>
      </c>
      <c r="H837" s="8">
        <v>0</v>
      </c>
      <c r="I837" s="4">
        <v>0</v>
      </c>
    </row>
    <row r="838" spans="1:9" x14ac:dyDescent="0.2">
      <c r="A838" s="2">
        <v>11</v>
      </c>
      <c r="B838" s="1" t="s">
        <v>276</v>
      </c>
      <c r="C838" s="4">
        <v>1</v>
      </c>
      <c r="D838" s="8">
        <v>1.92</v>
      </c>
      <c r="E838" s="4">
        <v>0</v>
      </c>
      <c r="F838" s="8">
        <v>0</v>
      </c>
      <c r="G838" s="4">
        <v>1</v>
      </c>
      <c r="H838" s="8">
        <v>4.3499999999999996</v>
      </c>
      <c r="I838" s="4">
        <v>0</v>
      </c>
    </row>
    <row r="839" spans="1:9" x14ac:dyDescent="0.2">
      <c r="A839" s="2">
        <v>11</v>
      </c>
      <c r="B839" s="1" t="s">
        <v>232</v>
      </c>
      <c r="C839" s="4">
        <v>1</v>
      </c>
      <c r="D839" s="8">
        <v>1.92</v>
      </c>
      <c r="E839" s="4">
        <v>0</v>
      </c>
      <c r="F839" s="8">
        <v>0</v>
      </c>
      <c r="G839" s="4">
        <v>1</v>
      </c>
      <c r="H839" s="8">
        <v>4.3499999999999996</v>
      </c>
      <c r="I839" s="4">
        <v>0</v>
      </c>
    </row>
    <row r="840" spans="1:9" x14ac:dyDescent="0.2">
      <c r="A840" s="2">
        <v>11</v>
      </c>
      <c r="B840" s="1" t="s">
        <v>233</v>
      </c>
      <c r="C840" s="4">
        <v>1</v>
      </c>
      <c r="D840" s="8">
        <v>1.92</v>
      </c>
      <c r="E840" s="4">
        <v>0</v>
      </c>
      <c r="F840" s="8">
        <v>0</v>
      </c>
      <c r="G840" s="4">
        <v>1</v>
      </c>
      <c r="H840" s="8">
        <v>4.3499999999999996</v>
      </c>
      <c r="I840" s="4">
        <v>0</v>
      </c>
    </row>
    <row r="841" spans="1:9" x14ac:dyDescent="0.2">
      <c r="A841" s="2">
        <v>11</v>
      </c>
      <c r="B841" s="1" t="s">
        <v>170</v>
      </c>
      <c r="C841" s="4">
        <v>1</v>
      </c>
      <c r="D841" s="8">
        <v>1.92</v>
      </c>
      <c r="E841" s="4">
        <v>0</v>
      </c>
      <c r="F841" s="8">
        <v>0</v>
      </c>
      <c r="G841" s="4">
        <v>1</v>
      </c>
      <c r="H841" s="8">
        <v>4.3499999999999996</v>
      </c>
      <c r="I841" s="4">
        <v>0</v>
      </c>
    </row>
    <row r="842" spans="1:9" x14ac:dyDescent="0.2">
      <c r="A842" s="2">
        <v>11</v>
      </c>
      <c r="B842" s="1" t="s">
        <v>186</v>
      </c>
      <c r="C842" s="4">
        <v>1</v>
      </c>
      <c r="D842" s="8">
        <v>1.92</v>
      </c>
      <c r="E842" s="4">
        <v>0</v>
      </c>
      <c r="F842" s="8">
        <v>0</v>
      </c>
      <c r="G842" s="4">
        <v>1</v>
      </c>
      <c r="H842" s="8">
        <v>4.3499999999999996</v>
      </c>
      <c r="I842" s="4">
        <v>0</v>
      </c>
    </row>
    <row r="843" spans="1:9" x14ac:dyDescent="0.2">
      <c r="A843" s="2">
        <v>11</v>
      </c>
      <c r="B843" s="1" t="s">
        <v>182</v>
      </c>
      <c r="C843" s="4">
        <v>1</v>
      </c>
      <c r="D843" s="8">
        <v>1.92</v>
      </c>
      <c r="E843" s="4">
        <v>1</v>
      </c>
      <c r="F843" s="8">
        <v>3.57</v>
      </c>
      <c r="G843" s="4">
        <v>0</v>
      </c>
      <c r="H843" s="8">
        <v>0</v>
      </c>
      <c r="I843" s="4">
        <v>0</v>
      </c>
    </row>
    <row r="844" spans="1:9" x14ac:dyDescent="0.2">
      <c r="A844" s="2">
        <v>11</v>
      </c>
      <c r="B844" s="1" t="s">
        <v>177</v>
      </c>
      <c r="C844" s="4">
        <v>1</v>
      </c>
      <c r="D844" s="8">
        <v>1.92</v>
      </c>
      <c r="E844" s="4">
        <v>1</v>
      </c>
      <c r="F844" s="8">
        <v>3.57</v>
      </c>
      <c r="G844" s="4">
        <v>0</v>
      </c>
      <c r="H844" s="8">
        <v>0</v>
      </c>
      <c r="I844" s="4">
        <v>0</v>
      </c>
    </row>
    <row r="845" spans="1:9" x14ac:dyDescent="0.2">
      <c r="A845" s="2">
        <v>11</v>
      </c>
      <c r="B845" s="1" t="s">
        <v>211</v>
      </c>
      <c r="C845" s="4">
        <v>1</v>
      </c>
      <c r="D845" s="8">
        <v>1.92</v>
      </c>
      <c r="E845" s="4">
        <v>0</v>
      </c>
      <c r="F845" s="8">
        <v>0</v>
      </c>
      <c r="G845" s="4">
        <v>1</v>
      </c>
      <c r="H845" s="8">
        <v>4.3499999999999996</v>
      </c>
      <c r="I845" s="4">
        <v>0</v>
      </c>
    </row>
    <row r="846" spans="1:9" x14ac:dyDescent="0.2">
      <c r="A846" s="1"/>
      <c r="C846" s="4"/>
      <c r="D846" s="8"/>
      <c r="E846" s="4"/>
      <c r="F846" s="8"/>
      <c r="G846" s="4"/>
      <c r="H846" s="8"/>
      <c r="I846" s="4"/>
    </row>
    <row r="847" spans="1:9" x14ac:dyDescent="0.2">
      <c r="A847" s="1" t="s">
        <v>32</v>
      </c>
      <c r="C847" s="4"/>
      <c r="D847" s="8"/>
      <c r="E847" s="4"/>
      <c r="F847" s="8"/>
      <c r="G847" s="4"/>
      <c r="H847" s="8"/>
      <c r="I847" s="4"/>
    </row>
    <row r="848" spans="1:9" x14ac:dyDescent="0.2">
      <c r="A848" s="2">
        <v>1</v>
      </c>
      <c r="B848" s="1" t="s">
        <v>194</v>
      </c>
      <c r="C848" s="4">
        <v>8</v>
      </c>
      <c r="D848" s="8">
        <v>6.84</v>
      </c>
      <c r="E848" s="4">
        <v>7</v>
      </c>
      <c r="F848" s="8">
        <v>8.64</v>
      </c>
      <c r="G848" s="4">
        <v>1</v>
      </c>
      <c r="H848" s="8">
        <v>2.94</v>
      </c>
      <c r="I848" s="4">
        <v>0</v>
      </c>
    </row>
    <row r="849" spans="1:9" x14ac:dyDescent="0.2">
      <c r="A849" s="2">
        <v>2</v>
      </c>
      <c r="B849" s="1" t="s">
        <v>185</v>
      </c>
      <c r="C849" s="4">
        <v>7</v>
      </c>
      <c r="D849" s="8">
        <v>5.98</v>
      </c>
      <c r="E849" s="4">
        <v>3</v>
      </c>
      <c r="F849" s="8">
        <v>3.7</v>
      </c>
      <c r="G849" s="4">
        <v>4</v>
      </c>
      <c r="H849" s="8">
        <v>11.76</v>
      </c>
      <c r="I849" s="4">
        <v>0</v>
      </c>
    </row>
    <row r="850" spans="1:9" x14ac:dyDescent="0.2">
      <c r="A850" s="2">
        <v>2</v>
      </c>
      <c r="B850" s="1" t="s">
        <v>215</v>
      </c>
      <c r="C850" s="4">
        <v>7</v>
      </c>
      <c r="D850" s="8">
        <v>5.98</v>
      </c>
      <c r="E850" s="4">
        <v>6</v>
      </c>
      <c r="F850" s="8">
        <v>7.41</v>
      </c>
      <c r="G850" s="4">
        <v>1</v>
      </c>
      <c r="H850" s="8">
        <v>2.94</v>
      </c>
      <c r="I850" s="4">
        <v>0</v>
      </c>
    </row>
    <row r="851" spans="1:9" x14ac:dyDescent="0.2">
      <c r="A851" s="2">
        <v>2</v>
      </c>
      <c r="B851" s="1" t="s">
        <v>173</v>
      </c>
      <c r="C851" s="4">
        <v>7</v>
      </c>
      <c r="D851" s="8">
        <v>5.98</v>
      </c>
      <c r="E851" s="4">
        <v>7</v>
      </c>
      <c r="F851" s="8">
        <v>8.64</v>
      </c>
      <c r="G851" s="4">
        <v>0</v>
      </c>
      <c r="H851" s="8">
        <v>0</v>
      </c>
      <c r="I851" s="4">
        <v>0</v>
      </c>
    </row>
    <row r="852" spans="1:9" x14ac:dyDescent="0.2">
      <c r="A852" s="2">
        <v>5</v>
      </c>
      <c r="B852" s="1" t="s">
        <v>174</v>
      </c>
      <c r="C852" s="4">
        <v>6</v>
      </c>
      <c r="D852" s="8">
        <v>5.13</v>
      </c>
      <c r="E852" s="4">
        <v>6</v>
      </c>
      <c r="F852" s="8">
        <v>7.41</v>
      </c>
      <c r="G852" s="4">
        <v>0</v>
      </c>
      <c r="H852" s="8">
        <v>0</v>
      </c>
      <c r="I852" s="4">
        <v>0</v>
      </c>
    </row>
    <row r="853" spans="1:9" x14ac:dyDescent="0.2">
      <c r="A853" s="2">
        <v>6</v>
      </c>
      <c r="B853" s="1" t="s">
        <v>163</v>
      </c>
      <c r="C853" s="4">
        <v>4</v>
      </c>
      <c r="D853" s="8">
        <v>3.42</v>
      </c>
      <c r="E853" s="4">
        <v>3</v>
      </c>
      <c r="F853" s="8">
        <v>3.7</v>
      </c>
      <c r="G853" s="4">
        <v>0</v>
      </c>
      <c r="H853" s="8">
        <v>0</v>
      </c>
      <c r="I853" s="4">
        <v>1</v>
      </c>
    </row>
    <row r="854" spans="1:9" x14ac:dyDescent="0.2">
      <c r="A854" s="2">
        <v>6</v>
      </c>
      <c r="B854" s="1" t="s">
        <v>181</v>
      </c>
      <c r="C854" s="4">
        <v>4</v>
      </c>
      <c r="D854" s="8">
        <v>3.42</v>
      </c>
      <c r="E854" s="4">
        <v>3</v>
      </c>
      <c r="F854" s="8">
        <v>3.7</v>
      </c>
      <c r="G854" s="4">
        <v>1</v>
      </c>
      <c r="H854" s="8">
        <v>2.94</v>
      </c>
      <c r="I854" s="4">
        <v>0</v>
      </c>
    </row>
    <row r="855" spans="1:9" x14ac:dyDescent="0.2">
      <c r="A855" s="2">
        <v>8</v>
      </c>
      <c r="B855" s="1" t="s">
        <v>212</v>
      </c>
      <c r="C855" s="4">
        <v>3</v>
      </c>
      <c r="D855" s="8">
        <v>2.56</v>
      </c>
      <c r="E855" s="4">
        <v>1</v>
      </c>
      <c r="F855" s="8">
        <v>1.23</v>
      </c>
      <c r="G855" s="4">
        <v>2</v>
      </c>
      <c r="H855" s="8">
        <v>5.88</v>
      </c>
      <c r="I855" s="4">
        <v>0</v>
      </c>
    </row>
    <row r="856" spans="1:9" x14ac:dyDescent="0.2">
      <c r="A856" s="2">
        <v>8</v>
      </c>
      <c r="B856" s="1" t="s">
        <v>193</v>
      </c>
      <c r="C856" s="4">
        <v>3</v>
      </c>
      <c r="D856" s="8">
        <v>2.56</v>
      </c>
      <c r="E856" s="4">
        <v>3</v>
      </c>
      <c r="F856" s="8">
        <v>3.7</v>
      </c>
      <c r="G856" s="4">
        <v>0</v>
      </c>
      <c r="H856" s="8">
        <v>0</v>
      </c>
      <c r="I856" s="4">
        <v>0</v>
      </c>
    </row>
    <row r="857" spans="1:9" x14ac:dyDescent="0.2">
      <c r="A857" s="2">
        <v>8</v>
      </c>
      <c r="B857" s="1" t="s">
        <v>208</v>
      </c>
      <c r="C857" s="4">
        <v>3</v>
      </c>
      <c r="D857" s="8">
        <v>2.56</v>
      </c>
      <c r="E857" s="4">
        <v>2</v>
      </c>
      <c r="F857" s="8">
        <v>2.4700000000000002</v>
      </c>
      <c r="G857" s="4">
        <v>1</v>
      </c>
      <c r="H857" s="8">
        <v>2.94</v>
      </c>
      <c r="I857" s="4">
        <v>0</v>
      </c>
    </row>
    <row r="858" spans="1:9" x14ac:dyDescent="0.2">
      <c r="A858" s="2">
        <v>8</v>
      </c>
      <c r="B858" s="1" t="s">
        <v>170</v>
      </c>
      <c r="C858" s="4">
        <v>3</v>
      </c>
      <c r="D858" s="8">
        <v>2.56</v>
      </c>
      <c r="E858" s="4">
        <v>3</v>
      </c>
      <c r="F858" s="8">
        <v>3.7</v>
      </c>
      <c r="G858" s="4">
        <v>0</v>
      </c>
      <c r="H858" s="8">
        <v>0</v>
      </c>
      <c r="I858" s="4">
        <v>0</v>
      </c>
    </row>
    <row r="859" spans="1:9" x14ac:dyDescent="0.2">
      <c r="A859" s="2">
        <v>8</v>
      </c>
      <c r="B859" s="1" t="s">
        <v>200</v>
      </c>
      <c r="C859" s="4">
        <v>3</v>
      </c>
      <c r="D859" s="8">
        <v>2.56</v>
      </c>
      <c r="E859" s="4">
        <v>0</v>
      </c>
      <c r="F859" s="8">
        <v>0</v>
      </c>
      <c r="G859" s="4">
        <v>3</v>
      </c>
      <c r="H859" s="8">
        <v>8.82</v>
      </c>
      <c r="I859" s="4">
        <v>0</v>
      </c>
    </row>
    <row r="860" spans="1:9" x14ac:dyDescent="0.2">
      <c r="A860" s="2">
        <v>8</v>
      </c>
      <c r="B860" s="1" t="s">
        <v>177</v>
      </c>
      <c r="C860" s="4">
        <v>3</v>
      </c>
      <c r="D860" s="8">
        <v>2.56</v>
      </c>
      <c r="E860" s="4">
        <v>3</v>
      </c>
      <c r="F860" s="8">
        <v>3.7</v>
      </c>
      <c r="G860" s="4">
        <v>0</v>
      </c>
      <c r="H860" s="8">
        <v>0</v>
      </c>
      <c r="I860" s="4">
        <v>0</v>
      </c>
    </row>
    <row r="861" spans="1:9" x14ac:dyDescent="0.2">
      <c r="A861" s="2">
        <v>14</v>
      </c>
      <c r="B861" s="1" t="s">
        <v>158</v>
      </c>
      <c r="C861" s="4">
        <v>2</v>
      </c>
      <c r="D861" s="8">
        <v>1.71</v>
      </c>
      <c r="E861" s="4">
        <v>2</v>
      </c>
      <c r="F861" s="8">
        <v>2.4700000000000002</v>
      </c>
      <c r="G861" s="4">
        <v>0</v>
      </c>
      <c r="H861" s="8">
        <v>0</v>
      </c>
      <c r="I861" s="4">
        <v>0</v>
      </c>
    </row>
    <row r="862" spans="1:9" x14ac:dyDescent="0.2">
      <c r="A862" s="2">
        <v>14</v>
      </c>
      <c r="B862" s="1" t="s">
        <v>229</v>
      </c>
      <c r="C862" s="4">
        <v>2</v>
      </c>
      <c r="D862" s="8">
        <v>1.71</v>
      </c>
      <c r="E862" s="4">
        <v>2</v>
      </c>
      <c r="F862" s="8">
        <v>2.4700000000000002</v>
      </c>
      <c r="G862" s="4">
        <v>0</v>
      </c>
      <c r="H862" s="8">
        <v>0</v>
      </c>
      <c r="I862" s="4">
        <v>0</v>
      </c>
    </row>
    <row r="863" spans="1:9" x14ac:dyDescent="0.2">
      <c r="A863" s="2">
        <v>14</v>
      </c>
      <c r="B863" s="1" t="s">
        <v>277</v>
      </c>
      <c r="C863" s="4">
        <v>2</v>
      </c>
      <c r="D863" s="8">
        <v>1.71</v>
      </c>
      <c r="E863" s="4">
        <v>0</v>
      </c>
      <c r="F863" s="8">
        <v>0</v>
      </c>
      <c r="G863" s="4">
        <v>2</v>
      </c>
      <c r="H863" s="8">
        <v>5.88</v>
      </c>
      <c r="I863" s="4">
        <v>0</v>
      </c>
    </row>
    <row r="864" spans="1:9" x14ac:dyDescent="0.2">
      <c r="A864" s="2">
        <v>14</v>
      </c>
      <c r="B864" s="1" t="s">
        <v>241</v>
      </c>
      <c r="C864" s="4">
        <v>2</v>
      </c>
      <c r="D864" s="8">
        <v>1.71</v>
      </c>
      <c r="E864" s="4">
        <v>2</v>
      </c>
      <c r="F864" s="8">
        <v>2.4700000000000002</v>
      </c>
      <c r="G864" s="4">
        <v>0</v>
      </c>
      <c r="H864" s="8">
        <v>0</v>
      </c>
      <c r="I864" s="4">
        <v>0</v>
      </c>
    </row>
    <row r="865" spans="1:9" x14ac:dyDescent="0.2">
      <c r="A865" s="2">
        <v>14</v>
      </c>
      <c r="B865" s="1" t="s">
        <v>278</v>
      </c>
      <c r="C865" s="4">
        <v>2</v>
      </c>
      <c r="D865" s="8">
        <v>1.71</v>
      </c>
      <c r="E865" s="4">
        <v>2</v>
      </c>
      <c r="F865" s="8">
        <v>2.4700000000000002</v>
      </c>
      <c r="G865" s="4">
        <v>0</v>
      </c>
      <c r="H865" s="8">
        <v>0</v>
      </c>
      <c r="I865" s="4">
        <v>0</v>
      </c>
    </row>
    <row r="866" spans="1:9" x14ac:dyDescent="0.2">
      <c r="A866" s="2">
        <v>14</v>
      </c>
      <c r="B866" s="1" t="s">
        <v>191</v>
      </c>
      <c r="C866" s="4">
        <v>2</v>
      </c>
      <c r="D866" s="8">
        <v>1.71</v>
      </c>
      <c r="E866" s="4">
        <v>2</v>
      </c>
      <c r="F866" s="8">
        <v>2.4700000000000002</v>
      </c>
      <c r="G866" s="4">
        <v>0</v>
      </c>
      <c r="H866" s="8">
        <v>0</v>
      </c>
      <c r="I866" s="4">
        <v>0</v>
      </c>
    </row>
    <row r="867" spans="1:9" x14ac:dyDescent="0.2">
      <c r="A867" s="2">
        <v>14</v>
      </c>
      <c r="B867" s="1" t="s">
        <v>178</v>
      </c>
      <c r="C867" s="4">
        <v>2</v>
      </c>
      <c r="D867" s="8">
        <v>1.71</v>
      </c>
      <c r="E867" s="4">
        <v>2</v>
      </c>
      <c r="F867" s="8">
        <v>2.4700000000000002</v>
      </c>
      <c r="G867" s="4">
        <v>0</v>
      </c>
      <c r="H867" s="8">
        <v>0</v>
      </c>
      <c r="I867" s="4">
        <v>0</v>
      </c>
    </row>
    <row r="868" spans="1:9" x14ac:dyDescent="0.2">
      <c r="A868" s="2">
        <v>14</v>
      </c>
      <c r="B868" s="1" t="s">
        <v>166</v>
      </c>
      <c r="C868" s="4">
        <v>2</v>
      </c>
      <c r="D868" s="8">
        <v>1.71</v>
      </c>
      <c r="E868" s="4">
        <v>2</v>
      </c>
      <c r="F868" s="8">
        <v>2.4700000000000002</v>
      </c>
      <c r="G868" s="4">
        <v>0</v>
      </c>
      <c r="H868" s="8">
        <v>0</v>
      </c>
      <c r="I868" s="4">
        <v>0</v>
      </c>
    </row>
    <row r="869" spans="1:9" x14ac:dyDescent="0.2">
      <c r="A869" s="2">
        <v>14</v>
      </c>
      <c r="B869" s="1" t="s">
        <v>232</v>
      </c>
      <c r="C869" s="4">
        <v>2</v>
      </c>
      <c r="D869" s="8">
        <v>1.71</v>
      </c>
      <c r="E869" s="4">
        <v>1</v>
      </c>
      <c r="F869" s="8">
        <v>1.23</v>
      </c>
      <c r="G869" s="4">
        <v>1</v>
      </c>
      <c r="H869" s="8">
        <v>2.94</v>
      </c>
      <c r="I869" s="4">
        <v>0</v>
      </c>
    </row>
    <row r="870" spans="1:9" x14ac:dyDescent="0.2">
      <c r="A870" s="2">
        <v>14</v>
      </c>
      <c r="B870" s="1" t="s">
        <v>172</v>
      </c>
      <c r="C870" s="4">
        <v>2</v>
      </c>
      <c r="D870" s="8">
        <v>1.71</v>
      </c>
      <c r="E870" s="4">
        <v>2</v>
      </c>
      <c r="F870" s="8">
        <v>2.4700000000000002</v>
      </c>
      <c r="G870" s="4">
        <v>0</v>
      </c>
      <c r="H870" s="8">
        <v>0</v>
      </c>
      <c r="I870" s="4">
        <v>0</v>
      </c>
    </row>
    <row r="871" spans="1:9" x14ac:dyDescent="0.2">
      <c r="A871" s="1"/>
      <c r="C871" s="4"/>
      <c r="D871" s="8"/>
      <c r="E871" s="4"/>
      <c r="F871" s="8"/>
      <c r="G871" s="4"/>
      <c r="H871" s="8"/>
      <c r="I871" s="4"/>
    </row>
    <row r="872" spans="1:9" x14ac:dyDescent="0.2">
      <c r="A872" s="1" t="s">
        <v>33</v>
      </c>
      <c r="C872" s="4"/>
      <c r="D872" s="8"/>
      <c r="E872" s="4"/>
      <c r="F872" s="8"/>
      <c r="G872" s="4"/>
      <c r="H872" s="8"/>
      <c r="I872" s="4"/>
    </row>
    <row r="873" spans="1:9" x14ac:dyDescent="0.2">
      <c r="A873" s="2">
        <v>1</v>
      </c>
      <c r="B873" s="1" t="s">
        <v>174</v>
      </c>
      <c r="C873" s="4">
        <v>4</v>
      </c>
      <c r="D873" s="8">
        <v>7.41</v>
      </c>
      <c r="E873" s="4">
        <v>4</v>
      </c>
      <c r="F873" s="8">
        <v>11.11</v>
      </c>
      <c r="G873" s="4">
        <v>0</v>
      </c>
      <c r="H873" s="8">
        <v>0</v>
      </c>
      <c r="I873" s="4">
        <v>0</v>
      </c>
    </row>
    <row r="874" spans="1:9" x14ac:dyDescent="0.2">
      <c r="A874" s="2">
        <v>2</v>
      </c>
      <c r="B874" s="1" t="s">
        <v>223</v>
      </c>
      <c r="C874" s="4">
        <v>3</v>
      </c>
      <c r="D874" s="8">
        <v>5.56</v>
      </c>
      <c r="E874" s="4">
        <v>2</v>
      </c>
      <c r="F874" s="8">
        <v>5.56</v>
      </c>
      <c r="G874" s="4">
        <v>1</v>
      </c>
      <c r="H874" s="8">
        <v>6.25</v>
      </c>
      <c r="I874" s="4">
        <v>0</v>
      </c>
    </row>
    <row r="875" spans="1:9" x14ac:dyDescent="0.2">
      <c r="A875" s="2">
        <v>2</v>
      </c>
      <c r="B875" s="1" t="s">
        <v>173</v>
      </c>
      <c r="C875" s="4">
        <v>3</v>
      </c>
      <c r="D875" s="8">
        <v>5.56</v>
      </c>
      <c r="E875" s="4">
        <v>3</v>
      </c>
      <c r="F875" s="8">
        <v>8.33</v>
      </c>
      <c r="G875" s="4">
        <v>0</v>
      </c>
      <c r="H875" s="8">
        <v>0</v>
      </c>
      <c r="I875" s="4">
        <v>0</v>
      </c>
    </row>
    <row r="876" spans="1:9" x14ac:dyDescent="0.2">
      <c r="A876" s="2">
        <v>4</v>
      </c>
      <c r="B876" s="1" t="s">
        <v>158</v>
      </c>
      <c r="C876" s="4">
        <v>2</v>
      </c>
      <c r="D876" s="8">
        <v>3.7</v>
      </c>
      <c r="E876" s="4">
        <v>0</v>
      </c>
      <c r="F876" s="8">
        <v>0</v>
      </c>
      <c r="G876" s="4">
        <v>2</v>
      </c>
      <c r="H876" s="8">
        <v>12.5</v>
      </c>
      <c r="I876" s="4">
        <v>0</v>
      </c>
    </row>
    <row r="877" spans="1:9" x14ac:dyDescent="0.2">
      <c r="A877" s="2">
        <v>4</v>
      </c>
      <c r="B877" s="1" t="s">
        <v>162</v>
      </c>
      <c r="C877" s="4">
        <v>2</v>
      </c>
      <c r="D877" s="8">
        <v>3.7</v>
      </c>
      <c r="E877" s="4">
        <v>2</v>
      </c>
      <c r="F877" s="8">
        <v>5.56</v>
      </c>
      <c r="G877" s="4">
        <v>0</v>
      </c>
      <c r="H877" s="8">
        <v>0</v>
      </c>
      <c r="I877" s="4">
        <v>0</v>
      </c>
    </row>
    <row r="878" spans="1:9" x14ac:dyDescent="0.2">
      <c r="A878" s="2">
        <v>4</v>
      </c>
      <c r="B878" s="1" t="s">
        <v>208</v>
      </c>
      <c r="C878" s="4">
        <v>2</v>
      </c>
      <c r="D878" s="8">
        <v>3.7</v>
      </c>
      <c r="E878" s="4">
        <v>1</v>
      </c>
      <c r="F878" s="8">
        <v>2.78</v>
      </c>
      <c r="G878" s="4">
        <v>1</v>
      </c>
      <c r="H878" s="8">
        <v>6.25</v>
      </c>
      <c r="I878" s="4">
        <v>0</v>
      </c>
    </row>
    <row r="879" spans="1:9" x14ac:dyDescent="0.2">
      <c r="A879" s="2">
        <v>4</v>
      </c>
      <c r="B879" s="1" t="s">
        <v>185</v>
      </c>
      <c r="C879" s="4">
        <v>2</v>
      </c>
      <c r="D879" s="8">
        <v>3.7</v>
      </c>
      <c r="E879" s="4">
        <v>0</v>
      </c>
      <c r="F879" s="8">
        <v>0</v>
      </c>
      <c r="G879" s="4">
        <v>2</v>
      </c>
      <c r="H879" s="8">
        <v>12.5</v>
      </c>
      <c r="I879" s="4">
        <v>0</v>
      </c>
    </row>
    <row r="880" spans="1:9" x14ac:dyDescent="0.2">
      <c r="A880" s="2">
        <v>4</v>
      </c>
      <c r="B880" s="1" t="s">
        <v>215</v>
      </c>
      <c r="C880" s="4">
        <v>2</v>
      </c>
      <c r="D880" s="8">
        <v>3.7</v>
      </c>
      <c r="E880" s="4">
        <v>2</v>
      </c>
      <c r="F880" s="8">
        <v>5.56</v>
      </c>
      <c r="G880" s="4">
        <v>0</v>
      </c>
      <c r="H880" s="8">
        <v>0</v>
      </c>
      <c r="I880" s="4">
        <v>0</v>
      </c>
    </row>
    <row r="881" spans="1:9" x14ac:dyDescent="0.2">
      <c r="A881" s="2">
        <v>4</v>
      </c>
      <c r="B881" s="1" t="s">
        <v>216</v>
      </c>
      <c r="C881" s="4">
        <v>2</v>
      </c>
      <c r="D881" s="8">
        <v>3.7</v>
      </c>
      <c r="E881" s="4">
        <v>2</v>
      </c>
      <c r="F881" s="8">
        <v>5.56</v>
      </c>
      <c r="G881" s="4">
        <v>0</v>
      </c>
      <c r="H881" s="8">
        <v>0</v>
      </c>
      <c r="I881" s="4">
        <v>0</v>
      </c>
    </row>
    <row r="882" spans="1:9" x14ac:dyDescent="0.2">
      <c r="A882" s="2">
        <v>4</v>
      </c>
      <c r="B882" s="1" t="s">
        <v>269</v>
      </c>
      <c r="C882" s="4">
        <v>2</v>
      </c>
      <c r="D882" s="8">
        <v>3.7</v>
      </c>
      <c r="E882" s="4">
        <v>2</v>
      </c>
      <c r="F882" s="8">
        <v>5.56</v>
      </c>
      <c r="G882" s="4">
        <v>0</v>
      </c>
      <c r="H882" s="8">
        <v>0</v>
      </c>
      <c r="I882" s="4">
        <v>0</v>
      </c>
    </row>
    <row r="883" spans="1:9" x14ac:dyDescent="0.2">
      <c r="A883" s="2">
        <v>4</v>
      </c>
      <c r="B883" s="1" t="s">
        <v>236</v>
      </c>
      <c r="C883" s="4">
        <v>2</v>
      </c>
      <c r="D883" s="8">
        <v>3.7</v>
      </c>
      <c r="E883" s="4">
        <v>0</v>
      </c>
      <c r="F883" s="8">
        <v>0</v>
      </c>
      <c r="G883" s="4">
        <v>1</v>
      </c>
      <c r="H883" s="8">
        <v>6.25</v>
      </c>
      <c r="I883" s="4">
        <v>0</v>
      </c>
    </row>
    <row r="884" spans="1:9" x14ac:dyDescent="0.2">
      <c r="A884" s="2">
        <v>12</v>
      </c>
      <c r="B884" s="1" t="s">
        <v>160</v>
      </c>
      <c r="C884" s="4">
        <v>1</v>
      </c>
      <c r="D884" s="8">
        <v>1.85</v>
      </c>
      <c r="E884" s="4">
        <v>1</v>
      </c>
      <c r="F884" s="8">
        <v>2.78</v>
      </c>
      <c r="G884" s="4">
        <v>0</v>
      </c>
      <c r="H884" s="8">
        <v>0</v>
      </c>
      <c r="I884" s="4">
        <v>0</v>
      </c>
    </row>
    <row r="885" spans="1:9" x14ac:dyDescent="0.2">
      <c r="A885" s="2">
        <v>12</v>
      </c>
      <c r="B885" s="1" t="s">
        <v>194</v>
      </c>
      <c r="C885" s="4">
        <v>1</v>
      </c>
      <c r="D885" s="8">
        <v>1.85</v>
      </c>
      <c r="E885" s="4">
        <v>1</v>
      </c>
      <c r="F885" s="8">
        <v>2.78</v>
      </c>
      <c r="G885" s="4">
        <v>0</v>
      </c>
      <c r="H885" s="8">
        <v>0</v>
      </c>
      <c r="I885" s="4">
        <v>0</v>
      </c>
    </row>
    <row r="886" spans="1:9" x14ac:dyDescent="0.2">
      <c r="A886" s="2">
        <v>12</v>
      </c>
      <c r="B886" s="1" t="s">
        <v>201</v>
      </c>
      <c r="C886" s="4">
        <v>1</v>
      </c>
      <c r="D886" s="8">
        <v>1.85</v>
      </c>
      <c r="E886" s="4">
        <v>1</v>
      </c>
      <c r="F886" s="8">
        <v>2.78</v>
      </c>
      <c r="G886" s="4">
        <v>0</v>
      </c>
      <c r="H886" s="8">
        <v>0</v>
      </c>
      <c r="I886" s="4">
        <v>0</v>
      </c>
    </row>
    <row r="887" spans="1:9" x14ac:dyDescent="0.2">
      <c r="A887" s="2">
        <v>12</v>
      </c>
      <c r="B887" s="1" t="s">
        <v>279</v>
      </c>
      <c r="C887" s="4">
        <v>1</v>
      </c>
      <c r="D887" s="8">
        <v>1.85</v>
      </c>
      <c r="E887" s="4">
        <v>0</v>
      </c>
      <c r="F887" s="8">
        <v>0</v>
      </c>
      <c r="G887" s="4">
        <v>1</v>
      </c>
      <c r="H887" s="8">
        <v>6.25</v>
      </c>
      <c r="I887" s="4">
        <v>0</v>
      </c>
    </row>
    <row r="888" spans="1:9" x14ac:dyDescent="0.2">
      <c r="A888" s="2">
        <v>12</v>
      </c>
      <c r="B888" s="1" t="s">
        <v>273</v>
      </c>
      <c r="C888" s="4">
        <v>1</v>
      </c>
      <c r="D888" s="8">
        <v>1.85</v>
      </c>
      <c r="E888" s="4">
        <v>1</v>
      </c>
      <c r="F888" s="8">
        <v>2.78</v>
      </c>
      <c r="G888" s="4">
        <v>0</v>
      </c>
      <c r="H888" s="8">
        <v>0</v>
      </c>
      <c r="I888" s="4">
        <v>0</v>
      </c>
    </row>
    <row r="889" spans="1:9" x14ac:dyDescent="0.2">
      <c r="A889" s="2">
        <v>12</v>
      </c>
      <c r="B889" s="1" t="s">
        <v>280</v>
      </c>
      <c r="C889" s="4">
        <v>1</v>
      </c>
      <c r="D889" s="8">
        <v>1.85</v>
      </c>
      <c r="E889" s="4">
        <v>1</v>
      </c>
      <c r="F889" s="8">
        <v>2.78</v>
      </c>
      <c r="G889" s="4">
        <v>0</v>
      </c>
      <c r="H889" s="8">
        <v>0</v>
      </c>
      <c r="I889" s="4">
        <v>0</v>
      </c>
    </row>
    <row r="890" spans="1:9" x14ac:dyDescent="0.2">
      <c r="A890" s="2">
        <v>12</v>
      </c>
      <c r="B890" s="1" t="s">
        <v>219</v>
      </c>
      <c r="C890" s="4">
        <v>1</v>
      </c>
      <c r="D890" s="8">
        <v>1.85</v>
      </c>
      <c r="E890" s="4">
        <v>1</v>
      </c>
      <c r="F890" s="8">
        <v>2.78</v>
      </c>
      <c r="G890" s="4">
        <v>0</v>
      </c>
      <c r="H890" s="8">
        <v>0</v>
      </c>
      <c r="I890" s="4">
        <v>0</v>
      </c>
    </row>
    <row r="891" spans="1:9" x14ac:dyDescent="0.2">
      <c r="A891" s="2">
        <v>12</v>
      </c>
      <c r="B891" s="1" t="s">
        <v>263</v>
      </c>
      <c r="C891" s="4">
        <v>1</v>
      </c>
      <c r="D891" s="8">
        <v>1.85</v>
      </c>
      <c r="E891" s="4">
        <v>1</v>
      </c>
      <c r="F891" s="8">
        <v>2.78</v>
      </c>
      <c r="G891" s="4">
        <v>0</v>
      </c>
      <c r="H891" s="8">
        <v>0</v>
      </c>
      <c r="I891" s="4">
        <v>0</v>
      </c>
    </row>
    <row r="892" spans="1:9" x14ac:dyDescent="0.2">
      <c r="A892" s="2">
        <v>12</v>
      </c>
      <c r="B892" s="1" t="s">
        <v>256</v>
      </c>
      <c r="C892" s="4">
        <v>1</v>
      </c>
      <c r="D892" s="8">
        <v>1.85</v>
      </c>
      <c r="E892" s="4">
        <v>0</v>
      </c>
      <c r="F892" s="8">
        <v>0</v>
      </c>
      <c r="G892" s="4">
        <v>1</v>
      </c>
      <c r="H892" s="8">
        <v>6.25</v>
      </c>
      <c r="I892" s="4">
        <v>0</v>
      </c>
    </row>
    <row r="893" spans="1:9" x14ac:dyDescent="0.2">
      <c r="A893" s="2">
        <v>12</v>
      </c>
      <c r="B893" s="1" t="s">
        <v>241</v>
      </c>
      <c r="C893" s="4">
        <v>1</v>
      </c>
      <c r="D893" s="8">
        <v>1.85</v>
      </c>
      <c r="E893" s="4">
        <v>1</v>
      </c>
      <c r="F893" s="8">
        <v>2.78</v>
      </c>
      <c r="G893" s="4">
        <v>0</v>
      </c>
      <c r="H893" s="8">
        <v>0</v>
      </c>
      <c r="I893" s="4">
        <v>0</v>
      </c>
    </row>
    <row r="894" spans="1:9" x14ac:dyDescent="0.2">
      <c r="A894" s="2">
        <v>12</v>
      </c>
      <c r="B894" s="1" t="s">
        <v>281</v>
      </c>
      <c r="C894" s="4">
        <v>1</v>
      </c>
      <c r="D894" s="8">
        <v>1.85</v>
      </c>
      <c r="E894" s="4">
        <v>0</v>
      </c>
      <c r="F894" s="8">
        <v>0</v>
      </c>
      <c r="G894" s="4">
        <v>1</v>
      </c>
      <c r="H894" s="8">
        <v>6.25</v>
      </c>
      <c r="I894" s="4">
        <v>0</v>
      </c>
    </row>
    <row r="895" spans="1:9" x14ac:dyDescent="0.2">
      <c r="A895" s="2">
        <v>12</v>
      </c>
      <c r="B895" s="1" t="s">
        <v>222</v>
      </c>
      <c r="C895" s="4">
        <v>1</v>
      </c>
      <c r="D895" s="8">
        <v>1.85</v>
      </c>
      <c r="E895" s="4">
        <v>1</v>
      </c>
      <c r="F895" s="8">
        <v>2.78</v>
      </c>
      <c r="G895" s="4">
        <v>0</v>
      </c>
      <c r="H895" s="8">
        <v>0</v>
      </c>
      <c r="I895" s="4">
        <v>0</v>
      </c>
    </row>
    <row r="896" spans="1:9" x14ac:dyDescent="0.2">
      <c r="A896" s="2">
        <v>12</v>
      </c>
      <c r="B896" s="1" t="s">
        <v>212</v>
      </c>
      <c r="C896" s="4">
        <v>1</v>
      </c>
      <c r="D896" s="8">
        <v>1.85</v>
      </c>
      <c r="E896" s="4">
        <v>0</v>
      </c>
      <c r="F896" s="8">
        <v>0</v>
      </c>
      <c r="G896" s="4">
        <v>1</v>
      </c>
      <c r="H896" s="8">
        <v>6.25</v>
      </c>
      <c r="I896" s="4">
        <v>0</v>
      </c>
    </row>
    <row r="897" spans="1:9" x14ac:dyDescent="0.2">
      <c r="A897" s="2">
        <v>12</v>
      </c>
      <c r="B897" s="1" t="s">
        <v>191</v>
      </c>
      <c r="C897" s="4">
        <v>1</v>
      </c>
      <c r="D897" s="8">
        <v>1.85</v>
      </c>
      <c r="E897" s="4">
        <v>1</v>
      </c>
      <c r="F897" s="8">
        <v>2.78</v>
      </c>
      <c r="G897" s="4">
        <v>0</v>
      </c>
      <c r="H897" s="8">
        <v>0</v>
      </c>
      <c r="I897" s="4">
        <v>0</v>
      </c>
    </row>
    <row r="898" spans="1:9" x14ac:dyDescent="0.2">
      <c r="A898" s="2">
        <v>12</v>
      </c>
      <c r="B898" s="1" t="s">
        <v>178</v>
      </c>
      <c r="C898" s="4">
        <v>1</v>
      </c>
      <c r="D898" s="8">
        <v>1.85</v>
      </c>
      <c r="E898" s="4">
        <v>0</v>
      </c>
      <c r="F898" s="8">
        <v>0</v>
      </c>
      <c r="G898" s="4">
        <v>1</v>
      </c>
      <c r="H898" s="8">
        <v>6.25</v>
      </c>
      <c r="I898" s="4">
        <v>0</v>
      </c>
    </row>
    <row r="899" spans="1:9" x14ac:dyDescent="0.2">
      <c r="A899" s="2">
        <v>12</v>
      </c>
      <c r="B899" s="1" t="s">
        <v>163</v>
      </c>
      <c r="C899" s="4">
        <v>1</v>
      </c>
      <c r="D899" s="8">
        <v>1.85</v>
      </c>
      <c r="E899" s="4">
        <v>1</v>
      </c>
      <c r="F899" s="8">
        <v>2.78</v>
      </c>
      <c r="G899" s="4">
        <v>0</v>
      </c>
      <c r="H899" s="8">
        <v>0</v>
      </c>
      <c r="I899" s="4">
        <v>0</v>
      </c>
    </row>
    <row r="900" spans="1:9" x14ac:dyDescent="0.2">
      <c r="A900" s="2">
        <v>12</v>
      </c>
      <c r="B900" s="1" t="s">
        <v>165</v>
      </c>
      <c r="C900" s="4">
        <v>1</v>
      </c>
      <c r="D900" s="8">
        <v>1.85</v>
      </c>
      <c r="E900" s="4">
        <v>0</v>
      </c>
      <c r="F900" s="8">
        <v>0</v>
      </c>
      <c r="G900" s="4">
        <v>1</v>
      </c>
      <c r="H900" s="8">
        <v>6.25</v>
      </c>
      <c r="I900" s="4">
        <v>0</v>
      </c>
    </row>
    <row r="901" spans="1:9" x14ac:dyDescent="0.2">
      <c r="A901" s="2">
        <v>12</v>
      </c>
      <c r="B901" s="1" t="s">
        <v>243</v>
      </c>
      <c r="C901" s="4">
        <v>1</v>
      </c>
      <c r="D901" s="8">
        <v>1.85</v>
      </c>
      <c r="E901" s="4">
        <v>1</v>
      </c>
      <c r="F901" s="8">
        <v>2.78</v>
      </c>
      <c r="G901" s="4">
        <v>0</v>
      </c>
      <c r="H901" s="8">
        <v>0</v>
      </c>
      <c r="I901" s="4">
        <v>0</v>
      </c>
    </row>
    <row r="902" spans="1:9" x14ac:dyDescent="0.2">
      <c r="A902" s="2">
        <v>12</v>
      </c>
      <c r="B902" s="1" t="s">
        <v>204</v>
      </c>
      <c r="C902" s="4">
        <v>1</v>
      </c>
      <c r="D902" s="8">
        <v>1.85</v>
      </c>
      <c r="E902" s="4">
        <v>1</v>
      </c>
      <c r="F902" s="8">
        <v>2.78</v>
      </c>
      <c r="G902" s="4">
        <v>0</v>
      </c>
      <c r="H902" s="8">
        <v>0</v>
      </c>
      <c r="I902" s="4">
        <v>0</v>
      </c>
    </row>
    <row r="903" spans="1:9" x14ac:dyDescent="0.2">
      <c r="A903" s="2">
        <v>12</v>
      </c>
      <c r="B903" s="1" t="s">
        <v>233</v>
      </c>
      <c r="C903" s="4">
        <v>1</v>
      </c>
      <c r="D903" s="8">
        <v>1.85</v>
      </c>
      <c r="E903" s="4">
        <v>1</v>
      </c>
      <c r="F903" s="8">
        <v>2.78</v>
      </c>
      <c r="G903" s="4">
        <v>0</v>
      </c>
      <c r="H903" s="8">
        <v>0</v>
      </c>
      <c r="I903" s="4">
        <v>0</v>
      </c>
    </row>
    <row r="904" spans="1:9" x14ac:dyDescent="0.2">
      <c r="A904" s="2">
        <v>12</v>
      </c>
      <c r="B904" s="1" t="s">
        <v>181</v>
      </c>
      <c r="C904" s="4">
        <v>1</v>
      </c>
      <c r="D904" s="8">
        <v>1.85</v>
      </c>
      <c r="E904" s="4">
        <v>1</v>
      </c>
      <c r="F904" s="8">
        <v>2.78</v>
      </c>
      <c r="G904" s="4">
        <v>0</v>
      </c>
      <c r="H904" s="8">
        <v>0</v>
      </c>
      <c r="I904" s="4">
        <v>0</v>
      </c>
    </row>
    <row r="905" spans="1:9" x14ac:dyDescent="0.2">
      <c r="A905" s="2">
        <v>12</v>
      </c>
      <c r="B905" s="1" t="s">
        <v>170</v>
      </c>
      <c r="C905" s="4">
        <v>1</v>
      </c>
      <c r="D905" s="8">
        <v>1.85</v>
      </c>
      <c r="E905" s="4">
        <v>0</v>
      </c>
      <c r="F905" s="8">
        <v>0</v>
      </c>
      <c r="G905" s="4">
        <v>1</v>
      </c>
      <c r="H905" s="8">
        <v>6.25</v>
      </c>
      <c r="I905" s="4">
        <v>0</v>
      </c>
    </row>
    <row r="906" spans="1:9" x14ac:dyDescent="0.2">
      <c r="A906" s="2">
        <v>12</v>
      </c>
      <c r="B906" s="1" t="s">
        <v>171</v>
      </c>
      <c r="C906" s="4">
        <v>1</v>
      </c>
      <c r="D906" s="8">
        <v>1.85</v>
      </c>
      <c r="E906" s="4">
        <v>1</v>
      </c>
      <c r="F906" s="8">
        <v>2.78</v>
      </c>
      <c r="G906" s="4">
        <v>0</v>
      </c>
      <c r="H906" s="8">
        <v>0</v>
      </c>
      <c r="I906" s="4">
        <v>0</v>
      </c>
    </row>
    <row r="907" spans="1:9" x14ac:dyDescent="0.2">
      <c r="A907" s="2">
        <v>12</v>
      </c>
      <c r="B907" s="1" t="s">
        <v>282</v>
      </c>
      <c r="C907" s="4">
        <v>1</v>
      </c>
      <c r="D907" s="8">
        <v>1.85</v>
      </c>
      <c r="E907" s="4">
        <v>0</v>
      </c>
      <c r="F907" s="8">
        <v>0</v>
      </c>
      <c r="G907" s="4">
        <v>1</v>
      </c>
      <c r="H907" s="8">
        <v>6.25</v>
      </c>
      <c r="I907" s="4">
        <v>0</v>
      </c>
    </row>
    <row r="908" spans="1:9" x14ac:dyDescent="0.2">
      <c r="A908" s="2">
        <v>12</v>
      </c>
      <c r="B908" s="1" t="s">
        <v>206</v>
      </c>
      <c r="C908" s="4">
        <v>1</v>
      </c>
      <c r="D908" s="8">
        <v>1.85</v>
      </c>
      <c r="E908" s="4">
        <v>1</v>
      </c>
      <c r="F908" s="8">
        <v>2.78</v>
      </c>
      <c r="G908" s="4">
        <v>0</v>
      </c>
      <c r="H908" s="8">
        <v>0</v>
      </c>
      <c r="I908" s="4">
        <v>0</v>
      </c>
    </row>
    <row r="909" spans="1:9" x14ac:dyDescent="0.2">
      <c r="A909" s="2">
        <v>12</v>
      </c>
      <c r="B909" s="1" t="s">
        <v>177</v>
      </c>
      <c r="C909" s="4">
        <v>1</v>
      </c>
      <c r="D909" s="8">
        <v>1.85</v>
      </c>
      <c r="E909" s="4">
        <v>1</v>
      </c>
      <c r="F909" s="8">
        <v>2.78</v>
      </c>
      <c r="G909" s="4">
        <v>0</v>
      </c>
      <c r="H909" s="8">
        <v>0</v>
      </c>
      <c r="I909" s="4">
        <v>0</v>
      </c>
    </row>
    <row r="910" spans="1:9" x14ac:dyDescent="0.2">
      <c r="A910" s="2">
        <v>12</v>
      </c>
      <c r="B910" s="1" t="s">
        <v>211</v>
      </c>
      <c r="C910" s="4">
        <v>1</v>
      </c>
      <c r="D910" s="8">
        <v>1.85</v>
      </c>
      <c r="E910" s="4">
        <v>0</v>
      </c>
      <c r="F910" s="8">
        <v>0</v>
      </c>
      <c r="G910" s="4">
        <v>1</v>
      </c>
      <c r="H910" s="8">
        <v>6.25</v>
      </c>
      <c r="I910" s="4">
        <v>0</v>
      </c>
    </row>
    <row r="911" spans="1:9" x14ac:dyDescent="0.2">
      <c r="A911" s="2">
        <v>12</v>
      </c>
      <c r="B911" s="1" t="s">
        <v>240</v>
      </c>
      <c r="C911" s="4">
        <v>1</v>
      </c>
      <c r="D911" s="8">
        <v>1.85</v>
      </c>
      <c r="E911" s="4">
        <v>0</v>
      </c>
      <c r="F911" s="8">
        <v>0</v>
      </c>
      <c r="G911" s="4">
        <v>0</v>
      </c>
      <c r="H911" s="8">
        <v>0</v>
      </c>
      <c r="I911" s="4">
        <v>1</v>
      </c>
    </row>
    <row r="912" spans="1:9" x14ac:dyDescent="0.2">
      <c r="A912" s="1"/>
      <c r="C912" s="4"/>
      <c r="D912" s="8"/>
      <c r="E912" s="4"/>
      <c r="F912" s="8"/>
      <c r="G912" s="4"/>
      <c r="H912" s="8"/>
      <c r="I912" s="4"/>
    </row>
    <row r="913" spans="1:9" x14ac:dyDescent="0.2">
      <c r="A913" s="1" t="s">
        <v>34</v>
      </c>
      <c r="C913" s="4"/>
      <c r="D913" s="8"/>
      <c r="E913" s="4"/>
      <c r="F913" s="8"/>
      <c r="G913" s="4"/>
      <c r="H913" s="8"/>
      <c r="I913" s="4"/>
    </row>
    <row r="914" spans="1:9" x14ac:dyDescent="0.2">
      <c r="A914" s="2">
        <v>1</v>
      </c>
      <c r="B914" s="1" t="s">
        <v>173</v>
      </c>
      <c r="C914" s="4">
        <v>28</v>
      </c>
      <c r="D914" s="8">
        <v>6.25</v>
      </c>
      <c r="E914" s="4">
        <v>28</v>
      </c>
      <c r="F914" s="8">
        <v>9.36</v>
      </c>
      <c r="G914" s="4">
        <v>0</v>
      </c>
      <c r="H914" s="8">
        <v>0</v>
      </c>
      <c r="I914" s="4">
        <v>0</v>
      </c>
    </row>
    <row r="915" spans="1:9" x14ac:dyDescent="0.2">
      <c r="A915" s="2">
        <v>2</v>
      </c>
      <c r="B915" s="1" t="s">
        <v>174</v>
      </c>
      <c r="C915" s="4">
        <v>27</v>
      </c>
      <c r="D915" s="8">
        <v>6.03</v>
      </c>
      <c r="E915" s="4">
        <v>27</v>
      </c>
      <c r="F915" s="8">
        <v>9.0299999999999994</v>
      </c>
      <c r="G915" s="4">
        <v>0</v>
      </c>
      <c r="H915" s="8">
        <v>0</v>
      </c>
      <c r="I915" s="4">
        <v>0</v>
      </c>
    </row>
    <row r="916" spans="1:9" x14ac:dyDescent="0.2">
      <c r="A916" s="2">
        <v>3</v>
      </c>
      <c r="B916" s="1" t="s">
        <v>160</v>
      </c>
      <c r="C916" s="4">
        <v>20</v>
      </c>
      <c r="D916" s="8">
        <v>4.46</v>
      </c>
      <c r="E916" s="4">
        <v>15</v>
      </c>
      <c r="F916" s="8">
        <v>5.0199999999999996</v>
      </c>
      <c r="G916" s="4">
        <v>5</v>
      </c>
      <c r="H916" s="8">
        <v>3.5</v>
      </c>
      <c r="I916" s="4">
        <v>0</v>
      </c>
    </row>
    <row r="917" spans="1:9" x14ac:dyDescent="0.2">
      <c r="A917" s="2">
        <v>4</v>
      </c>
      <c r="B917" s="1" t="s">
        <v>162</v>
      </c>
      <c r="C917" s="4">
        <v>13</v>
      </c>
      <c r="D917" s="8">
        <v>2.9</v>
      </c>
      <c r="E917" s="4">
        <v>7</v>
      </c>
      <c r="F917" s="8">
        <v>2.34</v>
      </c>
      <c r="G917" s="4">
        <v>6</v>
      </c>
      <c r="H917" s="8">
        <v>4.2</v>
      </c>
      <c r="I917" s="4">
        <v>0</v>
      </c>
    </row>
    <row r="918" spans="1:9" x14ac:dyDescent="0.2">
      <c r="A918" s="2">
        <v>4</v>
      </c>
      <c r="B918" s="1" t="s">
        <v>164</v>
      </c>
      <c r="C918" s="4">
        <v>13</v>
      </c>
      <c r="D918" s="8">
        <v>2.9</v>
      </c>
      <c r="E918" s="4">
        <v>10</v>
      </c>
      <c r="F918" s="8">
        <v>3.34</v>
      </c>
      <c r="G918" s="4">
        <v>3</v>
      </c>
      <c r="H918" s="8">
        <v>2.1</v>
      </c>
      <c r="I918" s="4">
        <v>0</v>
      </c>
    </row>
    <row r="919" spans="1:9" x14ac:dyDescent="0.2">
      <c r="A919" s="2">
        <v>6</v>
      </c>
      <c r="B919" s="1" t="s">
        <v>170</v>
      </c>
      <c r="C919" s="4">
        <v>12</v>
      </c>
      <c r="D919" s="8">
        <v>2.68</v>
      </c>
      <c r="E919" s="4">
        <v>11</v>
      </c>
      <c r="F919" s="8">
        <v>3.68</v>
      </c>
      <c r="G919" s="4">
        <v>1</v>
      </c>
      <c r="H919" s="8">
        <v>0.7</v>
      </c>
      <c r="I919" s="4">
        <v>0</v>
      </c>
    </row>
    <row r="920" spans="1:9" x14ac:dyDescent="0.2">
      <c r="A920" s="2">
        <v>7</v>
      </c>
      <c r="B920" s="1" t="s">
        <v>178</v>
      </c>
      <c r="C920" s="4">
        <v>11</v>
      </c>
      <c r="D920" s="8">
        <v>2.46</v>
      </c>
      <c r="E920" s="4">
        <v>10</v>
      </c>
      <c r="F920" s="8">
        <v>3.34</v>
      </c>
      <c r="G920" s="4">
        <v>1</v>
      </c>
      <c r="H920" s="8">
        <v>0.7</v>
      </c>
      <c r="I920" s="4">
        <v>0</v>
      </c>
    </row>
    <row r="921" spans="1:9" x14ac:dyDescent="0.2">
      <c r="A921" s="2">
        <v>8</v>
      </c>
      <c r="B921" s="1" t="s">
        <v>163</v>
      </c>
      <c r="C921" s="4">
        <v>10</v>
      </c>
      <c r="D921" s="8">
        <v>2.23</v>
      </c>
      <c r="E921" s="4">
        <v>9</v>
      </c>
      <c r="F921" s="8">
        <v>3.01</v>
      </c>
      <c r="G921" s="4">
        <v>1</v>
      </c>
      <c r="H921" s="8">
        <v>0.7</v>
      </c>
      <c r="I921" s="4">
        <v>0</v>
      </c>
    </row>
    <row r="922" spans="1:9" x14ac:dyDescent="0.2">
      <c r="A922" s="2">
        <v>9</v>
      </c>
      <c r="B922" s="1" t="s">
        <v>208</v>
      </c>
      <c r="C922" s="4">
        <v>9</v>
      </c>
      <c r="D922" s="8">
        <v>2.0099999999999998</v>
      </c>
      <c r="E922" s="4">
        <v>5</v>
      </c>
      <c r="F922" s="8">
        <v>1.67</v>
      </c>
      <c r="G922" s="4">
        <v>4</v>
      </c>
      <c r="H922" s="8">
        <v>2.8</v>
      </c>
      <c r="I922" s="4">
        <v>0</v>
      </c>
    </row>
    <row r="923" spans="1:9" x14ac:dyDescent="0.2">
      <c r="A923" s="2">
        <v>10</v>
      </c>
      <c r="B923" s="1" t="s">
        <v>159</v>
      </c>
      <c r="C923" s="4">
        <v>8</v>
      </c>
      <c r="D923" s="8">
        <v>1.79</v>
      </c>
      <c r="E923" s="4">
        <v>2</v>
      </c>
      <c r="F923" s="8">
        <v>0.67</v>
      </c>
      <c r="G923" s="4">
        <v>6</v>
      </c>
      <c r="H923" s="8">
        <v>4.2</v>
      </c>
      <c r="I923" s="4">
        <v>0</v>
      </c>
    </row>
    <row r="924" spans="1:9" x14ac:dyDescent="0.2">
      <c r="A924" s="2">
        <v>10</v>
      </c>
      <c r="B924" s="1" t="s">
        <v>202</v>
      </c>
      <c r="C924" s="4">
        <v>8</v>
      </c>
      <c r="D924" s="8">
        <v>1.79</v>
      </c>
      <c r="E924" s="4">
        <v>7</v>
      </c>
      <c r="F924" s="8">
        <v>2.34</v>
      </c>
      <c r="G924" s="4">
        <v>1</v>
      </c>
      <c r="H924" s="8">
        <v>0.7</v>
      </c>
      <c r="I924" s="4">
        <v>0</v>
      </c>
    </row>
    <row r="925" spans="1:9" x14ac:dyDescent="0.2">
      <c r="A925" s="2">
        <v>10</v>
      </c>
      <c r="B925" s="1" t="s">
        <v>175</v>
      </c>
      <c r="C925" s="4">
        <v>8</v>
      </c>
      <c r="D925" s="8">
        <v>1.79</v>
      </c>
      <c r="E925" s="4">
        <v>6</v>
      </c>
      <c r="F925" s="8">
        <v>2.0099999999999998</v>
      </c>
      <c r="G925" s="4">
        <v>2</v>
      </c>
      <c r="H925" s="8">
        <v>1.4</v>
      </c>
      <c r="I925" s="4">
        <v>0</v>
      </c>
    </row>
    <row r="926" spans="1:9" x14ac:dyDescent="0.2">
      <c r="A926" s="2">
        <v>13</v>
      </c>
      <c r="B926" s="1" t="s">
        <v>161</v>
      </c>
      <c r="C926" s="4">
        <v>7</v>
      </c>
      <c r="D926" s="8">
        <v>1.56</v>
      </c>
      <c r="E926" s="4">
        <v>2</v>
      </c>
      <c r="F926" s="8">
        <v>0.67</v>
      </c>
      <c r="G926" s="4">
        <v>5</v>
      </c>
      <c r="H926" s="8">
        <v>3.5</v>
      </c>
      <c r="I926" s="4">
        <v>0</v>
      </c>
    </row>
    <row r="927" spans="1:9" x14ac:dyDescent="0.2">
      <c r="A927" s="2">
        <v>13</v>
      </c>
      <c r="B927" s="1" t="s">
        <v>244</v>
      </c>
      <c r="C927" s="4">
        <v>7</v>
      </c>
      <c r="D927" s="8">
        <v>1.56</v>
      </c>
      <c r="E927" s="4">
        <v>4</v>
      </c>
      <c r="F927" s="8">
        <v>1.34</v>
      </c>
      <c r="G927" s="4">
        <v>3</v>
      </c>
      <c r="H927" s="8">
        <v>2.1</v>
      </c>
      <c r="I927" s="4">
        <v>0</v>
      </c>
    </row>
    <row r="928" spans="1:9" x14ac:dyDescent="0.2">
      <c r="A928" s="2">
        <v>13</v>
      </c>
      <c r="B928" s="1" t="s">
        <v>283</v>
      </c>
      <c r="C928" s="4">
        <v>7</v>
      </c>
      <c r="D928" s="8">
        <v>1.56</v>
      </c>
      <c r="E928" s="4">
        <v>4</v>
      </c>
      <c r="F928" s="8">
        <v>1.34</v>
      </c>
      <c r="G928" s="4">
        <v>3</v>
      </c>
      <c r="H928" s="8">
        <v>2.1</v>
      </c>
      <c r="I928" s="4">
        <v>0</v>
      </c>
    </row>
    <row r="929" spans="1:9" x14ac:dyDescent="0.2">
      <c r="A929" s="2">
        <v>13</v>
      </c>
      <c r="B929" s="1" t="s">
        <v>226</v>
      </c>
      <c r="C929" s="4">
        <v>7</v>
      </c>
      <c r="D929" s="8">
        <v>1.56</v>
      </c>
      <c r="E929" s="4">
        <v>7</v>
      </c>
      <c r="F929" s="8">
        <v>2.34</v>
      </c>
      <c r="G929" s="4">
        <v>0</v>
      </c>
      <c r="H929" s="8">
        <v>0</v>
      </c>
      <c r="I929" s="4">
        <v>0</v>
      </c>
    </row>
    <row r="930" spans="1:9" x14ac:dyDescent="0.2">
      <c r="A930" s="2">
        <v>13</v>
      </c>
      <c r="B930" s="1" t="s">
        <v>181</v>
      </c>
      <c r="C930" s="4">
        <v>7</v>
      </c>
      <c r="D930" s="8">
        <v>1.56</v>
      </c>
      <c r="E930" s="4">
        <v>6</v>
      </c>
      <c r="F930" s="8">
        <v>2.0099999999999998</v>
      </c>
      <c r="G930" s="4">
        <v>1</v>
      </c>
      <c r="H930" s="8">
        <v>0.7</v>
      </c>
      <c r="I930" s="4">
        <v>0</v>
      </c>
    </row>
    <row r="931" spans="1:9" x14ac:dyDescent="0.2">
      <c r="A931" s="2">
        <v>18</v>
      </c>
      <c r="B931" s="1" t="s">
        <v>225</v>
      </c>
      <c r="C931" s="4">
        <v>6</v>
      </c>
      <c r="D931" s="8">
        <v>1.34</v>
      </c>
      <c r="E931" s="4">
        <v>3</v>
      </c>
      <c r="F931" s="8">
        <v>1</v>
      </c>
      <c r="G931" s="4">
        <v>3</v>
      </c>
      <c r="H931" s="8">
        <v>2.1</v>
      </c>
      <c r="I931" s="4">
        <v>0</v>
      </c>
    </row>
    <row r="932" spans="1:9" x14ac:dyDescent="0.2">
      <c r="A932" s="2">
        <v>18</v>
      </c>
      <c r="B932" s="1" t="s">
        <v>190</v>
      </c>
      <c r="C932" s="4">
        <v>6</v>
      </c>
      <c r="D932" s="8">
        <v>1.34</v>
      </c>
      <c r="E932" s="4">
        <v>5</v>
      </c>
      <c r="F932" s="8">
        <v>1.67</v>
      </c>
      <c r="G932" s="4">
        <v>1</v>
      </c>
      <c r="H932" s="8">
        <v>0.7</v>
      </c>
      <c r="I932" s="4">
        <v>0</v>
      </c>
    </row>
    <row r="933" spans="1:9" x14ac:dyDescent="0.2">
      <c r="A933" s="2">
        <v>18</v>
      </c>
      <c r="B933" s="1" t="s">
        <v>191</v>
      </c>
      <c r="C933" s="4">
        <v>6</v>
      </c>
      <c r="D933" s="8">
        <v>1.34</v>
      </c>
      <c r="E933" s="4">
        <v>6</v>
      </c>
      <c r="F933" s="8">
        <v>2.0099999999999998</v>
      </c>
      <c r="G933" s="4">
        <v>0</v>
      </c>
      <c r="H933" s="8">
        <v>0</v>
      </c>
      <c r="I933" s="4">
        <v>0</v>
      </c>
    </row>
    <row r="934" spans="1:9" x14ac:dyDescent="0.2">
      <c r="A934" s="2">
        <v>18</v>
      </c>
      <c r="B934" s="1" t="s">
        <v>193</v>
      </c>
      <c r="C934" s="4">
        <v>6</v>
      </c>
      <c r="D934" s="8">
        <v>1.34</v>
      </c>
      <c r="E934" s="4">
        <v>5</v>
      </c>
      <c r="F934" s="8">
        <v>1.67</v>
      </c>
      <c r="G934" s="4">
        <v>1</v>
      </c>
      <c r="H934" s="8">
        <v>0.7</v>
      </c>
      <c r="I934" s="4">
        <v>0</v>
      </c>
    </row>
    <row r="935" spans="1:9" x14ac:dyDescent="0.2">
      <c r="A935" s="2">
        <v>18</v>
      </c>
      <c r="B935" s="1" t="s">
        <v>185</v>
      </c>
      <c r="C935" s="4">
        <v>6</v>
      </c>
      <c r="D935" s="8">
        <v>1.34</v>
      </c>
      <c r="E935" s="4">
        <v>1</v>
      </c>
      <c r="F935" s="8">
        <v>0.33</v>
      </c>
      <c r="G935" s="4">
        <v>5</v>
      </c>
      <c r="H935" s="8">
        <v>3.5</v>
      </c>
      <c r="I935" s="4">
        <v>0</v>
      </c>
    </row>
    <row r="936" spans="1:9" x14ac:dyDescent="0.2">
      <c r="A936" s="2">
        <v>18</v>
      </c>
      <c r="B936" s="1" t="s">
        <v>168</v>
      </c>
      <c r="C936" s="4">
        <v>6</v>
      </c>
      <c r="D936" s="8">
        <v>1.34</v>
      </c>
      <c r="E936" s="4">
        <v>5</v>
      </c>
      <c r="F936" s="8">
        <v>1.67</v>
      </c>
      <c r="G936" s="4">
        <v>1</v>
      </c>
      <c r="H936" s="8">
        <v>0.7</v>
      </c>
      <c r="I936" s="4">
        <v>0</v>
      </c>
    </row>
    <row r="937" spans="1:9" x14ac:dyDescent="0.2">
      <c r="A937" s="2">
        <v>18</v>
      </c>
      <c r="B937" s="1" t="s">
        <v>171</v>
      </c>
      <c r="C937" s="4">
        <v>6</v>
      </c>
      <c r="D937" s="8">
        <v>1.34</v>
      </c>
      <c r="E937" s="4">
        <v>6</v>
      </c>
      <c r="F937" s="8">
        <v>2.0099999999999998</v>
      </c>
      <c r="G937" s="4">
        <v>0</v>
      </c>
      <c r="H937" s="8">
        <v>0</v>
      </c>
      <c r="I937" s="4">
        <v>0</v>
      </c>
    </row>
    <row r="938" spans="1:9" x14ac:dyDescent="0.2">
      <c r="A938" s="1"/>
      <c r="C938" s="4"/>
      <c r="D938" s="8"/>
      <c r="E938" s="4"/>
      <c r="F938" s="8"/>
      <c r="G938" s="4"/>
      <c r="H938" s="8"/>
      <c r="I938" s="4"/>
    </row>
    <row r="939" spans="1:9" x14ac:dyDescent="0.2">
      <c r="A939" s="1" t="s">
        <v>35</v>
      </c>
      <c r="C939" s="4"/>
      <c r="D939" s="8"/>
      <c r="E939" s="4"/>
      <c r="F939" s="8"/>
      <c r="G939" s="4"/>
      <c r="H939" s="8"/>
      <c r="I939" s="4"/>
    </row>
    <row r="940" spans="1:9" x14ac:dyDescent="0.2">
      <c r="A940" s="2">
        <v>1</v>
      </c>
      <c r="B940" s="1" t="s">
        <v>168</v>
      </c>
      <c r="C940" s="4">
        <v>23</v>
      </c>
      <c r="D940" s="8">
        <v>5.74</v>
      </c>
      <c r="E940" s="4">
        <v>16</v>
      </c>
      <c r="F940" s="8">
        <v>8.16</v>
      </c>
      <c r="G940" s="4">
        <v>7</v>
      </c>
      <c r="H940" s="8">
        <v>3.52</v>
      </c>
      <c r="I940" s="4">
        <v>0</v>
      </c>
    </row>
    <row r="941" spans="1:9" x14ac:dyDescent="0.2">
      <c r="A941" s="2">
        <v>2</v>
      </c>
      <c r="B941" s="1" t="s">
        <v>173</v>
      </c>
      <c r="C941" s="4">
        <v>17</v>
      </c>
      <c r="D941" s="8">
        <v>4.24</v>
      </c>
      <c r="E941" s="4">
        <v>17</v>
      </c>
      <c r="F941" s="8">
        <v>8.67</v>
      </c>
      <c r="G941" s="4">
        <v>0</v>
      </c>
      <c r="H941" s="8">
        <v>0</v>
      </c>
      <c r="I941" s="4">
        <v>0</v>
      </c>
    </row>
    <row r="942" spans="1:9" x14ac:dyDescent="0.2">
      <c r="A942" s="2">
        <v>3</v>
      </c>
      <c r="B942" s="1" t="s">
        <v>158</v>
      </c>
      <c r="C942" s="4">
        <v>16</v>
      </c>
      <c r="D942" s="8">
        <v>3.99</v>
      </c>
      <c r="E942" s="4">
        <v>0</v>
      </c>
      <c r="F942" s="8">
        <v>0</v>
      </c>
      <c r="G942" s="4">
        <v>16</v>
      </c>
      <c r="H942" s="8">
        <v>8.0399999999999991</v>
      </c>
      <c r="I942" s="4">
        <v>0</v>
      </c>
    </row>
    <row r="943" spans="1:9" x14ac:dyDescent="0.2">
      <c r="A943" s="2">
        <v>3</v>
      </c>
      <c r="B943" s="1" t="s">
        <v>170</v>
      </c>
      <c r="C943" s="4">
        <v>16</v>
      </c>
      <c r="D943" s="8">
        <v>3.99</v>
      </c>
      <c r="E943" s="4">
        <v>15</v>
      </c>
      <c r="F943" s="8">
        <v>7.65</v>
      </c>
      <c r="G943" s="4">
        <v>1</v>
      </c>
      <c r="H943" s="8">
        <v>0.5</v>
      </c>
      <c r="I943" s="4">
        <v>0</v>
      </c>
    </row>
    <row r="944" spans="1:9" x14ac:dyDescent="0.2">
      <c r="A944" s="2">
        <v>5</v>
      </c>
      <c r="B944" s="1" t="s">
        <v>162</v>
      </c>
      <c r="C944" s="4">
        <v>14</v>
      </c>
      <c r="D944" s="8">
        <v>3.49</v>
      </c>
      <c r="E944" s="4">
        <v>5</v>
      </c>
      <c r="F944" s="8">
        <v>2.5499999999999998</v>
      </c>
      <c r="G944" s="4">
        <v>9</v>
      </c>
      <c r="H944" s="8">
        <v>4.5199999999999996</v>
      </c>
      <c r="I944" s="4">
        <v>0</v>
      </c>
    </row>
    <row r="945" spans="1:9" x14ac:dyDescent="0.2">
      <c r="A945" s="2">
        <v>5</v>
      </c>
      <c r="B945" s="1" t="s">
        <v>174</v>
      </c>
      <c r="C945" s="4">
        <v>14</v>
      </c>
      <c r="D945" s="8">
        <v>3.49</v>
      </c>
      <c r="E945" s="4">
        <v>14</v>
      </c>
      <c r="F945" s="8">
        <v>7.14</v>
      </c>
      <c r="G945" s="4">
        <v>0</v>
      </c>
      <c r="H945" s="8">
        <v>0</v>
      </c>
      <c r="I945" s="4">
        <v>0</v>
      </c>
    </row>
    <row r="946" spans="1:9" x14ac:dyDescent="0.2">
      <c r="A946" s="2">
        <v>7</v>
      </c>
      <c r="B946" s="1" t="s">
        <v>175</v>
      </c>
      <c r="C946" s="4">
        <v>11</v>
      </c>
      <c r="D946" s="8">
        <v>2.74</v>
      </c>
      <c r="E946" s="4">
        <v>9</v>
      </c>
      <c r="F946" s="8">
        <v>4.59</v>
      </c>
      <c r="G946" s="4">
        <v>1</v>
      </c>
      <c r="H946" s="8">
        <v>0.5</v>
      </c>
      <c r="I946" s="4">
        <v>1</v>
      </c>
    </row>
    <row r="947" spans="1:9" x14ac:dyDescent="0.2">
      <c r="A947" s="2">
        <v>7</v>
      </c>
      <c r="B947" s="1" t="s">
        <v>176</v>
      </c>
      <c r="C947" s="4">
        <v>11</v>
      </c>
      <c r="D947" s="8">
        <v>2.74</v>
      </c>
      <c r="E947" s="4">
        <v>11</v>
      </c>
      <c r="F947" s="8">
        <v>5.61</v>
      </c>
      <c r="G947" s="4">
        <v>0</v>
      </c>
      <c r="H947" s="8">
        <v>0</v>
      </c>
      <c r="I947" s="4">
        <v>0</v>
      </c>
    </row>
    <row r="948" spans="1:9" x14ac:dyDescent="0.2">
      <c r="A948" s="2">
        <v>7</v>
      </c>
      <c r="B948" s="1" t="s">
        <v>177</v>
      </c>
      <c r="C948" s="4">
        <v>11</v>
      </c>
      <c r="D948" s="8">
        <v>2.74</v>
      </c>
      <c r="E948" s="4">
        <v>6</v>
      </c>
      <c r="F948" s="8">
        <v>3.06</v>
      </c>
      <c r="G948" s="4">
        <v>5</v>
      </c>
      <c r="H948" s="8">
        <v>2.5099999999999998</v>
      </c>
      <c r="I948" s="4">
        <v>0</v>
      </c>
    </row>
    <row r="949" spans="1:9" x14ac:dyDescent="0.2">
      <c r="A949" s="2">
        <v>10</v>
      </c>
      <c r="B949" s="1" t="s">
        <v>161</v>
      </c>
      <c r="C949" s="4">
        <v>10</v>
      </c>
      <c r="D949" s="8">
        <v>2.4900000000000002</v>
      </c>
      <c r="E949" s="4">
        <v>4</v>
      </c>
      <c r="F949" s="8">
        <v>2.04</v>
      </c>
      <c r="G949" s="4">
        <v>6</v>
      </c>
      <c r="H949" s="8">
        <v>3.02</v>
      </c>
      <c r="I949" s="4">
        <v>0</v>
      </c>
    </row>
    <row r="950" spans="1:9" x14ac:dyDescent="0.2">
      <c r="A950" s="2">
        <v>11</v>
      </c>
      <c r="B950" s="1" t="s">
        <v>186</v>
      </c>
      <c r="C950" s="4">
        <v>9</v>
      </c>
      <c r="D950" s="8">
        <v>2.2400000000000002</v>
      </c>
      <c r="E950" s="4">
        <v>0</v>
      </c>
      <c r="F950" s="8">
        <v>0</v>
      </c>
      <c r="G950" s="4">
        <v>8</v>
      </c>
      <c r="H950" s="8">
        <v>4.0199999999999996</v>
      </c>
      <c r="I950" s="4">
        <v>0</v>
      </c>
    </row>
    <row r="951" spans="1:9" x14ac:dyDescent="0.2">
      <c r="A951" s="2">
        <v>12</v>
      </c>
      <c r="B951" s="1" t="s">
        <v>160</v>
      </c>
      <c r="C951" s="4">
        <v>8</v>
      </c>
      <c r="D951" s="8">
        <v>2</v>
      </c>
      <c r="E951" s="4">
        <v>7</v>
      </c>
      <c r="F951" s="8">
        <v>3.57</v>
      </c>
      <c r="G951" s="4">
        <v>1</v>
      </c>
      <c r="H951" s="8">
        <v>0.5</v>
      </c>
      <c r="I951" s="4">
        <v>0</v>
      </c>
    </row>
    <row r="952" spans="1:9" x14ac:dyDescent="0.2">
      <c r="A952" s="2">
        <v>12</v>
      </c>
      <c r="B952" s="1" t="s">
        <v>169</v>
      </c>
      <c r="C952" s="4">
        <v>8</v>
      </c>
      <c r="D952" s="8">
        <v>2</v>
      </c>
      <c r="E952" s="4">
        <v>2</v>
      </c>
      <c r="F952" s="8">
        <v>1.02</v>
      </c>
      <c r="G952" s="4">
        <v>6</v>
      </c>
      <c r="H952" s="8">
        <v>3.02</v>
      </c>
      <c r="I952" s="4">
        <v>0</v>
      </c>
    </row>
    <row r="953" spans="1:9" x14ac:dyDescent="0.2">
      <c r="A953" s="2">
        <v>14</v>
      </c>
      <c r="B953" s="1" t="s">
        <v>190</v>
      </c>
      <c r="C953" s="4">
        <v>6</v>
      </c>
      <c r="D953" s="8">
        <v>1.5</v>
      </c>
      <c r="E953" s="4">
        <v>0</v>
      </c>
      <c r="F953" s="8">
        <v>0</v>
      </c>
      <c r="G953" s="4">
        <v>6</v>
      </c>
      <c r="H953" s="8">
        <v>3.02</v>
      </c>
      <c r="I953" s="4">
        <v>0</v>
      </c>
    </row>
    <row r="954" spans="1:9" x14ac:dyDescent="0.2">
      <c r="A954" s="2">
        <v>14</v>
      </c>
      <c r="B954" s="1" t="s">
        <v>197</v>
      </c>
      <c r="C954" s="4">
        <v>6</v>
      </c>
      <c r="D954" s="8">
        <v>1.5</v>
      </c>
      <c r="E954" s="4">
        <v>0</v>
      </c>
      <c r="F954" s="8">
        <v>0</v>
      </c>
      <c r="G954" s="4">
        <v>4</v>
      </c>
      <c r="H954" s="8">
        <v>2.0099999999999998</v>
      </c>
      <c r="I954" s="4">
        <v>0</v>
      </c>
    </row>
    <row r="955" spans="1:9" x14ac:dyDescent="0.2">
      <c r="A955" s="2">
        <v>16</v>
      </c>
      <c r="B955" s="1" t="s">
        <v>159</v>
      </c>
      <c r="C955" s="4">
        <v>5</v>
      </c>
      <c r="D955" s="8">
        <v>1.25</v>
      </c>
      <c r="E955" s="4">
        <v>3</v>
      </c>
      <c r="F955" s="8">
        <v>1.53</v>
      </c>
      <c r="G955" s="4">
        <v>2</v>
      </c>
      <c r="H955" s="8">
        <v>1.01</v>
      </c>
      <c r="I955" s="4">
        <v>0</v>
      </c>
    </row>
    <row r="956" spans="1:9" x14ac:dyDescent="0.2">
      <c r="A956" s="2">
        <v>16</v>
      </c>
      <c r="B956" s="1" t="s">
        <v>196</v>
      </c>
      <c r="C956" s="4">
        <v>5</v>
      </c>
      <c r="D956" s="8">
        <v>1.25</v>
      </c>
      <c r="E956" s="4">
        <v>0</v>
      </c>
      <c r="F956" s="8">
        <v>0</v>
      </c>
      <c r="G956" s="4">
        <v>5</v>
      </c>
      <c r="H956" s="8">
        <v>2.5099999999999998</v>
      </c>
      <c r="I956" s="4">
        <v>0</v>
      </c>
    </row>
    <row r="957" spans="1:9" x14ac:dyDescent="0.2">
      <c r="A957" s="2">
        <v>16</v>
      </c>
      <c r="B957" s="1" t="s">
        <v>195</v>
      </c>
      <c r="C957" s="4">
        <v>5</v>
      </c>
      <c r="D957" s="8">
        <v>1.25</v>
      </c>
      <c r="E957" s="4">
        <v>4</v>
      </c>
      <c r="F957" s="8">
        <v>2.04</v>
      </c>
      <c r="G957" s="4">
        <v>1</v>
      </c>
      <c r="H957" s="8">
        <v>0.5</v>
      </c>
      <c r="I957" s="4">
        <v>0</v>
      </c>
    </row>
    <row r="958" spans="1:9" x14ac:dyDescent="0.2">
      <c r="A958" s="2">
        <v>16</v>
      </c>
      <c r="B958" s="1" t="s">
        <v>187</v>
      </c>
      <c r="C958" s="4">
        <v>5</v>
      </c>
      <c r="D958" s="8">
        <v>1.25</v>
      </c>
      <c r="E958" s="4">
        <v>0</v>
      </c>
      <c r="F958" s="8">
        <v>0</v>
      </c>
      <c r="G958" s="4">
        <v>5</v>
      </c>
      <c r="H958" s="8">
        <v>2.5099999999999998</v>
      </c>
      <c r="I958" s="4">
        <v>0</v>
      </c>
    </row>
    <row r="959" spans="1:9" x14ac:dyDescent="0.2">
      <c r="A959" s="2">
        <v>16</v>
      </c>
      <c r="B959" s="1" t="s">
        <v>163</v>
      </c>
      <c r="C959" s="4">
        <v>5</v>
      </c>
      <c r="D959" s="8">
        <v>1.25</v>
      </c>
      <c r="E959" s="4">
        <v>4</v>
      </c>
      <c r="F959" s="8">
        <v>2.04</v>
      </c>
      <c r="G959" s="4">
        <v>1</v>
      </c>
      <c r="H959" s="8">
        <v>0.5</v>
      </c>
      <c r="I959" s="4">
        <v>0</v>
      </c>
    </row>
    <row r="960" spans="1:9" x14ac:dyDescent="0.2">
      <c r="A960" s="2">
        <v>16</v>
      </c>
      <c r="B960" s="1" t="s">
        <v>164</v>
      </c>
      <c r="C960" s="4">
        <v>5</v>
      </c>
      <c r="D960" s="8">
        <v>1.25</v>
      </c>
      <c r="E960" s="4">
        <v>2</v>
      </c>
      <c r="F960" s="8">
        <v>1.02</v>
      </c>
      <c r="G960" s="4">
        <v>3</v>
      </c>
      <c r="H960" s="8">
        <v>1.51</v>
      </c>
      <c r="I960" s="4">
        <v>0</v>
      </c>
    </row>
    <row r="961" spans="1:9" x14ac:dyDescent="0.2">
      <c r="A961" s="2">
        <v>16</v>
      </c>
      <c r="B961" s="1" t="s">
        <v>189</v>
      </c>
      <c r="C961" s="4">
        <v>5</v>
      </c>
      <c r="D961" s="8">
        <v>1.25</v>
      </c>
      <c r="E961" s="4">
        <v>0</v>
      </c>
      <c r="F961" s="8">
        <v>0</v>
      </c>
      <c r="G961" s="4">
        <v>5</v>
      </c>
      <c r="H961" s="8">
        <v>2.5099999999999998</v>
      </c>
      <c r="I961" s="4">
        <v>0</v>
      </c>
    </row>
    <row r="962" spans="1:9" x14ac:dyDescent="0.2">
      <c r="A962" s="2">
        <v>16</v>
      </c>
      <c r="B962" s="1" t="s">
        <v>171</v>
      </c>
      <c r="C962" s="4">
        <v>5</v>
      </c>
      <c r="D962" s="8">
        <v>1.25</v>
      </c>
      <c r="E962" s="4">
        <v>4</v>
      </c>
      <c r="F962" s="8">
        <v>2.04</v>
      </c>
      <c r="G962" s="4">
        <v>1</v>
      </c>
      <c r="H962" s="8">
        <v>0.5</v>
      </c>
      <c r="I962" s="4">
        <v>0</v>
      </c>
    </row>
    <row r="963" spans="1:9" x14ac:dyDescent="0.2">
      <c r="A963" s="1"/>
      <c r="C963" s="4"/>
      <c r="D963" s="8"/>
      <c r="E963" s="4"/>
      <c r="F963" s="8"/>
      <c r="G963" s="4"/>
      <c r="H963" s="8"/>
      <c r="I963" s="4"/>
    </row>
    <row r="964" spans="1:9" x14ac:dyDescent="0.2">
      <c r="A964" s="1" t="s">
        <v>36</v>
      </c>
      <c r="C964" s="4"/>
      <c r="D964" s="8"/>
      <c r="E964" s="4"/>
      <c r="F964" s="8"/>
      <c r="G964" s="4"/>
      <c r="H964" s="8"/>
      <c r="I964" s="4"/>
    </row>
    <row r="965" spans="1:9" x14ac:dyDescent="0.2">
      <c r="A965" s="2">
        <v>1</v>
      </c>
      <c r="B965" s="1" t="s">
        <v>177</v>
      </c>
      <c r="C965" s="4">
        <v>8</v>
      </c>
      <c r="D965" s="8">
        <v>6.67</v>
      </c>
      <c r="E965" s="4">
        <v>5</v>
      </c>
      <c r="F965" s="8">
        <v>8.77</v>
      </c>
      <c r="G965" s="4">
        <v>3</v>
      </c>
      <c r="H965" s="8">
        <v>5.08</v>
      </c>
      <c r="I965" s="4">
        <v>0</v>
      </c>
    </row>
    <row r="966" spans="1:9" x14ac:dyDescent="0.2">
      <c r="A966" s="2">
        <v>2</v>
      </c>
      <c r="B966" s="1" t="s">
        <v>174</v>
      </c>
      <c r="C966" s="4">
        <v>7</v>
      </c>
      <c r="D966" s="8">
        <v>5.83</v>
      </c>
      <c r="E966" s="4">
        <v>7</v>
      </c>
      <c r="F966" s="8">
        <v>12.28</v>
      </c>
      <c r="G966" s="4">
        <v>0</v>
      </c>
      <c r="H966" s="8">
        <v>0</v>
      </c>
      <c r="I966" s="4">
        <v>0</v>
      </c>
    </row>
    <row r="967" spans="1:9" x14ac:dyDescent="0.2">
      <c r="A967" s="2">
        <v>3</v>
      </c>
      <c r="B967" s="1" t="s">
        <v>160</v>
      </c>
      <c r="C967" s="4">
        <v>6</v>
      </c>
      <c r="D967" s="8">
        <v>5</v>
      </c>
      <c r="E967" s="4">
        <v>3</v>
      </c>
      <c r="F967" s="8">
        <v>5.26</v>
      </c>
      <c r="G967" s="4">
        <v>3</v>
      </c>
      <c r="H967" s="8">
        <v>5.08</v>
      </c>
      <c r="I967" s="4">
        <v>0</v>
      </c>
    </row>
    <row r="968" spans="1:9" x14ac:dyDescent="0.2">
      <c r="A968" s="2">
        <v>3</v>
      </c>
      <c r="B968" s="1" t="s">
        <v>173</v>
      </c>
      <c r="C968" s="4">
        <v>6</v>
      </c>
      <c r="D968" s="8">
        <v>5</v>
      </c>
      <c r="E968" s="4">
        <v>6</v>
      </c>
      <c r="F968" s="8">
        <v>10.53</v>
      </c>
      <c r="G968" s="4">
        <v>0</v>
      </c>
      <c r="H968" s="8">
        <v>0</v>
      </c>
      <c r="I968" s="4">
        <v>0</v>
      </c>
    </row>
    <row r="969" spans="1:9" x14ac:dyDescent="0.2">
      <c r="A969" s="2">
        <v>5</v>
      </c>
      <c r="B969" s="1" t="s">
        <v>158</v>
      </c>
      <c r="C969" s="4">
        <v>4</v>
      </c>
      <c r="D969" s="8">
        <v>3.33</v>
      </c>
      <c r="E969" s="4">
        <v>1</v>
      </c>
      <c r="F969" s="8">
        <v>1.75</v>
      </c>
      <c r="G969" s="4">
        <v>3</v>
      </c>
      <c r="H969" s="8">
        <v>5.08</v>
      </c>
      <c r="I969" s="4">
        <v>0</v>
      </c>
    </row>
    <row r="970" spans="1:9" x14ac:dyDescent="0.2">
      <c r="A970" s="2">
        <v>5</v>
      </c>
      <c r="B970" s="1" t="s">
        <v>162</v>
      </c>
      <c r="C970" s="4">
        <v>4</v>
      </c>
      <c r="D970" s="8">
        <v>3.33</v>
      </c>
      <c r="E970" s="4">
        <v>2</v>
      </c>
      <c r="F970" s="8">
        <v>3.51</v>
      </c>
      <c r="G970" s="4">
        <v>2</v>
      </c>
      <c r="H970" s="8">
        <v>3.39</v>
      </c>
      <c r="I970" s="4">
        <v>0</v>
      </c>
    </row>
    <row r="971" spans="1:9" x14ac:dyDescent="0.2">
      <c r="A971" s="2">
        <v>5</v>
      </c>
      <c r="B971" s="1" t="s">
        <v>164</v>
      </c>
      <c r="C971" s="4">
        <v>4</v>
      </c>
      <c r="D971" s="8">
        <v>3.33</v>
      </c>
      <c r="E971" s="4">
        <v>1</v>
      </c>
      <c r="F971" s="8">
        <v>1.75</v>
      </c>
      <c r="G971" s="4">
        <v>3</v>
      </c>
      <c r="H971" s="8">
        <v>5.08</v>
      </c>
      <c r="I971" s="4">
        <v>0</v>
      </c>
    </row>
    <row r="972" spans="1:9" x14ac:dyDescent="0.2">
      <c r="A972" s="2">
        <v>8</v>
      </c>
      <c r="B972" s="1" t="s">
        <v>284</v>
      </c>
      <c r="C972" s="4">
        <v>3</v>
      </c>
      <c r="D972" s="8">
        <v>2.5</v>
      </c>
      <c r="E972" s="4">
        <v>0</v>
      </c>
      <c r="F972" s="8">
        <v>0</v>
      </c>
      <c r="G972" s="4">
        <v>3</v>
      </c>
      <c r="H972" s="8">
        <v>5.08</v>
      </c>
      <c r="I972" s="4">
        <v>0</v>
      </c>
    </row>
    <row r="973" spans="1:9" x14ac:dyDescent="0.2">
      <c r="A973" s="2">
        <v>8</v>
      </c>
      <c r="B973" s="1" t="s">
        <v>225</v>
      </c>
      <c r="C973" s="4">
        <v>3</v>
      </c>
      <c r="D973" s="8">
        <v>2.5</v>
      </c>
      <c r="E973" s="4">
        <v>1</v>
      </c>
      <c r="F973" s="8">
        <v>1.75</v>
      </c>
      <c r="G973" s="4">
        <v>2</v>
      </c>
      <c r="H973" s="8">
        <v>3.39</v>
      </c>
      <c r="I973" s="4">
        <v>0</v>
      </c>
    </row>
    <row r="974" spans="1:9" x14ac:dyDescent="0.2">
      <c r="A974" s="2">
        <v>8</v>
      </c>
      <c r="B974" s="1" t="s">
        <v>181</v>
      </c>
      <c r="C974" s="4">
        <v>3</v>
      </c>
      <c r="D974" s="8">
        <v>2.5</v>
      </c>
      <c r="E974" s="4">
        <v>3</v>
      </c>
      <c r="F974" s="8">
        <v>5.26</v>
      </c>
      <c r="G974" s="4">
        <v>0</v>
      </c>
      <c r="H974" s="8">
        <v>0</v>
      </c>
      <c r="I974" s="4">
        <v>0</v>
      </c>
    </row>
    <row r="975" spans="1:9" x14ac:dyDescent="0.2">
      <c r="A975" s="2">
        <v>8</v>
      </c>
      <c r="B975" s="1" t="s">
        <v>176</v>
      </c>
      <c r="C975" s="4">
        <v>3</v>
      </c>
      <c r="D975" s="8">
        <v>2.5</v>
      </c>
      <c r="E975" s="4">
        <v>2</v>
      </c>
      <c r="F975" s="8">
        <v>3.51</v>
      </c>
      <c r="G975" s="4">
        <v>1</v>
      </c>
      <c r="H975" s="8">
        <v>1.69</v>
      </c>
      <c r="I975" s="4">
        <v>0</v>
      </c>
    </row>
    <row r="976" spans="1:9" x14ac:dyDescent="0.2">
      <c r="A976" s="2">
        <v>12</v>
      </c>
      <c r="B976" s="1" t="s">
        <v>199</v>
      </c>
      <c r="C976" s="4">
        <v>2</v>
      </c>
      <c r="D976" s="8">
        <v>1.67</v>
      </c>
      <c r="E976" s="4">
        <v>0</v>
      </c>
      <c r="F976" s="8">
        <v>0</v>
      </c>
      <c r="G976" s="4">
        <v>2</v>
      </c>
      <c r="H976" s="8">
        <v>3.39</v>
      </c>
      <c r="I976" s="4">
        <v>0</v>
      </c>
    </row>
    <row r="977" spans="1:9" x14ac:dyDescent="0.2">
      <c r="A977" s="2">
        <v>12</v>
      </c>
      <c r="B977" s="1" t="s">
        <v>161</v>
      </c>
      <c r="C977" s="4">
        <v>2</v>
      </c>
      <c r="D977" s="8">
        <v>1.67</v>
      </c>
      <c r="E977" s="4">
        <v>1</v>
      </c>
      <c r="F977" s="8">
        <v>1.75</v>
      </c>
      <c r="G977" s="4">
        <v>1</v>
      </c>
      <c r="H977" s="8">
        <v>1.69</v>
      </c>
      <c r="I977" s="4">
        <v>0</v>
      </c>
    </row>
    <row r="978" spans="1:9" x14ac:dyDescent="0.2">
      <c r="A978" s="2">
        <v>12</v>
      </c>
      <c r="B978" s="1" t="s">
        <v>203</v>
      </c>
      <c r="C978" s="4">
        <v>2</v>
      </c>
      <c r="D978" s="8">
        <v>1.67</v>
      </c>
      <c r="E978" s="4">
        <v>0</v>
      </c>
      <c r="F978" s="8">
        <v>0</v>
      </c>
      <c r="G978" s="4">
        <v>1</v>
      </c>
      <c r="H978" s="8">
        <v>1.69</v>
      </c>
      <c r="I978" s="4">
        <v>1</v>
      </c>
    </row>
    <row r="979" spans="1:9" x14ac:dyDescent="0.2">
      <c r="A979" s="2">
        <v>12</v>
      </c>
      <c r="B979" s="1" t="s">
        <v>219</v>
      </c>
      <c r="C979" s="4">
        <v>2</v>
      </c>
      <c r="D979" s="8">
        <v>1.67</v>
      </c>
      <c r="E979" s="4">
        <v>1</v>
      </c>
      <c r="F979" s="8">
        <v>1.75</v>
      </c>
      <c r="G979" s="4">
        <v>1</v>
      </c>
      <c r="H979" s="8">
        <v>1.69</v>
      </c>
      <c r="I979" s="4">
        <v>0</v>
      </c>
    </row>
    <row r="980" spans="1:9" x14ac:dyDescent="0.2">
      <c r="A980" s="2">
        <v>12</v>
      </c>
      <c r="B980" s="1" t="s">
        <v>285</v>
      </c>
      <c r="C980" s="4">
        <v>2</v>
      </c>
      <c r="D980" s="8">
        <v>1.67</v>
      </c>
      <c r="E980" s="4">
        <v>0</v>
      </c>
      <c r="F980" s="8">
        <v>0</v>
      </c>
      <c r="G980" s="4">
        <v>2</v>
      </c>
      <c r="H980" s="8">
        <v>3.39</v>
      </c>
      <c r="I980" s="4">
        <v>0</v>
      </c>
    </row>
    <row r="981" spans="1:9" x14ac:dyDescent="0.2">
      <c r="A981" s="2">
        <v>12</v>
      </c>
      <c r="B981" s="1" t="s">
        <v>163</v>
      </c>
      <c r="C981" s="4">
        <v>2</v>
      </c>
      <c r="D981" s="8">
        <v>1.67</v>
      </c>
      <c r="E981" s="4">
        <v>1</v>
      </c>
      <c r="F981" s="8">
        <v>1.75</v>
      </c>
      <c r="G981" s="4">
        <v>1</v>
      </c>
      <c r="H981" s="8">
        <v>1.69</v>
      </c>
      <c r="I981" s="4">
        <v>0</v>
      </c>
    </row>
    <row r="982" spans="1:9" x14ac:dyDescent="0.2">
      <c r="A982" s="2">
        <v>12</v>
      </c>
      <c r="B982" s="1" t="s">
        <v>210</v>
      </c>
      <c r="C982" s="4">
        <v>2</v>
      </c>
      <c r="D982" s="8">
        <v>1.67</v>
      </c>
      <c r="E982" s="4">
        <v>2</v>
      </c>
      <c r="F982" s="8">
        <v>3.51</v>
      </c>
      <c r="G982" s="4">
        <v>0</v>
      </c>
      <c r="H982" s="8">
        <v>0</v>
      </c>
      <c r="I982" s="4">
        <v>0</v>
      </c>
    </row>
    <row r="983" spans="1:9" x14ac:dyDescent="0.2">
      <c r="A983" s="2">
        <v>12</v>
      </c>
      <c r="B983" s="1" t="s">
        <v>185</v>
      </c>
      <c r="C983" s="4">
        <v>2</v>
      </c>
      <c r="D983" s="8">
        <v>1.67</v>
      </c>
      <c r="E983" s="4">
        <v>1</v>
      </c>
      <c r="F983" s="8">
        <v>1.75</v>
      </c>
      <c r="G983" s="4">
        <v>1</v>
      </c>
      <c r="H983" s="8">
        <v>1.69</v>
      </c>
      <c r="I983" s="4">
        <v>0</v>
      </c>
    </row>
    <row r="984" spans="1:9" x14ac:dyDescent="0.2">
      <c r="A984" s="2">
        <v>12</v>
      </c>
      <c r="B984" s="1" t="s">
        <v>170</v>
      </c>
      <c r="C984" s="4">
        <v>2</v>
      </c>
      <c r="D984" s="8">
        <v>1.67</v>
      </c>
      <c r="E984" s="4">
        <v>2</v>
      </c>
      <c r="F984" s="8">
        <v>3.51</v>
      </c>
      <c r="G984" s="4">
        <v>0</v>
      </c>
      <c r="H984" s="8">
        <v>0</v>
      </c>
      <c r="I984" s="4">
        <v>0</v>
      </c>
    </row>
    <row r="985" spans="1:9" x14ac:dyDescent="0.2">
      <c r="A985" s="2">
        <v>12</v>
      </c>
      <c r="B985" s="1" t="s">
        <v>216</v>
      </c>
      <c r="C985" s="4">
        <v>2</v>
      </c>
      <c r="D985" s="8">
        <v>1.67</v>
      </c>
      <c r="E985" s="4">
        <v>1</v>
      </c>
      <c r="F985" s="8">
        <v>1.75</v>
      </c>
      <c r="G985" s="4">
        <v>1</v>
      </c>
      <c r="H985" s="8">
        <v>1.69</v>
      </c>
      <c r="I985" s="4">
        <v>0</v>
      </c>
    </row>
    <row r="986" spans="1:9" x14ac:dyDescent="0.2">
      <c r="A986" s="2">
        <v>12</v>
      </c>
      <c r="B986" s="1" t="s">
        <v>186</v>
      </c>
      <c r="C986" s="4">
        <v>2</v>
      </c>
      <c r="D986" s="8">
        <v>1.67</v>
      </c>
      <c r="E986" s="4">
        <v>0</v>
      </c>
      <c r="F986" s="8">
        <v>0</v>
      </c>
      <c r="G986" s="4">
        <v>1</v>
      </c>
      <c r="H986" s="8">
        <v>1.69</v>
      </c>
      <c r="I986" s="4">
        <v>0</v>
      </c>
    </row>
    <row r="987" spans="1:9" x14ac:dyDescent="0.2">
      <c r="A987" s="2">
        <v>12</v>
      </c>
      <c r="B987" s="1" t="s">
        <v>236</v>
      </c>
      <c r="C987" s="4">
        <v>2</v>
      </c>
      <c r="D987" s="8">
        <v>1.67</v>
      </c>
      <c r="E987" s="4">
        <v>0</v>
      </c>
      <c r="F987" s="8">
        <v>0</v>
      </c>
      <c r="G987" s="4">
        <v>0</v>
      </c>
      <c r="H987" s="8">
        <v>0</v>
      </c>
      <c r="I987" s="4">
        <v>0</v>
      </c>
    </row>
    <row r="988" spans="1:9" x14ac:dyDescent="0.2">
      <c r="A988" s="2">
        <v>12</v>
      </c>
      <c r="B988" s="1" t="s">
        <v>286</v>
      </c>
      <c r="C988" s="4">
        <v>2</v>
      </c>
      <c r="D988" s="8">
        <v>1.67</v>
      </c>
      <c r="E988" s="4">
        <v>2</v>
      </c>
      <c r="F988" s="8">
        <v>3.51</v>
      </c>
      <c r="G988" s="4">
        <v>0</v>
      </c>
      <c r="H988" s="8">
        <v>0</v>
      </c>
      <c r="I988" s="4">
        <v>0</v>
      </c>
    </row>
    <row r="989" spans="1:9" x14ac:dyDescent="0.2">
      <c r="A989" s="2">
        <v>12</v>
      </c>
      <c r="B989" s="1" t="s">
        <v>217</v>
      </c>
      <c r="C989" s="4">
        <v>2</v>
      </c>
      <c r="D989" s="8">
        <v>1.67</v>
      </c>
      <c r="E989" s="4">
        <v>0</v>
      </c>
      <c r="F989" s="8">
        <v>0</v>
      </c>
      <c r="G989" s="4">
        <v>2</v>
      </c>
      <c r="H989" s="8">
        <v>3.39</v>
      </c>
      <c r="I989" s="4">
        <v>0</v>
      </c>
    </row>
    <row r="990" spans="1:9" x14ac:dyDescent="0.2">
      <c r="A990" s="1"/>
      <c r="C990" s="4"/>
      <c r="D990" s="8"/>
      <c r="E990" s="4"/>
      <c r="F990" s="8"/>
      <c r="G990" s="4"/>
      <c r="H990" s="8"/>
      <c r="I990" s="4"/>
    </row>
    <row r="991" spans="1:9" x14ac:dyDescent="0.2">
      <c r="A991" s="1" t="s">
        <v>37</v>
      </c>
      <c r="C991" s="4"/>
      <c r="D991" s="8"/>
      <c r="E991" s="4"/>
      <c r="F991" s="8"/>
      <c r="G991" s="4"/>
      <c r="H991" s="8"/>
      <c r="I991" s="4"/>
    </row>
    <row r="992" spans="1:9" x14ac:dyDescent="0.2">
      <c r="A992" s="2">
        <v>1</v>
      </c>
      <c r="B992" s="1" t="s">
        <v>159</v>
      </c>
      <c r="C992" s="4">
        <v>8</v>
      </c>
      <c r="D992" s="8">
        <v>8.08</v>
      </c>
      <c r="E992" s="4">
        <v>2</v>
      </c>
      <c r="F992" s="8">
        <v>3.28</v>
      </c>
      <c r="G992" s="4">
        <v>6</v>
      </c>
      <c r="H992" s="8">
        <v>16.670000000000002</v>
      </c>
      <c r="I992" s="4">
        <v>0</v>
      </c>
    </row>
    <row r="993" spans="1:9" x14ac:dyDescent="0.2">
      <c r="A993" s="2">
        <v>2</v>
      </c>
      <c r="B993" s="1" t="s">
        <v>173</v>
      </c>
      <c r="C993" s="4">
        <v>6</v>
      </c>
      <c r="D993" s="8">
        <v>6.06</v>
      </c>
      <c r="E993" s="4">
        <v>6</v>
      </c>
      <c r="F993" s="8">
        <v>9.84</v>
      </c>
      <c r="G993" s="4">
        <v>0</v>
      </c>
      <c r="H993" s="8">
        <v>0</v>
      </c>
      <c r="I993" s="4">
        <v>0</v>
      </c>
    </row>
    <row r="994" spans="1:9" x14ac:dyDescent="0.2">
      <c r="A994" s="2">
        <v>3</v>
      </c>
      <c r="B994" s="1" t="s">
        <v>202</v>
      </c>
      <c r="C994" s="4">
        <v>5</v>
      </c>
      <c r="D994" s="8">
        <v>5.05</v>
      </c>
      <c r="E994" s="4">
        <v>4</v>
      </c>
      <c r="F994" s="8">
        <v>6.56</v>
      </c>
      <c r="G994" s="4">
        <v>1</v>
      </c>
      <c r="H994" s="8">
        <v>2.78</v>
      </c>
      <c r="I994" s="4">
        <v>0</v>
      </c>
    </row>
    <row r="995" spans="1:9" x14ac:dyDescent="0.2">
      <c r="A995" s="2">
        <v>4</v>
      </c>
      <c r="B995" s="1" t="s">
        <v>158</v>
      </c>
      <c r="C995" s="4">
        <v>4</v>
      </c>
      <c r="D995" s="8">
        <v>4.04</v>
      </c>
      <c r="E995" s="4">
        <v>2</v>
      </c>
      <c r="F995" s="8">
        <v>3.28</v>
      </c>
      <c r="G995" s="4">
        <v>2</v>
      </c>
      <c r="H995" s="8">
        <v>5.56</v>
      </c>
      <c r="I995" s="4">
        <v>0</v>
      </c>
    </row>
    <row r="996" spans="1:9" x14ac:dyDescent="0.2">
      <c r="A996" s="2">
        <v>4</v>
      </c>
      <c r="B996" s="1" t="s">
        <v>174</v>
      </c>
      <c r="C996" s="4">
        <v>4</v>
      </c>
      <c r="D996" s="8">
        <v>4.04</v>
      </c>
      <c r="E996" s="4">
        <v>4</v>
      </c>
      <c r="F996" s="8">
        <v>6.56</v>
      </c>
      <c r="G996" s="4">
        <v>0</v>
      </c>
      <c r="H996" s="8">
        <v>0</v>
      </c>
      <c r="I996" s="4">
        <v>0</v>
      </c>
    </row>
    <row r="997" spans="1:9" x14ac:dyDescent="0.2">
      <c r="A997" s="2">
        <v>6</v>
      </c>
      <c r="B997" s="1" t="s">
        <v>187</v>
      </c>
      <c r="C997" s="4">
        <v>3</v>
      </c>
      <c r="D997" s="8">
        <v>3.03</v>
      </c>
      <c r="E997" s="4">
        <v>0</v>
      </c>
      <c r="F997" s="8">
        <v>0</v>
      </c>
      <c r="G997" s="4">
        <v>3</v>
      </c>
      <c r="H997" s="8">
        <v>8.33</v>
      </c>
      <c r="I997" s="4">
        <v>0</v>
      </c>
    </row>
    <row r="998" spans="1:9" x14ac:dyDescent="0.2">
      <c r="A998" s="2">
        <v>6</v>
      </c>
      <c r="B998" s="1" t="s">
        <v>251</v>
      </c>
      <c r="C998" s="4">
        <v>3</v>
      </c>
      <c r="D998" s="8">
        <v>3.03</v>
      </c>
      <c r="E998" s="4">
        <v>1</v>
      </c>
      <c r="F998" s="8">
        <v>1.64</v>
      </c>
      <c r="G998" s="4">
        <v>2</v>
      </c>
      <c r="H998" s="8">
        <v>5.56</v>
      </c>
      <c r="I998" s="4">
        <v>0</v>
      </c>
    </row>
    <row r="999" spans="1:9" x14ac:dyDescent="0.2">
      <c r="A999" s="2">
        <v>6</v>
      </c>
      <c r="B999" s="1" t="s">
        <v>170</v>
      </c>
      <c r="C999" s="4">
        <v>3</v>
      </c>
      <c r="D999" s="8">
        <v>3.03</v>
      </c>
      <c r="E999" s="4">
        <v>3</v>
      </c>
      <c r="F999" s="8">
        <v>4.92</v>
      </c>
      <c r="G999" s="4">
        <v>0</v>
      </c>
      <c r="H999" s="8">
        <v>0</v>
      </c>
      <c r="I999" s="4">
        <v>0</v>
      </c>
    </row>
    <row r="1000" spans="1:9" x14ac:dyDescent="0.2">
      <c r="A1000" s="2">
        <v>9</v>
      </c>
      <c r="B1000" s="1" t="s">
        <v>160</v>
      </c>
      <c r="C1000" s="4">
        <v>2</v>
      </c>
      <c r="D1000" s="8">
        <v>2.02</v>
      </c>
      <c r="E1000" s="4">
        <v>1</v>
      </c>
      <c r="F1000" s="8">
        <v>1.64</v>
      </c>
      <c r="G1000" s="4">
        <v>1</v>
      </c>
      <c r="H1000" s="8">
        <v>2.78</v>
      </c>
      <c r="I1000" s="4">
        <v>0</v>
      </c>
    </row>
    <row r="1001" spans="1:9" x14ac:dyDescent="0.2">
      <c r="A1001" s="2">
        <v>9</v>
      </c>
      <c r="B1001" s="1" t="s">
        <v>196</v>
      </c>
      <c r="C1001" s="4">
        <v>2</v>
      </c>
      <c r="D1001" s="8">
        <v>2.02</v>
      </c>
      <c r="E1001" s="4">
        <v>0</v>
      </c>
      <c r="F1001" s="8">
        <v>0</v>
      </c>
      <c r="G1001" s="4">
        <v>2</v>
      </c>
      <c r="H1001" s="8">
        <v>5.56</v>
      </c>
      <c r="I1001" s="4">
        <v>0</v>
      </c>
    </row>
    <row r="1002" spans="1:9" x14ac:dyDescent="0.2">
      <c r="A1002" s="2">
        <v>9</v>
      </c>
      <c r="B1002" s="1" t="s">
        <v>288</v>
      </c>
      <c r="C1002" s="4">
        <v>2</v>
      </c>
      <c r="D1002" s="8">
        <v>2.02</v>
      </c>
      <c r="E1002" s="4">
        <v>1</v>
      </c>
      <c r="F1002" s="8">
        <v>1.64</v>
      </c>
      <c r="G1002" s="4">
        <v>1</v>
      </c>
      <c r="H1002" s="8">
        <v>2.78</v>
      </c>
      <c r="I1002" s="4">
        <v>0</v>
      </c>
    </row>
    <row r="1003" spans="1:9" x14ac:dyDescent="0.2">
      <c r="A1003" s="2">
        <v>9</v>
      </c>
      <c r="B1003" s="1" t="s">
        <v>161</v>
      </c>
      <c r="C1003" s="4">
        <v>2</v>
      </c>
      <c r="D1003" s="8">
        <v>2.02</v>
      </c>
      <c r="E1003" s="4">
        <v>0</v>
      </c>
      <c r="F1003" s="8">
        <v>0</v>
      </c>
      <c r="G1003" s="4">
        <v>2</v>
      </c>
      <c r="H1003" s="8">
        <v>5.56</v>
      </c>
      <c r="I1003" s="4">
        <v>0</v>
      </c>
    </row>
    <row r="1004" spans="1:9" x14ac:dyDescent="0.2">
      <c r="A1004" s="2">
        <v>9</v>
      </c>
      <c r="B1004" s="1" t="s">
        <v>290</v>
      </c>
      <c r="C1004" s="4">
        <v>2</v>
      </c>
      <c r="D1004" s="8">
        <v>2.02</v>
      </c>
      <c r="E1004" s="4">
        <v>2</v>
      </c>
      <c r="F1004" s="8">
        <v>3.28</v>
      </c>
      <c r="G1004" s="4">
        <v>0</v>
      </c>
      <c r="H1004" s="8">
        <v>0</v>
      </c>
      <c r="I1004" s="4">
        <v>0</v>
      </c>
    </row>
    <row r="1005" spans="1:9" x14ac:dyDescent="0.2">
      <c r="A1005" s="2">
        <v>9</v>
      </c>
      <c r="B1005" s="1" t="s">
        <v>265</v>
      </c>
      <c r="C1005" s="4">
        <v>2</v>
      </c>
      <c r="D1005" s="8">
        <v>2.02</v>
      </c>
      <c r="E1005" s="4">
        <v>2</v>
      </c>
      <c r="F1005" s="8">
        <v>3.28</v>
      </c>
      <c r="G1005" s="4">
        <v>0</v>
      </c>
      <c r="H1005" s="8">
        <v>0</v>
      </c>
      <c r="I1005" s="4">
        <v>0</v>
      </c>
    </row>
    <row r="1006" spans="1:9" x14ac:dyDescent="0.2">
      <c r="A1006" s="2">
        <v>9</v>
      </c>
      <c r="B1006" s="1" t="s">
        <v>191</v>
      </c>
      <c r="C1006" s="4">
        <v>2</v>
      </c>
      <c r="D1006" s="8">
        <v>2.02</v>
      </c>
      <c r="E1006" s="4">
        <v>2</v>
      </c>
      <c r="F1006" s="8">
        <v>3.28</v>
      </c>
      <c r="G1006" s="4">
        <v>0</v>
      </c>
      <c r="H1006" s="8">
        <v>0</v>
      </c>
      <c r="I1006" s="4">
        <v>0</v>
      </c>
    </row>
    <row r="1007" spans="1:9" x14ac:dyDescent="0.2">
      <c r="A1007" s="2">
        <v>9</v>
      </c>
      <c r="B1007" s="1" t="s">
        <v>208</v>
      </c>
      <c r="C1007" s="4">
        <v>2</v>
      </c>
      <c r="D1007" s="8">
        <v>2.02</v>
      </c>
      <c r="E1007" s="4">
        <v>0</v>
      </c>
      <c r="F1007" s="8">
        <v>0</v>
      </c>
      <c r="G1007" s="4">
        <v>2</v>
      </c>
      <c r="H1007" s="8">
        <v>5.56</v>
      </c>
      <c r="I1007" s="4">
        <v>0</v>
      </c>
    </row>
    <row r="1008" spans="1:9" x14ac:dyDescent="0.2">
      <c r="A1008" s="2">
        <v>9</v>
      </c>
      <c r="B1008" s="1" t="s">
        <v>175</v>
      </c>
      <c r="C1008" s="4">
        <v>2</v>
      </c>
      <c r="D1008" s="8">
        <v>2.02</v>
      </c>
      <c r="E1008" s="4">
        <v>2</v>
      </c>
      <c r="F1008" s="8">
        <v>3.28</v>
      </c>
      <c r="G1008" s="4">
        <v>0</v>
      </c>
      <c r="H1008" s="8">
        <v>0</v>
      </c>
      <c r="I1008" s="4">
        <v>0</v>
      </c>
    </row>
    <row r="1009" spans="1:9" x14ac:dyDescent="0.2">
      <c r="A1009" s="2">
        <v>9</v>
      </c>
      <c r="B1009" s="1" t="s">
        <v>286</v>
      </c>
      <c r="C1009" s="4">
        <v>2</v>
      </c>
      <c r="D1009" s="8">
        <v>2.02</v>
      </c>
      <c r="E1009" s="4">
        <v>2</v>
      </c>
      <c r="F1009" s="8">
        <v>3.28</v>
      </c>
      <c r="G1009" s="4">
        <v>0</v>
      </c>
      <c r="H1009" s="8">
        <v>0</v>
      </c>
      <c r="I1009" s="4">
        <v>0</v>
      </c>
    </row>
    <row r="1010" spans="1:9" x14ac:dyDescent="0.2">
      <c r="A1010" s="2">
        <v>9</v>
      </c>
      <c r="B1010" s="1" t="s">
        <v>177</v>
      </c>
      <c r="C1010" s="4">
        <v>2</v>
      </c>
      <c r="D1010" s="8">
        <v>2.02</v>
      </c>
      <c r="E1010" s="4">
        <v>2</v>
      </c>
      <c r="F1010" s="8">
        <v>3.28</v>
      </c>
      <c r="G1010" s="4">
        <v>0</v>
      </c>
      <c r="H1010" s="8">
        <v>0</v>
      </c>
      <c r="I1010" s="4">
        <v>0</v>
      </c>
    </row>
    <row r="1011" spans="1:9" x14ac:dyDescent="0.2">
      <c r="A1011" s="2">
        <v>20</v>
      </c>
      <c r="B1011" s="1" t="s">
        <v>287</v>
      </c>
      <c r="C1011" s="4">
        <v>1</v>
      </c>
      <c r="D1011" s="8">
        <v>1.01</v>
      </c>
      <c r="E1011" s="4">
        <v>1</v>
      </c>
      <c r="F1011" s="8">
        <v>1.64</v>
      </c>
      <c r="G1011" s="4">
        <v>0</v>
      </c>
      <c r="H1011" s="8">
        <v>0</v>
      </c>
      <c r="I1011" s="4">
        <v>0</v>
      </c>
    </row>
    <row r="1012" spans="1:9" x14ac:dyDescent="0.2">
      <c r="A1012" s="2">
        <v>20</v>
      </c>
      <c r="B1012" s="1" t="s">
        <v>194</v>
      </c>
      <c r="C1012" s="4">
        <v>1</v>
      </c>
      <c r="D1012" s="8">
        <v>1.01</v>
      </c>
      <c r="E1012" s="4">
        <v>0</v>
      </c>
      <c r="F1012" s="8">
        <v>0</v>
      </c>
      <c r="G1012" s="4">
        <v>1</v>
      </c>
      <c r="H1012" s="8">
        <v>2.78</v>
      </c>
      <c r="I1012" s="4">
        <v>0</v>
      </c>
    </row>
    <row r="1013" spans="1:9" x14ac:dyDescent="0.2">
      <c r="A1013" s="2">
        <v>20</v>
      </c>
      <c r="B1013" s="1" t="s">
        <v>201</v>
      </c>
      <c r="C1013" s="4">
        <v>1</v>
      </c>
      <c r="D1013" s="8">
        <v>1.01</v>
      </c>
      <c r="E1013" s="4">
        <v>1</v>
      </c>
      <c r="F1013" s="8">
        <v>1.64</v>
      </c>
      <c r="G1013" s="4">
        <v>0</v>
      </c>
      <c r="H1013" s="8">
        <v>0</v>
      </c>
      <c r="I1013" s="4">
        <v>0</v>
      </c>
    </row>
    <row r="1014" spans="1:9" x14ac:dyDescent="0.2">
      <c r="A1014" s="2">
        <v>20</v>
      </c>
      <c r="B1014" s="1" t="s">
        <v>195</v>
      </c>
      <c r="C1014" s="4">
        <v>1</v>
      </c>
      <c r="D1014" s="8">
        <v>1.01</v>
      </c>
      <c r="E1014" s="4">
        <v>1</v>
      </c>
      <c r="F1014" s="8">
        <v>1.64</v>
      </c>
      <c r="G1014" s="4">
        <v>0</v>
      </c>
      <c r="H1014" s="8">
        <v>0</v>
      </c>
      <c r="I1014" s="4">
        <v>0</v>
      </c>
    </row>
    <row r="1015" spans="1:9" x14ac:dyDescent="0.2">
      <c r="A1015" s="2">
        <v>20</v>
      </c>
      <c r="B1015" s="1" t="s">
        <v>289</v>
      </c>
      <c r="C1015" s="4">
        <v>1</v>
      </c>
      <c r="D1015" s="8">
        <v>1.01</v>
      </c>
      <c r="E1015" s="4">
        <v>0</v>
      </c>
      <c r="F1015" s="8">
        <v>0</v>
      </c>
      <c r="G1015" s="4">
        <v>1</v>
      </c>
      <c r="H1015" s="8">
        <v>2.78</v>
      </c>
      <c r="I1015" s="4">
        <v>0</v>
      </c>
    </row>
    <row r="1016" spans="1:9" x14ac:dyDescent="0.2">
      <c r="A1016" s="2">
        <v>20</v>
      </c>
      <c r="B1016" s="1" t="s">
        <v>291</v>
      </c>
      <c r="C1016" s="4">
        <v>1</v>
      </c>
      <c r="D1016" s="8">
        <v>1.01</v>
      </c>
      <c r="E1016" s="4">
        <v>1</v>
      </c>
      <c r="F1016" s="8">
        <v>1.64</v>
      </c>
      <c r="G1016" s="4">
        <v>0</v>
      </c>
      <c r="H1016" s="8">
        <v>0</v>
      </c>
      <c r="I1016" s="4">
        <v>0</v>
      </c>
    </row>
    <row r="1017" spans="1:9" x14ac:dyDescent="0.2">
      <c r="A1017" s="2">
        <v>20</v>
      </c>
      <c r="B1017" s="1" t="s">
        <v>292</v>
      </c>
      <c r="C1017" s="4">
        <v>1</v>
      </c>
      <c r="D1017" s="8">
        <v>1.01</v>
      </c>
      <c r="E1017" s="4">
        <v>0</v>
      </c>
      <c r="F1017" s="8">
        <v>0</v>
      </c>
      <c r="G1017" s="4">
        <v>1</v>
      </c>
      <c r="H1017" s="8">
        <v>2.78</v>
      </c>
      <c r="I1017" s="4">
        <v>0</v>
      </c>
    </row>
    <row r="1018" spans="1:9" x14ac:dyDescent="0.2">
      <c r="A1018" s="2">
        <v>20</v>
      </c>
      <c r="B1018" s="1" t="s">
        <v>293</v>
      </c>
      <c r="C1018" s="4">
        <v>1</v>
      </c>
      <c r="D1018" s="8">
        <v>1.01</v>
      </c>
      <c r="E1018" s="4">
        <v>0</v>
      </c>
      <c r="F1018" s="8">
        <v>0</v>
      </c>
      <c r="G1018" s="4">
        <v>1</v>
      </c>
      <c r="H1018" s="8">
        <v>2.78</v>
      </c>
      <c r="I1018" s="4">
        <v>0</v>
      </c>
    </row>
    <row r="1019" spans="1:9" x14ac:dyDescent="0.2">
      <c r="A1019" s="2">
        <v>20</v>
      </c>
      <c r="B1019" s="1" t="s">
        <v>294</v>
      </c>
      <c r="C1019" s="4">
        <v>1</v>
      </c>
      <c r="D1019" s="8">
        <v>1.01</v>
      </c>
      <c r="E1019" s="4">
        <v>0</v>
      </c>
      <c r="F1019" s="8">
        <v>0</v>
      </c>
      <c r="G1019" s="4">
        <v>1</v>
      </c>
      <c r="H1019" s="8">
        <v>2.78</v>
      </c>
      <c r="I1019" s="4">
        <v>0</v>
      </c>
    </row>
    <row r="1020" spans="1:9" x14ac:dyDescent="0.2">
      <c r="A1020" s="2">
        <v>20</v>
      </c>
      <c r="B1020" s="1" t="s">
        <v>295</v>
      </c>
      <c r="C1020" s="4">
        <v>1</v>
      </c>
      <c r="D1020" s="8">
        <v>1.01</v>
      </c>
      <c r="E1020" s="4">
        <v>0</v>
      </c>
      <c r="F1020" s="8">
        <v>0</v>
      </c>
      <c r="G1020" s="4">
        <v>1</v>
      </c>
      <c r="H1020" s="8">
        <v>2.78</v>
      </c>
      <c r="I1020" s="4">
        <v>0</v>
      </c>
    </row>
    <row r="1021" spans="1:9" x14ac:dyDescent="0.2">
      <c r="A1021" s="2">
        <v>20</v>
      </c>
      <c r="B1021" s="1" t="s">
        <v>209</v>
      </c>
      <c r="C1021" s="4">
        <v>1</v>
      </c>
      <c r="D1021" s="8">
        <v>1.01</v>
      </c>
      <c r="E1021" s="4">
        <v>1</v>
      </c>
      <c r="F1021" s="8">
        <v>1.64</v>
      </c>
      <c r="G1021" s="4">
        <v>0</v>
      </c>
      <c r="H1021" s="8">
        <v>0</v>
      </c>
      <c r="I1021" s="4">
        <v>0</v>
      </c>
    </row>
    <row r="1022" spans="1:9" x14ac:dyDescent="0.2">
      <c r="A1022" s="2">
        <v>20</v>
      </c>
      <c r="B1022" s="1" t="s">
        <v>252</v>
      </c>
      <c r="C1022" s="4">
        <v>1</v>
      </c>
      <c r="D1022" s="8">
        <v>1.01</v>
      </c>
      <c r="E1022" s="4">
        <v>0</v>
      </c>
      <c r="F1022" s="8">
        <v>0</v>
      </c>
      <c r="G1022" s="4">
        <v>1</v>
      </c>
      <c r="H1022" s="8">
        <v>2.78</v>
      </c>
      <c r="I1022" s="4">
        <v>0</v>
      </c>
    </row>
    <row r="1023" spans="1:9" x14ac:dyDescent="0.2">
      <c r="A1023" s="2">
        <v>20</v>
      </c>
      <c r="B1023" s="1" t="s">
        <v>296</v>
      </c>
      <c r="C1023" s="4">
        <v>1</v>
      </c>
      <c r="D1023" s="8">
        <v>1.01</v>
      </c>
      <c r="E1023" s="4">
        <v>0</v>
      </c>
      <c r="F1023" s="8">
        <v>0</v>
      </c>
      <c r="G1023" s="4">
        <v>1</v>
      </c>
      <c r="H1023" s="8">
        <v>2.78</v>
      </c>
      <c r="I1023" s="4">
        <v>0</v>
      </c>
    </row>
    <row r="1024" spans="1:9" x14ac:dyDescent="0.2">
      <c r="A1024" s="2">
        <v>20</v>
      </c>
      <c r="B1024" s="1" t="s">
        <v>263</v>
      </c>
      <c r="C1024" s="4">
        <v>1</v>
      </c>
      <c r="D1024" s="8">
        <v>1.01</v>
      </c>
      <c r="E1024" s="4">
        <v>1</v>
      </c>
      <c r="F1024" s="8">
        <v>1.64</v>
      </c>
      <c r="G1024" s="4">
        <v>0</v>
      </c>
      <c r="H1024" s="8">
        <v>0</v>
      </c>
      <c r="I1024" s="4">
        <v>0</v>
      </c>
    </row>
    <row r="1025" spans="1:9" x14ac:dyDescent="0.2">
      <c r="A1025" s="2">
        <v>20</v>
      </c>
      <c r="B1025" s="1" t="s">
        <v>297</v>
      </c>
      <c r="C1025" s="4">
        <v>1</v>
      </c>
      <c r="D1025" s="8">
        <v>1.01</v>
      </c>
      <c r="E1025" s="4">
        <v>0</v>
      </c>
      <c r="F1025" s="8">
        <v>0</v>
      </c>
      <c r="G1025" s="4">
        <v>0</v>
      </c>
      <c r="H1025" s="8">
        <v>0</v>
      </c>
      <c r="I1025" s="4">
        <v>0</v>
      </c>
    </row>
    <row r="1026" spans="1:9" x14ac:dyDescent="0.2">
      <c r="A1026" s="2">
        <v>20</v>
      </c>
      <c r="B1026" s="1" t="s">
        <v>284</v>
      </c>
      <c r="C1026" s="4">
        <v>1</v>
      </c>
      <c r="D1026" s="8">
        <v>1.01</v>
      </c>
      <c r="E1026" s="4">
        <v>0</v>
      </c>
      <c r="F1026" s="8">
        <v>0</v>
      </c>
      <c r="G1026" s="4">
        <v>1</v>
      </c>
      <c r="H1026" s="8">
        <v>2.78</v>
      </c>
      <c r="I1026" s="4">
        <v>0</v>
      </c>
    </row>
    <row r="1027" spans="1:9" x14ac:dyDescent="0.2">
      <c r="A1027" s="2">
        <v>20</v>
      </c>
      <c r="B1027" s="1" t="s">
        <v>230</v>
      </c>
      <c r="C1027" s="4">
        <v>1</v>
      </c>
      <c r="D1027" s="8">
        <v>1.01</v>
      </c>
      <c r="E1027" s="4">
        <v>1</v>
      </c>
      <c r="F1027" s="8">
        <v>1.64</v>
      </c>
      <c r="G1027" s="4">
        <v>0</v>
      </c>
      <c r="H1027" s="8">
        <v>0</v>
      </c>
      <c r="I1027" s="4">
        <v>0</v>
      </c>
    </row>
    <row r="1028" spans="1:9" x14ac:dyDescent="0.2">
      <c r="A1028" s="2">
        <v>20</v>
      </c>
      <c r="B1028" s="1" t="s">
        <v>298</v>
      </c>
      <c r="C1028" s="4">
        <v>1</v>
      </c>
      <c r="D1028" s="8">
        <v>1.01</v>
      </c>
      <c r="E1028" s="4">
        <v>0</v>
      </c>
      <c r="F1028" s="8">
        <v>0</v>
      </c>
      <c r="G1028" s="4">
        <v>1</v>
      </c>
      <c r="H1028" s="8">
        <v>2.78</v>
      </c>
      <c r="I1028" s="4">
        <v>0</v>
      </c>
    </row>
    <row r="1029" spans="1:9" x14ac:dyDescent="0.2">
      <c r="A1029" s="2">
        <v>20</v>
      </c>
      <c r="B1029" s="1" t="s">
        <v>299</v>
      </c>
      <c r="C1029" s="4">
        <v>1</v>
      </c>
      <c r="D1029" s="8">
        <v>1.01</v>
      </c>
      <c r="E1029" s="4">
        <v>0</v>
      </c>
      <c r="F1029" s="8">
        <v>0</v>
      </c>
      <c r="G1029" s="4">
        <v>1</v>
      </c>
      <c r="H1029" s="8">
        <v>2.78</v>
      </c>
      <c r="I1029" s="4">
        <v>0</v>
      </c>
    </row>
    <row r="1030" spans="1:9" x14ac:dyDescent="0.2">
      <c r="A1030" s="2">
        <v>20</v>
      </c>
      <c r="B1030" s="1" t="s">
        <v>190</v>
      </c>
      <c r="C1030" s="4">
        <v>1</v>
      </c>
      <c r="D1030" s="8">
        <v>1.01</v>
      </c>
      <c r="E1030" s="4">
        <v>1</v>
      </c>
      <c r="F1030" s="8">
        <v>1.64</v>
      </c>
      <c r="G1030" s="4">
        <v>0</v>
      </c>
      <c r="H1030" s="8">
        <v>0</v>
      </c>
      <c r="I1030" s="4">
        <v>0</v>
      </c>
    </row>
    <row r="1031" spans="1:9" x14ac:dyDescent="0.2">
      <c r="A1031" s="2">
        <v>20</v>
      </c>
      <c r="B1031" s="1" t="s">
        <v>212</v>
      </c>
      <c r="C1031" s="4">
        <v>1</v>
      </c>
      <c r="D1031" s="8">
        <v>1.01</v>
      </c>
      <c r="E1031" s="4">
        <v>1</v>
      </c>
      <c r="F1031" s="8">
        <v>1.64</v>
      </c>
      <c r="G1031" s="4">
        <v>0</v>
      </c>
      <c r="H1031" s="8">
        <v>0</v>
      </c>
      <c r="I1031" s="4">
        <v>0</v>
      </c>
    </row>
    <row r="1032" spans="1:9" x14ac:dyDescent="0.2">
      <c r="A1032" s="2">
        <v>20</v>
      </c>
      <c r="B1032" s="1" t="s">
        <v>207</v>
      </c>
      <c r="C1032" s="4">
        <v>1</v>
      </c>
      <c r="D1032" s="8">
        <v>1.01</v>
      </c>
      <c r="E1032" s="4">
        <v>0</v>
      </c>
      <c r="F1032" s="8">
        <v>0</v>
      </c>
      <c r="G1032" s="4">
        <v>0</v>
      </c>
      <c r="H1032" s="8">
        <v>0</v>
      </c>
      <c r="I1032" s="4">
        <v>1</v>
      </c>
    </row>
    <row r="1033" spans="1:9" x14ac:dyDescent="0.2">
      <c r="A1033" s="2">
        <v>20</v>
      </c>
      <c r="B1033" s="1" t="s">
        <v>178</v>
      </c>
      <c r="C1033" s="4">
        <v>1</v>
      </c>
      <c r="D1033" s="8">
        <v>1.01</v>
      </c>
      <c r="E1033" s="4">
        <v>1</v>
      </c>
      <c r="F1033" s="8">
        <v>1.64</v>
      </c>
      <c r="G1033" s="4">
        <v>0</v>
      </c>
      <c r="H1033" s="8">
        <v>0</v>
      </c>
      <c r="I1033" s="4">
        <v>0</v>
      </c>
    </row>
    <row r="1034" spans="1:9" x14ac:dyDescent="0.2">
      <c r="A1034" s="2">
        <v>20</v>
      </c>
      <c r="B1034" s="1" t="s">
        <v>163</v>
      </c>
      <c r="C1034" s="4">
        <v>1</v>
      </c>
      <c r="D1034" s="8">
        <v>1.01</v>
      </c>
      <c r="E1034" s="4">
        <v>1</v>
      </c>
      <c r="F1034" s="8">
        <v>1.64</v>
      </c>
      <c r="G1034" s="4">
        <v>0</v>
      </c>
      <c r="H1034" s="8">
        <v>0</v>
      </c>
      <c r="I1034" s="4">
        <v>0</v>
      </c>
    </row>
    <row r="1035" spans="1:9" x14ac:dyDescent="0.2">
      <c r="A1035" s="2">
        <v>20</v>
      </c>
      <c r="B1035" s="1" t="s">
        <v>164</v>
      </c>
      <c r="C1035" s="4">
        <v>1</v>
      </c>
      <c r="D1035" s="8">
        <v>1.01</v>
      </c>
      <c r="E1035" s="4">
        <v>1</v>
      </c>
      <c r="F1035" s="8">
        <v>1.64</v>
      </c>
      <c r="G1035" s="4">
        <v>0</v>
      </c>
      <c r="H1035" s="8">
        <v>0</v>
      </c>
      <c r="I1035" s="4">
        <v>0</v>
      </c>
    </row>
    <row r="1036" spans="1:9" x14ac:dyDescent="0.2">
      <c r="A1036" s="2">
        <v>20</v>
      </c>
      <c r="B1036" s="1" t="s">
        <v>300</v>
      </c>
      <c r="C1036" s="4">
        <v>1</v>
      </c>
      <c r="D1036" s="8">
        <v>1.01</v>
      </c>
      <c r="E1036" s="4">
        <v>1</v>
      </c>
      <c r="F1036" s="8">
        <v>1.64</v>
      </c>
      <c r="G1036" s="4">
        <v>0</v>
      </c>
      <c r="H1036" s="8">
        <v>0</v>
      </c>
      <c r="I1036" s="4">
        <v>0</v>
      </c>
    </row>
    <row r="1037" spans="1:9" x14ac:dyDescent="0.2">
      <c r="A1037" s="2">
        <v>20</v>
      </c>
      <c r="B1037" s="1" t="s">
        <v>193</v>
      </c>
      <c r="C1037" s="4">
        <v>1</v>
      </c>
      <c r="D1037" s="8">
        <v>1.01</v>
      </c>
      <c r="E1037" s="4">
        <v>1</v>
      </c>
      <c r="F1037" s="8">
        <v>1.64</v>
      </c>
      <c r="G1037" s="4">
        <v>0</v>
      </c>
      <c r="H1037" s="8">
        <v>0</v>
      </c>
      <c r="I1037" s="4">
        <v>0</v>
      </c>
    </row>
    <row r="1038" spans="1:9" x14ac:dyDescent="0.2">
      <c r="A1038" s="2">
        <v>20</v>
      </c>
      <c r="B1038" s="1" t="s">
        <v>165</v>
      </c>
      <c r="C1038" s="4">
        <v>1</v>
      </c>
      <c r="D1038" s="8">
        <v>1.01</v>
      </c>
      <c r="E1038" s="4">
        <v>1</v>
      </c>
      <c r="F1038" s="8">
        <v>1.64</v>
      </c>
      <c r="G1038" s="4">
        <v>0</v>
      </c>
      <c r="H1038" s="8">
        <v>0</v>
      </c>
      <c r="I1038" s="4">
        <v>0</v>
      </c>
    </row>
    <row r="1039" spans="1:9" x14ac:dyDescent="0.2">
      <c r="A1039" s="2">
        <v>20</v>
      </c>
      <c r="B1039" s="1" t="s">
        <v>166</v>
      </c>
      <c r="C1039" s="4">
        <v>1</v>
      </c>
      <c r="D1039" s="8">
        <v>1.01</v>
      </c>
      <c r="E1039" s="4">
        <v>1</v>
      </c>
      <c r="F1039" s="8">
        <v>1.64</v>
      </c>
      <c r="G1039" s="4">
        <v>0</v>
      </c>
      <c r="H1039" s="8">
        <v>0</v>
      </c>
      <c r="I1039" s="4">
        <v>0</v>
      </c>
    </row>
    <row r="1040" spans="1:9" x14ac:dyDescent="0.2">
      <c r="A1040" s="2">
        <v>20</v>
      </c>
      <c r="B1040" s="1" t="s">
        <v>204</v>
      </c>
      <c r="C1040" s="4">
        <v>1</v>
      </c>
      <c r="D1040" s="8">
        <v>1.01</v>
      </c>
      <c r="E1040" s="4">
        <v>0</v>
      </c>
      <c r="F1040" s="8">
        <v>0</v>
      </c>
      <c r="G1040" s="4">
        <v>1</v>
      </c>
      <c r="H1040" s="8">
        <v>2.78</v>
      </c>
      <c r="I1040" s="4">
        <v>0</v>
      </c>
    </row>
    <row r="1041" spans="1:9" x14ac:dyDescent="0.2">
      <c r="A1041" s="2">
        <v>20</v>
      </c>
      <c r="B1041" s="1" t="s">
        <v>205</v>
      </c>
      <c r="C1041" s="4">
        <v>1</v>
      </c>
      <c r="D1041" s="8">
        <v>1.01</v>
      </c>
      <c r="E1041" s="4">
        <v>0</v>
      </c>
      <c r="F1041" s="8">
        <v>0</v>
      </c>
      <c r="G1041" s="4">
        <v>1</v>
      </c>
      <c r="H1041" s="8">
        <v>2.78</v>
      </c>
      <c r="I1041" s="4">
        <v>0</v>
      </c>
    </row>
    <row r="1042" spans="1:9" x14ac:dyDescent="0.2">
      <c r="A1042" s="2">
        <v>20</v>
      </c>
      <c r="B1042" s="1" t="s">
        <v>169</v>
      </c>
      <c r="C1042" s="4">
        <v>1</v>
      </c>
      <c r="D1042" s="8">
        <v>1.01</v>
      </c>
      <c r="E1042" s="4">
        <v>1</v>
      </c>
      <c r="F1042" s="8">
        <v>1.64</v>
      </c>
      <c r="G1042" s="4">
        <v>0</v>
      </c>
      <c r="H1042" s="8">
        <v>0</v>
      </c>
      <c r="I1042" s="4">
        <v>0</v>
      </c>
    </row>
    <row r="1043" spans="1:9" x14ac:dyDescent="0.2">
      <c r="A1043" s="2">
        <v>20</v>
      </c>
      <c r="B1043" s="1" t="s">
        <v>181</v>
      </c>
      <c r="C1043" s="4">
        <v>1</v>
      </c>
      <c r="D1043" s="8">
        <v>1.01</v>
      </c>
      <c r="E1043" s="4">
        <v>1</v>
      </c>
      <c r="F1043" s="8">
        <v>1.64</v>
      </c>
      <c r="G1043" s="4">
        <v>0</v>
      </c>
      <c r="H1043" s="8">
        <v>0</v>
      </c>
      <c r="I1043" s="4">
        <v>0</v>
      </c>
    </row>
    <row r="1044" spans="1:9" x14ac:dyDescent="0.2">
      <c r="A1044" s="2">
        <v>20</v>
      </c>
      <c r="B1044" s="1" t="s">
        <v>301</v>
      </c>
      <c r="C1044" s="4">
        <v>1</v>
      </c>
      <c r="D1044" s="8">
        <v>1.01</v>
      </c>
      <c r="E1044" s="4">
        <v>1</v>
      </c>
      <c r="F1044" s="8">
        <v>1.64</v>
      </c>
      <c r="G1044" s="4">
        <v>0</v>
      </c>
      <c r="H1044" s="8">
        <v>0</v>
      </c>
      <c r="I1044" s="4">
        <v>0</v>
      </c>
    </row>
    <row r="1045" spans="1:9" x14ac:dyDescent="0.2">
      <c r="A1045" s="2">
        <v>20</v>
      </c>
      <c r="B1045" s="1" t="s">
        <v>171</v>
      </c>
      <c r="C1045" s="4">
        <v>1</v>
      </c>
      <c r="D1045" s="8">
        <v>1.01</v>
      </c>
      <c r="E1045" s="4">
        <v>1</v>
      </c>
      <c r="F1045" s="8">
        <v>1.64</v>
      </c>
      <c r="G1045" s="4">
        <v>0</v>
      </c>
      <c r="H1045" s="8">
        <v>0</v>
      </c>
      <c r="I1045" s="4">
        <v>0</v>
      </c>
    </row>
    <row r="1046" spans="1:9" x14ac:dyDescent="0.2">
      <c r="A1046" s="2">
        <v>20</v>
      </c>
      <c r="B1046" s="1" t="s">
        <v>172</v>
      </c>
      <c r="C1046" s="4">
        <v>1</v>
      </c>
      <c r="D1046" s="8">
        <v>1.01</v>
      </c>
      <c r="E1046" s="4">
        <v>1</v>
      </c>
      <c r="F1046" s="8">
        <v>1.64</v>
      </c>
      <c r="G1046" s="4">
        <v>0</v>
      </c>
      <c r="H1046" s="8">
        <v>0</v>
      </c>
      <c r="I1046" s="4">
        <v>0</v>
      </c>
    </row>
    <row r="1047" spans="1:9" x14ac:dyDescent="0.2">
      <c r="A1047" s="2">
        <v>20</v>
      </c>
      <c r="B1047" s="1" t="s">
        <v>227</v>
      </c>
      <c r="C1047" s="4">
        <v>1</v>
      </c>
      <c r="D1047" s="8">
        <v>1.01</v>
      </c>
      <c r="E1047" s="4">
        <v>1</v>
      </c>
      <c r="F1047" s="8">
        <v>1.64</v>
      </c>
      <c r="G1047" s="4">
        <v>0</v>
      </c>
      <c r="H1047" s="8">
        <v>0</v>
      </c>
      <c r="I1047" s="4">
        <v>0</v>
      </c>
    </row>
    <row r="1048" spans="1:9" x14ac:dyDescent="0.2">
      <c r="A1048" s="2">
        <v>20</v>
      </c>
      <c r="B1048" s="1" t="s">
        <v>186</v>
      </c>
      <c r="C1048" s="4">
        <v>1</v>
      </c>
      <c r="D1048" s="8">
        <v>1.01</v>
      </c>
      <c r="E1048" s="4">
        <v>0</v>
      </c>
      <c r="F1048" s="8">
        <v>0</v>
      </c>
      <c r="G1048" s="4">
        <v>1</v>
      </c>
      <c r="H1048" s="8">
        <v>2.78</v>
      </c>
      <c r="I1048" s="4">
        <v>0</v>
      </c>
    </row>
    <row r="1049" spans="1:9" x14ac:dyDescent="0.2">
      <c r="A1049" s="2">
        <v>20</v>
      </c>
      <c r="B1049" s="1" t="s">
        <v>176</v>
      </c>
      <c r="C1049" s="4">
        <v>1</v>
      </c>
      <c r="D1049" s="8">
        <v>1.01</v>
      </c>
      <c r="E1049" s="4">
        <v>1</v>
      </c>
      <c r="F1049" s="8">
        <v>1.64</v>
      </c>
      <c r="G1049" s="4">
        <v>0</v>
      </c>
      <c r="H1049" s="8">
        <v>0</v>
      </c>
      <c r="I1049" s="4">
        <v>0</v>
      </c>
    </row>
    <row r="1050" spans="1:9" x14ac:dyDescent="0.2">
      <c r="A1050" s="2">
        <v>20</v>
      </c>
      <c r="B1050" s="1" t="s">
        <v>239</v>
      </c>
      <c r="C1050" s="4">
        <v>1</v>
      </c>
      <c r="D1050" s="8">
        <v>1.01</v>
      </c>
      <c r="E1050" s="4">
        <v>1</v>
      </c>
      <c r="F1050" s="8">
        <v>1.64</v>
      </c>
      <c r="G1050" s="4">
        <v>0</v>
      </c>
      <c r="H1050" s="8">
        <v>0</v>
      </c>
      <c r="I1050" s="4">
        <v>0</v>
      </c>
    </row>
    <row r="1051" spans="1:9" x14ac:dyDescent="0.2">
      <c r="A1051" s="2">
        <v>20</v>
      </c>
      <c r="B1051" s="1" t="s">
        <v>302</v>
      </c>
      <c r="C1051" s="4">
        <v>1</v>
      </c>
      <c r="D1051" s="8">
        <v>1.01</v>
      </c>
      <c r="E1051" s="4">
        <v>1</v>
      </c>
      <c r="F1051" s="8">
        <v>1.64</v>
      </c>
      <c r="G1051" s="4">
        <v>0</v>
      </c>
      <c r="H1051" s="8">
        <v>0</v>
      </c>
      <c r="I1051" s="4">
        <v>0</v>
      </c>
    </row>
    <row r="1052" spans="1:9" x14ac:dyDescent="0.2">
      <c r="A1052" s="1"/>
      <c r="C1052" s="4"/>
      <c r="D1052" s="8"/>
      <c r="E1052" s="4"/>
      <c r="F1052" s="8"/>
      <c r="G1052" s="4"/>
      <c r="H1052" s="8"/>
      <c r="I1052" s="4"/>
    </row>
    <row r="1053" spans="1:9" x14ac:dyDescent="0.2">
      <c r="A1053" s="1" t="s">
        <v>38</v>
      </c>
      <c r="C1053" s="4"/>
      <c r="D1053" s="8"/>
      <c r="E1053" s="4"/>
      <c r="F1053" s="8"/>
      <c r="G1053" s="4"/>
      <c r="H1053" s="8"/>
      <c r="I1053" s="4"/>
    </row>
    <row r="1054" spans="1:9" x14ac:dyDescent="0.2">
      <c r="A1054" s="2">
        <v>1</v>
      </c>
      <c r="B1054" s="1" t="s">
        <v>174</v>
      </c>
      <c r="C1054" s="4">
        <v>24</v>
      </c>
      <c r="D1054" s="8">
        <v>5.87</v>
      </c>
      <c r="E1054" s="4">
        <v>23</v>
      </c>
      <c r="F1054" s="8">
        <v>9.5399999999999991</v>
      </c>
      <c r="G1054" s="4">
        <v>1</v>
      </c>
      <c r="H1054" s="8">
        <v>0.61</v>
      </c>
      <c r="I1054" s="4">
        <v>0</v>
      </c>
    </row>
    <row r="1055" spans="1:9" x14ac:dyDescent="0.2">
      <c r="A1055" s="2">
        <v>2</v>
      </c>
      <c r="B1055" s="1" t="s">
        <v>173</v>
      </c>
      <c r="C1055" s="4">
        <v>20</v>
      </c>
      <c r="D1055" s="8">
        <v>4.8899999999999997</v>
      </c>
      <c r="E1055" s="4">
        <v>19</v>
      </c>
      <c r="F1055" s="8">
        <v>7.88</v>
      </c>
      <c r="G1055" s="4">
        <v>1</v>
      </c>
      <c r="H1055" s="8">
        <v>0.61</v>
      </c>
      <c r="I1055" s="4">
        <v>0</v>
      </c>
    </row>
    <row r="1056" spans="1:9" x14ac:dyDescent="0.2">
      <c r="A1056" s="2">
        <v>3</v>
      </c>
      <c r="B1056" s="1" t="s">
        <v>159</v>
      </c>
      <c r="C1056" s="4">
        <v>12</v>
      </c>
      <c r="D1056" s="8">
        <v>2.93</v>
      </c>
      <c r="E1056" s="4">
        <v>4</v>
      </c>
      <c r="F1056" s="8">
        <v>1.66</v>
      </c>
      <c r="G1056" s="4">
        <v>8</v>
      </c>
      <c r="H1056" s="8">
        <v>4.88</v>
      </c>
      <c r="I1056" s="4">
        <v>0</v>
      </c>
    </row>
    <row r="1057" spans="1:9" x14ac:dyDescent="0.2">
      <c r="A1057" s="2">
        <v>4</v>
      </c>
      <c r="B1057" s="1" t="s">
        <v>165</v>
      </c>
      <c r="C1057" s="4">
        <v>11</v>
      </c>
      <c r="D1057" s="8">
        <v>2.69</v>
      </c>
      <c r="E1057" s="4">
        <v>4</v>
      </c>
      <c r="F1057" s="8">
        <v>1.66</v>
      </c>
      <c r="G1057" s="4">
        <v>7</v>
      </c>
      <c r="H1057" s="8">
        <v>4.2699999999999996</v>
      </c>
      <c r="I1057" s="4">
        <v>0</v>
      </c>
    </row>
    <row r="1058" spans="1:9" x14ac:dyDescent="0.2">
      <c r="A1058" s="2">
        <v>4</v>
      </c>
      <c r="B1058" s="1" t="s">
        <v>171</v>
      </c>
      <c r="C1058" s="4">
        <v>11</v>
      </c>
      <c r="D1058" s="8">
        <v>2.69</v>
      </c>
      <c r="E1058" s="4">
        <v>10</v>
      </c>
      <c r="F1058" s="8">
        <v>4.1500000000000004</v>
      </c>
      <c r="G1058" s="4">
        <v>1</v>
      </c>
      <c r="H1058" s="8">
        <v>0.61</v>
      </c>
      <c r="I1058" s="4">
        <v>0</v>
      </c>
    </row>
    <row r="1059" spans="1:9" x14ac:dyDescent="0.2">
      <c r="A1059" s="2">
        <v>4</v>
      </c>
      <c r="B1059" s="1" t="s">
        <v>186</v>
      </c>
      <c r="C1059" s="4">
        <v>11</v>
      </c>
      <c r="D1059" s="8">
        <v>2.69</v>
      </c>
      <c r="E1059" s="4">
        <v>2</v>
      </c>
      <c r="F1059" s="8">
        <v>0.83</v>
      </c>
      <c r="G1059" s="4">
        <v>9</v>
      </c>
      <c r="H1059" s="8">
        <v>5.49</v>
      </c>
      <c r="I1059" s="4">
        <v>0</v>
      </c>
    </row>
    <row r="1060" spans="1:9" x14ac:dyDescent="0.2">
      <c r="A1060" s="2">
        <v>7</v>
      </c>
      <c r="B1060" s="1" t="s">
        <v>160</v>
      </c>
      <c r="C1060" s="4">
        <v>10</v>
      </c>
      <c r="D1060" s="8">
        <v>2.44</v>
      </c>
      <c r="E1060" s="4">
        <v>5</v>
      </c>
      <c r="F1060" s="8">
        <v>2.0699999999999998</v>
      </c>
      <c r="G1060" s="4">
        <v>5</v>
      </c>
      <c r="H1060" s="8">
        <v>3.05</v>
      </c>
      <c r="I1060" s="4">
        <v>0</v>
      </c>
    </row>
    <row r="1061" spans="1:9" x14ac:dyDescent="0.2">
      <c r="A1061" s="2">
        <v>7</v>
      </c>
      <c r="B1061" s="1" t="s">
        <v>170</v>
      </c>
      <c r="C1061" s="4">
        <v>10</v>
      </c>
      <c r="D1061" s="8">
        <v>2.44</v>
      </c>
      <c r="E1061" s="4">
        <v>10</v>
      </c>
      <c r="F1061" s="8">
        <v>4.1500000000000004</v>
      </c>
      <c r="G1061" s="4">
        <v>0</v>
      </c>
      <c r="H1061" s="8">
        <v>0</v>
      </c>
      <c r="I1061" s="4">
        <v>0</v>
      </c>
    </row>
    <row r="1062" spans="1:9" x14ac:dyDescent="0.2">
      <c r="A1062" s="2">
        <v>7</v>
      </c>
      <c r="B1062" s="1" t="s">
        <v>177</v>
      </c>
      <c r="C1062" s="4">
        <v>10</v>
      </c>
      <c r="D1062" s="8">
        <v>2.44</v>
      </c>
      <c r="E1062" s="4">
        <v>8</v>
      </c>
      <c r="F1062" s="8">
        <v>3.32</v>
      </c>
      <c r="G1062" s="4">
        <v>2</v>
      </c>
      <c r="H1062" s="8">
        <v>1.22</v>
      </c>
      <c r="I1062" s="4">
        <v>0</v>
      </c>
    </row>
    <row r="1063" spans="1:9" x14ac:dyDescent="0.2">
      <c r="A1063" s="2">
        <v>10</v>
      </c>
      <c r="B1063" s="1" t="s">
        <v>168</v>
      </c>
      <c r="C1063" s="4">
        <v>9</v>
      </c>
      <c r="D1063" s="8">
        <v>2.2000000000000002</v>
      </c>
      <c r="E1063" s="4">
        <v>6</v>
      </c>
      <c r="F1063" s="8">
        <v>2.4900000000000002</v>
      </c>
      <c r="G1063" s="4">
        <v>3</v>
      </c>
      <c r="H1063" s="8">
        <v>1.83</v>
      </c>
      <c r="I1063" s="4">
        <v>0</v>
      </c>
    </row>
    <row r="1064" spans="1:9" x14ac:dyDescent="0.2">
      <c r="A1064" s="2">
        <v>11</v>
      </c>
      <c r="B1064" s="1" t="s">
        <v>161</v>
      </c>
      <c r="C1064" s="4">
        <v>8</v>
      </c>
      <c r="D1064" s="8">
        <v>1.96</v>
      </c>
      <c r="E1064" s="4">
        <v>4</v>
      </c>
      <c r="F1064" s="8">
        <v>1.66</v>
      </c>
      <c r="G1064" s="4">
        <v>4</v>
      </c>
      <c r="H1064" s="8">
        <v>2.44</v>
      </c>
      <c r="I1064" s="4">
        <v>0</v>
      </c>
    </row>
    <row r="1065" spans="1:9" x14ac:dyDescent="0.2">
      <c r="A1065" s="2">
        <v>11</v>
      </c>
      <c r="B1065" s="1" t="s">
        <v>166</v>
      </c>
      <c r="C1065" s="4">
        <v>8</v>
      </c>
      <c r="D1065" s="8">
        <v>1.96</v>
      </c>
      <c r="E1065" s="4">
        <v>7</v>
      </c>
      <c r="F1065" s="8">
        <v>2.9</v>
      </c>
      <c r="G1065" s="4">
        <v>1</v>
      </c>
      <c r="H1065" s="8">
        <v>0.61</v>
      </c>
      <c r="I1065" s="4">
        <v>0</v>
      </c>
    </row>
    <row r="1066" spans="1:9" x14ac:dyDescent="0.2">
      <c r="A1066" s="2">
        <v>11</v>
      </c>
      <c r="B1066" s="1" t="s">
        <v>169</v>
      </c>
      <c r="C1066" s="4">
        <v>8</v>
      </c>
      <c r="D1066" s="8">
        <v>1.96</v>
      </c>
      <c r="E1066" s="4">
        <v>2</v>
      </c>
      <c r="F1066" s="8">
        <v>0.83</v>
      </c>
      <c r="G1066" s="4">
        <v>6</v>
      </c>
      <c r="H1066" s="8">
        <v>3.66</v>
      </c>
      <c r="I1066" s="4">
        <v>0</v>
      </c>
    </row>
    <row r="1067" spans="1:9" x14ac:dyDescent="0.2">
      <c r="A1067" s="2">
        <v>11</v>
      </c>
      <c r="B1067" s="1" t="s">
        <v>181</v>
      </c>
      <c r="C1067" s="4">
        <v>8</v>
      </c>
      <c r="D1067" s="8">
        <v>1.96</v>
      </c>
      <c r="E1067" s="4">
        <v>7</v>
      </c>
      <c r="F1067" s="8">
        <v>2.9</v>
      </c>
      <c r="G1067" s="4">
        <v>1</v>
      </c>
      <c r="H1067" s="8">
        <v>0.61</v>
      </c>
      <c r="I1067" s="4">
        <v>0</v>
      </c>
    </row>
    <row r="1068" spans="1:9" x14ac:dyDescent="0.2">
      <c r="A1068" s="2">
        <v>11</v>
      </c>
      <c r="B1068" s="1" t="s">
        <v>184</v>
      </c>
      <c r="C1068" s="4">
        <v>8</v>
      </c>
      <c r="D1068" s="8">
        <v>1.96</v>
      </c>
      <c r="E1068" s="4">
        <v>6</v>
      </c>
      <c r="F1068" s="8">
        <v>2.4900000000000002</v>
      </c>
      <c r="G1068" s="4">
        <v>2</v>
      </c>
      <c r="H1068" s="8">
        <v>1.22</v>
      </c>
      <c r="I1068" s="4">
        <v>0</v>
      </c>
    </row>
    <row r="1069" spans="1:9" x14ac:dyDescent="0.2">
      <c r="A1069" s="2">
        <v>11</v>
      </c>
      <c r="B1069" s="1" t="s">
        <v>176</v>
      </c>
      <c r="C1069" s="4">
        <v>8</v>
      </c>
      <c r="D1069" s="8">
        <v>1.96</v>
      </c>
      <c r="E1069" s="4">
        <v>6</v>
      </c>
      <c r="F1069" s="8">
        <v>2.4900000000000002</v>
      </c>
      <c r="G1069" s="4">
        <v>2</v>
      </c>
      <c r="H1069" s="8">
        <v>1.22</v>
      </c>
      <c r="I1069" s="4">
        <v>0</v>
      </c>
    </row>
    <row r="1070" spans="1:9" x14ac:dyDescent="0.2">
      <c r="A1070" s="2">
        <v>17</v>
      </c>
      <c r="B1070" s="1" t="s">
        <v>158</v>
      </c>
      <c r="C1070" s="4">
        <v>7</v>
      </c>
      <c r="D1070" s="8">
        <v>1.71</v>
      </c>
      <c r="E1070" s="4">
        <v>0</v>
      </c>
      <c r="F1070" s="8">
        <v>0</v>
      </c>
      <c r="G1070" s="4">
        <v>7</v>
      </c>
      <c r="H1070" s="8">
        <v>4.2699999999999996</v>
      </c>
      <c r="I1070" s="4">
        <v>0</v>
      </c>
    </row>
    <row r="1071" spans="1:9" x14ac:dyDescent="0.2">
      <c r="A1071" s="2">
        <v>17</v>
      </c>
      <c r="B1071" s="1" t="s">
        <v>300</v>
      </c>
      <c r="C1071" s="4">
        <v>7</v>
      </c>
      <c r="D1071" s="8">
        <v>1.71</v>
      </c>
      <c r="E1071" s="4">
        <v>7</v>
      </c>
      <c r="F1071" s="8">
        <v>2.9</v>
      </c>
      <c r="G1071" s="4">
        <v>0</v>
      </c>
      <c r="H1071" s="8">
        <v>0</v>
      </c>
      <c r="I1071" s="4">
        <v>0</v>
      </c>
    </row>
    <row r="1072" spans="1:9" x14ac:dyDescent="0.2">
      <c r="A1072" s="2">
        <v>17</v>
      </c>
      <c r="B1072" s="1" t="s">
        <v>189</v>
      </c>
      <c r="C1072" s="4">
        <v>7</v>
      </c>
      <c r="D1072" s="8">
        <v>1.71</v>
      </c>
      <c r="E1072" s="4">
        <v>1</v>
      </c>
      <c r="F1072" s="8">
        <v>0.41</v>
      </c>
      <c r="G1072" s="4">
        <v>6</v>
      </c>
      <c r="H1072" s="8">
        <v>3.66</v>
      </c>
      <c r="I1072" s="4">
        <v>0</v>
      </c>
    </row>
    <row r="1073" spans="1:9" x14ac:dyDescent="0.2">
      <c r="A1073" s="2">
        <v>17</v>
      </c>
      <c r="B1073" s="1" t="s">
        <v>182</v>
      </c>
      <c r="C1073" s="4">
        <v>7</v>
      </c>
      <c r="D1073" s="8">
        <v>1.71</v>
      </c>
      <c r="E1073" s="4">
        <v>4</v>
      </c>
      <c r="F1073" s="8">
        <v>1.66</v>
      </c>
      <c r="G1073" s="4">
        <v>3</v>
      </c>
      <c r="H1073" s="8">
        <v>1.83</v>
      </c>
      <c r="I1073" s="4">
        <v>0</v>
      </c>
    </row>
    <row r="1074" spans="1:9" x14ac:dyDescent="0.2">
      <c r="A1074" s="1"/>
      <c r="C1074" s="4"/>
      <c r="D1074" s="8"/>
      <c r="E1074" s="4"/>
      <c r="F1074" s="8"/>
      <c r="G1074" s="4"/>
      <c r="H1074" s="8"/>
      <c r="I1074" s="4"/>
    </row>
    <row r="1075" spans="1:9" x14ac:dyDescent="0.2">
      <c r="A1075" s="1" t="s">
        <v>39</v>
      </c>
      <c r="C1075" s="4"/>
      <c r="D1075" s="8"/>
      <c r="E1075" s="4"/>
      <c r="F1075" s="8"/>
      <c r="G1075" s="4"/>
      <c r="H1075" s="8"/>
      <c r="I1075" s="4"/>
    </row>
    <row r="1076" spans="1:9" x14ac:dyDescent="0.2">
      <c r="A1076" s="2">
        <v>1</v>
      </c>
      <c r="B1076" s="1" t="s">
        <v>174</v>
      </c>
      <c r="C1076" s="4">
        <v>34</v>
      </c>
      <c r="D1076" s="8">
        <v>7.62</v>
      </c>
      <c r="E1076" s="4">
        <v>31</v>
      </c>
      <c r="F1076" s="8">
        <v>10.47</v>
      </c>
      <c r="G1076" s="4">
        <v>3</v>
      </c>
      <c r="H1076" s="8">
        <v>2.0699999999999998</v>
      </c>
      <c r="I1076" s="4">
        <v>0</v>
      </c>
    </row>
    <row r="1077" spans="1:9" x14ac:dyDescent="0.2">
      <c r="A1077" s="2">
        <v>2</v>
      </c>
      <c r="B1077" s="1" t="s">
        <v>168</v>
      </c>
      <c r="C1077" s="4">
        <v>21</v>
      </c>
      <c r="D1077" s="8">
        <v>4.71</v>
      </c>
      <c r="E1077" s="4">
        <v>19</v>
      </c>
      <c r="F1077" s="8">
        <v>6.42</v>
      </c>
      <c r="G1077" s="4">
        <v>2</v>
      </c>
      <c r="H1077" s="8">
        <v>1.38</v>
      </c>
      <c r="I1077" s="4">
        <v>0</v>
      </c>
    </row>
    <row r="1078" spans="1:9" x14ac:dyDescent="0.2">
      <c r="A1078" s="2">
        <v>3</v>
      </c>
      <c r="B1078" s="1" t="s">
        <v>170</v>
      </c>
      <c r="C1078" s="4">
        <v>20</v>
      </c>
      <c r="D1078" s="8">
        <v>4.4800000000000004</v>
      </c>
      <c r="E1078" s="4">
        <v>17</v>
      </c>
      <c r="F1078" s="8">
        <v>5.74</v>
      </c>
      <c r="G1078" s="4">
        <v>3</v>
      </c>
      <c r="H1078" s="8">
        <v>2.0699999999999998</v>
      </c>
      <c r="I1078" s="4">
        <v>0</v>
      </c>
    </row>
    <row r="1079" spans="1:9" x14ac:dyDescent="0.2">
      <c r="A1079" s="2">
        <v>4</v>
      </c>
      <c r="B1079" s="1" t="s">
        <v>173</v>
      </c>
      <c r="C1079" s="4">
        <v>19</v>
      </c>
      <c r="D1079" s="8">
        <v>4.26</v>
      </c>
      <c r="E1079" s="4">
        <v>19</v>
      </c>
      <c r="F1079" s="8">
        <v>6.42</v>
      </c>
      <c r="G1079" s="4">
        <v>0</v>
      </c>
      <c r="H1079" s="8">
        <v>0</v>
      </c>
      <c r="I1079" s="4">
        <v>0</v>
      </c>
    </row>
    <row r="1080" spans="1:9" x14ac:dyDescent="0.2">
      <c r="A1080" s="2">
        <v>5</v>
      </c>
      <c r="B1080" s="1" t="s">
        <v>160</v>
      </c>
      <c r="C1080" s="4">
        <v>16</v>
      </c>
      <c r="D1080" s="8">
        <v>3.59</v>
      </c>
      <c r="E1080" s="4">
        <v>7</v>
      </c>
      <c r="F1080" s="8">
        <v>2.36</v>
      </c>
      <c r="G1080" s="4">
        <v>9</v>
      </c>
      <c r="H1080" s="8">
        <v>6.21</v>
      </c>
      <c r="I1080" s="4">
        <v>0</v>
      </c>
    </row>
    <row r="1081" spans="1:9" x14ac:dyDescent="0.2">
      <c r="A1081" s="2">
        <v>6</v>
      </c>
      <c r="B1081" s="1" t="s">
        <v>172</v>
      </c>
      <c r="C1081" s="4">
        <v>10</v>
      </c>
      <c r="D1081" s="8">
        <v>2.2400000000000002</v>
      </c>
      <c r="E1081" s="4">
        <v>10</v>
      </c>
      <c r="F1081" s="8">
        <v>3.38</v>
      </c>
      <c r="G1081" s="4">
        <v>0</v>
      </c>
      <c r="H1081" s="8">
        <v>0</v>
      </c>
      <c r="I1081" s="4">
        <v>0</v>
      </c>
    </row>
    <row r="1082" spans="1:9" x14ac:dyDescent="0.2">
      <c r="A1082" s="2">
        <v>7</v>
      </c>
      <c r="B1082" s="1" t="s">
        <v>289</v>
      </c>
      <c r="C1082" s="4">
        <v>9</v>
      </c>
      <c r="D1082" s="8">
        <v>2.02</v>
      </c>
      <c r="E1082" s="4">
        <v>6</v>
      </c>
      <c r="F1082" s="8">
        <v>2.0299999999999998</v>
      </c>
      <c r="G1082" s="4">
        <v>3</v>
      </c>
      <c r="H1082" s="8">
        <v>2.0699999999999998</v>
      </c>
      <c r="I1082" s="4">
        <v>0</v>
      </c>
    </row>
    <row r="1083" spans="1:9" x14ac:dyDescent="0.2">
      <c r="A1083" s="2">
        <v>7</v>
      </c>
      <c r="B1083" s="1" t="s">
        <v>163</v>
      </c>
      <c r="C1083" s="4">
        <v>9</v>
      </c>
      <c r="D1083" s="8">
        <v>2.02</v>
      </c>
      <c r="E1083" s="4">
        <v>8</v>
      </c>
      <c r="F1083" s="8">
        <v>2.7</v>
      </c>
      <c r="G1083" s="4">
        <v>0</v>
      </c>
      <c r="H1083" s="8">
        <v>0</v>
      </c>
      <c r="I1083" s="4">
        <v>1</v>
      </c>
    </row>
    <row r="1084" spans="1:9" x14ac:dyDescent="0.2">
      <c r="A1084" s="2">
        <v>7</v>
      </c>
      <c r="B1084" s="1" t="s">
        <v>166</v>
      </c>
      <c r="C1084" s="4">
        <v>9</v>
      </c>
      <c r="D1084" s="8">
        <v>2.02</v>
      </c>
      <c r="E1084" s="4">
        <v>7</v>
      </c>
      <c r="F1084" s="8">
        <v>2.36</v>
      </c>
      <c r="G1084" s="4">
        <v>2</v>
      </c>
      <c r="H1084" s="8">
        <v>1.38</v>
      </c>
      <c r="I1084" s="4">
        <v>0</v>
      </c>
    </row>
    <row r="1085" spans="1:9" x14ac:dyDescent="0.2">
      <c r="A1085" s="2">
        <v>7</v>
      </c>
      <c r="B1085" s="1" t="s">
        <v>171</v>
      </c>
      <c r="C1085" s="4">
        <v>9</v>
      </c>
      <c r="D1085" s="8">
        <v>2.02</v>
      </c>
      <c r="E1085" s="4">
        <v>9</v>
      </c>
      <c r="F1085" s="8">
        <v>3.04</v>
      </c>
      <c r="G1085" s="4">
        <v>0</v>
      </c>
      <c r="H1085" s="8">
        <v>0</v>
      </c>
      <c r="I1085" s="4">
        <v>0</v>
      </c>
    </row>
    <row r="1086" spans="1:9" x14ac:dyDescent="0.2">
      <c r="A1086" s="2">
        <v>7</v>
      </c>
      <c r="B1086" s="1" t="s">
        <v>176</v>
      </c>
      <c r="C1086" s="4">
        <v>9</v>
      </c>
      <c r="D1086" s="8">
        <v>2.02</v>
      </c>
      <c r="E1086" s="4">
        <v>9</v>
      </c>
      <c r="F1086" s="8">
        <v>3.04</v>
      </c>
      <c r="G1086" s="4">
        <v>0</v>
      </c>
      <c r="H1086" s="8">
        <v>0</v>
      </c>
      <c r="I1086" s="4">
        <v>0</v>
      </c>
    </row>
    <row r="1087" spans="1:9" x14ac:dyDescent="0.2">
      <c r="A1087" s="2">
        <v>7</v>
      </c>
      <c r="B1087" s="1" t="s">
        <v>177</v>
      </c>
      <c r="C1087" s="4">
        <v>9</v>
      </c>
      <c r="D1087" s="8">
        <v>2.02</v>
      </c>
      <c r="E1087" s="4">
        <v>8</v>
      </c>
      <c r="F1087" s="8">
        <v>2.7</v>
      </c>
      <c r="G1087" s="4">
        <v>1</v>
      </c>
      <c r="H1087" s="8">
        <v>0.69</v>
      </c>
      <c r="I1087" s="4">
        <v>0</v>
      </c>
    </row>
    <row r="1088" spans="1:9" x14ac:dyDescent="0.2">
      <c r="A1088" s="2">
        <v>13</v>
      </c>
      <c r="B1088" s="1" t="s">
        <v>162</v>
      </c>
      <c r="C1088" s="4">
        <v>8</v>
      </c>
      <c r="D1088" s="8">
        <v>1.79</v>
      </c>
      <c r="E1088" s="4">
        <v>3</v>
      </c>
      <c r="F1088" s="8">
        <v>1.01</v>
      </c>
      <c r="G1088" s="4">
        <v>5</v>
      </c>
      <c r="H1088" s="8">
        <v>3.45</v>
      </c>
      <c r="I1088" s="4">
        <v>0</v>
      </c>
    </row>
    <row r="1089" spans="1:9" x14ac:dyDescent="0.2">
      <c r="A1089" s="2">
        <v>13</v>
      </c>
      <c r="B1089" s="1" t="s">
        <v>178</v>
      </c>
      <c r="C1089" s="4">
        <v>8</v>
      </c>
      <c r="D1089" s="8">
        <v>1.79</v>
      </c>
      <c r="E1089" s="4">
        <v>7</v>
      </c>
      <c r="F1089" s="8">
        <v>2.36</v>
      </c>
      <c r="G1089" s="4">
        <v>1</v>
      </c>
      <c r="H1089" s="8">
        <v>0.69</v>
      </c>
      <c r="I1089" s="4">
        <v>0</v>
      </c>
    </row>
    <row r="1090" spans="1:9" x14ac:dyDescent="0.2">
      <c r="A1090" s="2">
        <v>13</v>
      </c>
      <c r="B1090" s="1" t="s">
        <v>181</v>
      </c>
      <c r="C1090" s="4">
        <v>8</v>
      </c>
      <c r="D1090" s="8">
        <v>1.79</v>
      </c>
      <c r="E1090" s="4">
        <v>7</v>
      </c>
      <c r="F1090" s="8">
        <v>2.36</v>
      </c>
      <c r="G1090" s="4">
        <v>1</v>
      </c>
      <c r="H1090" s="8">
        <v>0.69</v>
      </c>
      <c r="I1090" s="4">
        <v>0</v>
      </c>
    </row>
    <row r="1091" spans="1:9" x14ac:dyDescent="0.2">
      <c r="A1091" s="2">
        <v>16</v>
      </c>
      <c r="B1091" s="1" t="s">
        <v>158</v>
      </c>
      <c r="C1091" s="4">
        <v>7</v>
      </c>
      <c r="D1091" s="8">
        <v>1.57</v>
      </c>
      <c r="E1091" s="4">
        <v>0</v>
      </c>
      <c r="F1091" s="8">
        <v>0</v>
      </c>
      <c r="G1091" s="4">
        <v>7</v>
      </c>
      <c r="H1091" s="8">
        <v>4.83</v>
      </c>
      <c r="I1091" s="4">
        <v>0</v>
      </c>
    </row>
    <row r="1092" spans="1:9" x14ac:dyDescent="0.2">
      <c r="A1092" s="2">
        <v>16</v>
      </c>
      <c r="B1092" s="1" t="s">
        <v>199</v>
      </c>
      <c r="C1092" s="4">
        <v>7</v>
      </c>
      <c r="D1092" s="8">
        <v>1.57</v>
      </c>
      <c r="E1092" s="4">
        <v>5</v>
      </c>
      <c r="F1092" s="8">
        <v>1.69</v>
      </c>
      <c r="G1092" s="4">
        <v>2</v>
      </c>
      <c r="H1092" s="8">
        <v>1.38</v>
      </c>
      <c r="I1092" s="4">
        <v>0</v>
      </c>
    </row>
    <row r="1093" spans="1:9" x14ac:dyDescent="0.2">
      <c r="A1093" s="2">
        <v>16</v>
      </c>
      <c r="B1093" s="1" t="s">
        <v>191</v>
      </c>
      <c r="C1093" s="4">
        <v>7</v>
      </c>
      <c r="D1093" s="8">
        <v>1.57</v>
      </c>
      <c r="E1093" s="4">
        <v>7</v>
      </c>
      <c r="F1093" s="8">
        <v>2.36</v>
      </c>
      <c r="G1093" s="4">
        <v>0</v>
      </c>
      <c r="H1093" s="8">
        <v>0</v>
      </c>
      <c r="I1093" s="4">
        <v>0</v>
      </c>
    </row>
    <row r="1094" spans="1:9" x14ac:dyDescent="0.2">
      <c r="A1094" s="2">
        <v>16</v>
      </c>
      <c r="B1094" s="1" t="s">
        <v>164</v>
      </c>
      <c r="C1094" s="4">
        <v>7</v>
      </c>
      <c r="D1094" s="8">
        <v>1.57</v>
      </c>
      <c r="E1094" s="4">
        <v>3</v>
      </c>
      <c r="F1094" s="8">
        <v>1.01</v>
      </c>
      <c r="G1094" s="4">
        <v>4</v>
      </c>
      <c r="H1094" s="8">
        <v>2.76</v>
      </c>
      <c r="I1094" s="4">
        <v>0</v>
      </c>
    </row>
    <row r="1095" spans="1:9" x14ac:dyDescent="0.2">
      <c r="A1095" s="2">
        <v>16</v>
      </c>
      <c r="B1095" s="1" t="s">
        <v>175</v>
      </c>
      <c r="C1095" s="4">
        <v>7</v>
      </c>
      <c r="D1095" s="8">
        <v>1.57</v>
      </c>
      <c r="E1095" s="4">
        <v>4</v>
      </c>
      <c r="F1095" s="8">
        <v>1.35</v>
      </c>
      <c r="G1095" s="4">
        <v>3</v>
      </c>
      <c r="H1095" s="8">
        <v>2.0699999999999998</v>
      </c>
      <c r="I1095" s="4">
        <v>0</v>
      </c>
    </row>
    <row r="1096" spans="1:9" x14ac:dyDescent="0.2">
      <c r="A1096" s="1"/>
      <c r="C1096" s="4"/>
      <c r="D1096" s="8"/>
      <c r="E1096" s="4"/>
      <c r="F1096" s="8"/>
      <c r="G1096" s="4"/>
      <c r="H1096" s="8"/>
      <c r="I1096" s="4"/>
    </row>
    <row r="1097" spans="1:9" x14ac:dyDescent="0.2">
      <c r="A1097" s="1" t="s">
        <v>40</v>
      </c>
      <c r="C1097" s="4"/>
      <c r="D1097" s="8"/>
      <c r="E1097" s="4"/>
      <c r="F1097" s="8"/>
      <c r="G1097" s="4"/>
      <c r="H1097" s="8"/>
      <c r="I1097" s="4"/>
    </row>
    <row r="1098" spans="1:9" x14ac:dyDescent="0.2">
      <c r="A1098" s="2">
        <v>1</v>
      </c>
      <c r="B1098" s="1" t="s">
        <v>160</v>
      </c>
      <c r="C1098" s="4">
        <v>18</v>
      </c>
      <c r="D1098" s="8">
        <v>9.14</v>
      </c>
      <c r="E1098" s="4">
        <v>17</v>
      </c>
      <c r="F1098" s="8">
        <v>11.72</v>
      </c>
      <c r="G1098" s="4">
        <v>1</v>
      </c>
      <c r="H1098" s="8">
        <v>2.17</v>
      </c>
      <c r="I1098" s="4">
        <v>0</v>
      </c>
    </row>
    <row r="1099" spans="1:9" x14ac:dyDescent="0.2">
      <c r="A1099" s="2">
        <v>2</v>
      </c>
      <c r="B1099" s="1" t="s">
        <v>158</v>
      </c>
      <c r="C1099" s="4">
        <v>10</v>
      </c>
      <c r="D1099" s="8">
        <v>5.08</v>
      </c>
      <c r="E1099" s="4">
        <v>8</v>
      </c>
      <c r="F1099" s="8">
        <v>5.52</v>
      </c>
      <c r="G1099" s="4">
        <v>2</v>
      </c>
      <c r="H1099" s="8">
        <v>4.3499999999999996</v>
      </c>
      <c r="I1099" s="4">
        <v>0</v>
      </c>
    </row>
    <row r="1100" spans="1:9" x14ac:dyDescent="0.2">
      <c r="A1100" s="2">
        <v>2</v>
      </c>
      <c r="B1100" s="1" t="s">
        <v>174</v>
      </c>
      <c r="C1100" s="4">
        <v>10</v>
      </c>
      <c r="D1100" s="8">
        <v>5.08</v>
      </c>
      <c r="E1100" s="4">
        <v>10</v>
      </c>
      <c r="F1100" s="8">
        <v>6.9</v>
      </c>
      <c r="G1100" s="4">
        <v>0</v>
      </c>
      <c r="H1100" s="8">
        <v>0</v>
      </c>
      <c r="I1100" s="4">
        <v>0</v>
      </c>
    </row>
    <row r="1101" spans="1:9" x14ac:dyDescent="0.2">
      <c r="A1101" s="2">
        <v>4</v>
      </c>
      <c r="B1101" s="1" t="s">
        <v>173</v>
      </c>
      <c r="C1101" s="4">
        <v>7</v>
      </c>
      <c r="D1101" s="8">
        <v>3.55</v>
      </c>
      <c r="E1101" s="4">
        <v>7</v>
      </c>
      <c r="F1101" s="8">
        <v>4.83</v>
      </c>
      <c r="G1101" s="4">
        <v>0</v>
      </c>
      <c r="H1101" s="8">
        <v>0</v>
      </c>
      <c r="I1101" s="4">
        <v>0</v>
      </c>
    </row>
    <row r="1102" spans="1:9" x14ac:dyDescent="0.2">
      <c r="A1102" s="2">
        <v>5</v>
      </c>
      <c r="B1102" s="1" t="s">
        <v>199</v>
      </c>
      <c r="C1102" s="4">
        <v>5</v>
      </c>
      <c r="D1102" s="8">
        <v>2.54</v>
      </c>
      <c r="E1102" s="4">
        <v>5</v>
      </c>
      <c r="F1102" s="8">
        <v>3.45</v>
      </c>
      <c r="G1102" s="4">
        <v>0</v>
      </c>
      <c r="H1102" s="8">
        <v>0</v>
      </c>
      <c r="I1102" s="4">
        <v>0</v>
      </c>
    </row>
    <row r="1103" spans="1:9" x14ac:dyDescent="0.2">
      <c r="A1103" s="2">
        <v>5</v>
      </c>
      <c r="B1103" s="1" t="s">
        <v>193</v>
      </c>
      <c r="C1103" s="4">
        <v>5</v>
      </c>
      <c r="D1103" s="8">
        <v>2.54</v>
      </c>
      <c r="E1103" s="4">
        <v>4</v>
      </c>
      <c r="F1103" s="8">
        <v>2.76</v>
      </c>
      <c r="G1103" s="4">
        <v>1</v>
      </c>
      <c r="H1103" s="8">
        <v>2.17</v>
      </c>
      <c r="I1103" s="4">
        <v>0</v>
      </c>
    </row>
    <row r="1104" spans="1:9" x14ac:dyDescent="0.2">
      <c r="A1104" s="2">
        <v>5</v>
      </c>
      <c r="B1104" s="1" t="s">
        <v>204</v>
      </c>
      <c r="C1104" s="4">
        <v>5</v>
      </c>
      <c r="D1104" s="8">
        <v>2.54</v>
      </c>
      <c r="E1104" s="4">
        <v>3</v>
      </c>
      <c r="F1104" s="8">
        <v>2.0699999999999998</v>
      </c>
      <c r="G1104" s="4">
        <v>1</v>
      </c>
      <c r="H1104" s="8">
        <v>2.17</v>
      </c>
      <c r="I1104" s="4">
        <v>1</v>
      </c>
    </row>
    <row r="1105" spans="1:9" x14ac:dyDescent="0.2">
      <c r="A1105" s="2">
        <v>5</v>
      </c>
      <c r="B1105" s="1" t="s">
        <v>181</v>
      </c>
      <c r="C1105" s="4">
        <v>5</v>
      </c>
      <c r="D1105" s="8">
        <v>2.54</v>
      </c>
      <c r="E1105" s="4">
        <v>4</v>
      </c>
      <c r="F1105" s="8">
        <v>2.76</v>
      </c>
      <c r="G1105" s="4">
        <v>1</v>
      </c>
      <c r="H1105" s="8">
        <v>2.17</v>
      </c>
      <c r="I1105" s="4">
        <v>0</v>
      </c>
    </row>
    <row r="1106" spans="1:9" x14ac:dyDescent="0.2">
      <c r="A1106" s="2">
        <v>9</v>
      </c>
      <c r="B1106" s="1" t="s">
        <v>201</v>
      </c>
      <c r="C1106" s="4">
        <v>4</v>
      </c>
      <c r="D1106" s="8">
        <v>2.0299999999999998</v>
      </c>
      <c r="E1106" s="4">
        <v>2</v>
      </c>
      <c r="F1106" s="8">
        <v>1.38</v>
      </c>
      <c r="G1106" s="4">
        <v>2</v>
      </c>
      <c r="H1106" s="8">
        <v>4.3499999999999996</v>
      </c>
      <c r="I1106" s="4">
        <v>0</v>
      </c>
    </row>
    <row r="1107" spans="1:9" x14ac:dyDescent="0.2">
      <c r="A1107" s="2">
        <v>9</v>
      </c>
      <c r="B1107" s="1" t="s">
        <v>187</v>
      </c>
      <c r="C1107" s="4">
        <v>4</v>
      </c>
      <c r="D1107" s="8">
        <v>2.0299999999999998</v>
      </c>
      <c r="E1107" s="4">
        <v>2</v>
      </c>
      <c r="F1107" s="8">
        <v>1.38</v>
      </c>
      <c r="G1107" s="4">
        <v>2</v>
      </c>
      <c r="H1107" s="8">
        <v>4.3499999999999996</v>
      </c>
      <c r="I1107" s="4">
        <v>0</v>
      </c>
    </row>
    <row r="1108" spans="1:9" x14ac:dyDescent="0.2">
      <c r="A1108" s="2">
        <v>9</v>
      </c>
      <c r="B1108" s="1" t="s">
        <v>161</v>
      </c>
      <c r="C1108" s="4">
        <v>4</v>
      </c>
      <c r="D1108" s="8">
        <v>2.0299999999999998</v>
      </c>
      <c r="E1108" s="4">
        <v>3</v>
      </c>
      <c r="F1108" s="8">
        <v>2.0699999999999998</v>
      </c>
      <c r="G1108" s="4">
        <v>1</v>
      </c>
      <c r="H1108" s="8">
        <v>2.17</v>
      </c>
      <c r="I1108" s="4">
        <v>0</v>
      </c>
    </row>
    <row r="1109" spans="1:9" x14ac:dyDescent="0.2">
      <c r="A1109" s="2">
        <v>9</v>
      </c>
      <c r="B1109" s="1" t="s">
        <v>163</v>
      </c>
      <c r="C1109" s="4">
        <v>4</v>
      </c>
      <c r="D1109" s="8">
        <v>2.0299999999999998</v>
      </c>
      <c r="E1109" s="4">
        <v>4</v>
      </c>
      <c r="F1109" s="8">
        <v>2.76</v>
      </c>
      <c r="G1109" s="4">
        <v>0</v>
      </c>
      <c r="H1109" s="8">
        <v>0</v>
      </c>
      <c r="I1109" s="4">
        <v>0</v>
      </c>
    </row>
    <row r="1110" spans="1:9" x14ac:dyDescent="0.2">
      <c r="A1110" s="2">
        <v>9</v>
      </c>
      <c r="B1110" s="1" t="s">
        <v>185</v>
      </c>
      <c r="C1110" s="4">
        <v>4</v>
      </c>
      <c r="D1110" s="8">
        <v>2.0299999999999998</v>
      </c>
      <c r="E1110" s="4">
        <v>2</v>
      </c>
      <c r="F1110" s="8">
        <v>1.38</v>
      </c>
      <c r="G1110" s="4">
        <v>2</v>
      </c>
      <c r="H1110" s="8">
        <v>4.3499999999999996</v>
      </c>
      <c r="I1110" s="4">
        <v>0</v>
      </c>
    </row>
    <row r="1111" spans="1:9" x14ac:dyDescent="0.2">
      <c r="A1111" s="2">
        <v>9</v>
      </c>
      <c r="B1111" s="1" t="s">
        <v>170</v>
      </c>
      <c r="C1111" s="4">
        <v>4</v>
      </c>
      <c r="D1111" s="8">
        <v>2.0299999999999998</v>
      </c>
      <c r="E1111" s="4">
        <v>4</v>
      </c>
      <c r="F1111" s="8">
        <v>2.76</v>
      </c>
      <c r="G1111" s="4">
        <v>0</v>
      </c>
      <c r="H1111" s="8">
        <v>0</v>
      </c>
      <c r="I1111" s="4">
        <v>0</v>
      </c>
    </row>
    <row r="1112" spans="1:9" x14ac:dyDescent="0.2">
      <c r="A1112" s="2">
        <v>9</v>
      </c>
      <c r="B1112" s="1" t="s">
        <v>172</v>
      </c>
      <c r="C1112" s="4">
        <v>4</v>
      </c>
      <c r="D1112" s="8">
        <v>2.0299999999999998</v>
      </c>
      <c r="E1112" s="4">
        <v>4</v>
      </c>
      <c r="F1112" s="8">
        <v>2.76</v>
      </c>
      <c r="G1112" s="4">
        <v>0</v>
      </c>
      <c r="H1112" s="8">
        <v>0</v>
      </c>
      <c r="I1112" s="4">
        <v>0</v>
      </c>
    </row>
    <row r="1113" spans="1:9" x14ac:dyDescent="0.2">
      <c r="A1113" s="2">
        <v>9</v>
      </c>
      <c r="B1113" s="1" t="s">
        <v>176</v>
      </c>
      <c r="C1113" s="4">
        <v>4</v>
      </c>
      <c r="D1113" s="8">
        <v>2.0299999999999998</v>
      </c>
      <c r="E1113" s="4">
        <v>4</v>
      </c>
      <c r="F1113" s="8">
        <v>2.76</v>
      </c>
      <c r="G1113" s="4">
        <v>0</v>
      </c>
      <c r="H1113" s="8">
        <v>0</v>
      </c>
      <c r="I1113" s="4">
        <v>0</v>
      </c>
    </row>
    <row r="1114" spans="1:9" x14ac:dyDescent="0.2">
      <c r="A1114" s="2">
        <v>9</v>
      </c>
      <c r="B1114" s="1" t="s">
        <v>200</v>
      </c>
      <c r="C1114" s="4">
        <v>4</v>
      </c>
      <c r="D1114" s="8">
        <v>2.0299999999999998</v>
      </c>
      <c r="E1114" s="4">
        <v>0</v>
      </c>
      <c r="F1114" s="8">
        <v>0</v>
      </c>
      <c r="G1114" s="4">
        <v>4</v>
      </c>
      <c r="H1114" s="8">
        <v>8.6999999999999993</v>
      </c>
      <c r="I1114" s="4">
        <v>0</v>
      </c>
    </row>
    <row r="1115" spans="1:9" x14ac:dyDescent="0.2">
      <c r="A1115" s="2">
        <v>18</v>
      </c>
      <c r="B1115" s="1" t="s">
        <v>266</v>
      </c>
      <c r="C1115" s="4">
        <v>3</v>
      </c>
      <c r="D1115" s="8">
        <v>1.52</v>
      </c>
      <c r="E1115" s="4">
        <v>2</v>
      </c>
      <c r="F1115" s="8">
        <v>1.38</v>
      </c>
      <c r="G1115" s="4">
        <v>1</v>
      </c>
      <c r="H1115" s="8">
        <v>2.17</v>
      </c>
      <c r="I1115" s="4">
        <v>0</v>
      </c>
    </row>
    <row r="1116" spans="1:9" x14ac:dyDescent="0.2">
      <c r="A1116" s="2">
        <v>18</v>
      </c>
      <c r="B1116" s="1" t="s">
        <v>191</v>
      </c>
      <c r="C1116" s="4">
        <v>3</v>
      </c>
      <c r="D1116" s="8">
        <v>1.52</v>
      </c>
      <c r="E1116" s="4">
        <v>1</v>
      </c>
      <c r="F1116" s="8">
        <v>0.69</v>
      </c>
      <c r="G1116" s="4">
        <v>2</v>
      </c>
      <c r="H1116" s="8">
        <v>4.3499999999999996</v>
      </c>
      <c r="I1116" s="4">
        <v>0</v>
      </c>
    </row>
    <row r="1117" spans="1:9" x14ac:dyDescent="0.2">
      <c r="A1117" s="2">
        <v>18</v>
      </c>
      <c r="B1117" s="1" t="s">
        <v>168</v>
      </c>
      <c r="C1117" s="4">
        <v>3</v>
      </c>
      <c r="D1117" s="8">
        <v>1.52</v>
      </c>
      <c r="E1117" s="4">
        <v>3</v>
      </c>
      <c r="F1117" s="8">
        <v>2.0699999999999998</v>
      </c>
      <c r="G1117" s="4">
        <v>0</v>
      </c>
      <c r="H1117" s="8">
        <v>0</v>
      </c>
      <c r="I1117" s="4">
        <v>0</v>
      </c>
    </row>
    <row r="1118" spans="1:9" x14ac:dyDescent="0.2">
      <c r="A1118" s="2">
        <v>18</v>
      </c>
      <c r="B1118" s="1" t="s">
        <v>171</v>
      </c>
      <c r="C1118" s="4">
        <v>3</v>
      </c>
      <c r="D1118" s="8">
        <v>1.52</v>
      </c>
      <c r="E1118" s="4">
        <v>3</v>
      </c>
      <c r="F1118" s="8">
        <v>2.0699999999999998</v>
      </c>
      <c r="G1118" s="4">
        <v>0</v>
      </c>
      <c r="H1118" s="8">
        <v>0</v>
      </c>
      <c r="I1118" s="4">
        <v>0</v>
      </c>
    </row>
    <row r="1119" spans="1:9" x14ac:dyDescent="0.2">
      <c r="A1119" s="2">
        <v>18</v>
      </c>
      <c r="B1119" s="1" t="s">
        <v>177</v>
      </c>
      <c r="C1119" s="4">
        <v>3</v>
      </c>
      <c r="D1119" s="8">
        <v>1.52</v>
      </c>
      <c r="E1119" s="4">
        <v>2</v>
      </c>
      <c r="F1119" s="8">
        <v>1.38</v>
      </c>
      <c r="G1119" s="4">
        <v>1</v>
      </c>
      <c r="H1119" s="8">
        <v>2.17</v>
      </c>
      <c r="I1119" s="4">
        <v>0</v>
      </c>
    </row>
    <row r="1120" spans="1:9" x14ac:dyDescent="0.2">
      <c r="A1120" s="1"/>
      <c r="C1120" s="4"/>
      <c r="D1120" s="8"/>
      <c r="E1120" s="4"/>
      <c r="F1120" s="8"/>
      <c r="G1120" s="4"/>
      <c r="H1120" s="8"/>
      <c r="I1120" s="4"/>
    </row>
    <row r="1121" spans="1:9" x14ac:dyDescent="0.2">
      <c r="A1121" s="1" t="s">
        <v>41</v>
      </c>
      <c r="C1121" s="4"/>
      <c r="D1121" s="8"/>
      <c r="E1121" s="4"/>
      <c r="F1121" s="8"/>
      <c r="G1121" s="4"/>
      <c r="H1121" s="8"/>
      <c r="I1121" s="4"/>
    </row>
    <row r="1122" spans="1:9" x14ac:dyDescent="0.2">
      <c r="A1122" s="2">
        <v>1</v>
      </c>
      <c r="B1122" s="1" t="s">
        <v>168</v>
      </c>
      <c r="C1122" s="4">
        <v>23</v>
      </c>
      <c r="D1122" s="8">
        <v>6.82</v>
      </c>
      <c r="E1122" s="4">
        <v>22</v>
      </c>
      <c r="F1122" s="8">
        <v>8.84</v>
      </c>
      <c r="G1122" s="4">
        <v>1</v>
      </c>
      <c r="H1122" s="8">
        <v>1.22</v>
      </c>
      <c r="I1122" s="4">
        <v>0</v>
      </c>
    </row>
    <row r="1123" spans="1:9" x14ac:dyDescent="0.2">
      <c r="A1123" s="2">
        <v>2</v>
      </c>
      <c r="B1123" s="1" t="s">
        <v>174</v>
      </c>
      <c r="C1123" s="4">
        <v>15</v>
      </c>
      <c r="D1123" s="8">
        <v>4.45</v>
      </c>
      <c r="E1123" s="4">
        <v>15</v>
      </c>
      <c r="F1123" s="8">
        <v>6.02</v>
      </c>
      <c r="G1123" s="4">
        <v>0</v>
      </c>
      <c r="H1123" s="8">
        <v>0</v>
      </c>
      <c r="I1123" s="4">
        <v>0</v>
      </c>
    </row>
    <row r="1124" spans="1:9" x14ac:dyDescent="0.2">
      <c r="A1124" s="2">
        <v>3</v>
      </c>
      <c r="B1124" s="1" t="s">
        <v>173</v>
      </c>
      <c r="C1124" s="4">
        <v>12</v>
      </c>
      <c r="D1124" s="8">
        <v>3.56</v>
      </c>
      <c r="E1124" s="4">
        <v>12</v>
      </c>
      <c r="F1124" s="8">
        <v>4.82</v>
      </c>
      <c r="G1124" s="4">
        <v>0</v>
      </c>
      <c r="H1124" s="8">
        <v>0</v>
      </c>
      <c r="I1124" s="4">
        <v>0</v>
      </c>
    </row>
    <row r="1125" spans="1:9" x14ac:dyDescent="0.2">
      <c r="A1125" s="2">
        <v>4</v>
      </c>
      <c r="B1125" s="1" t="s">
        <v>160</v>
      </c>
      <c r="C1125" s="4">
        <v>11</v>
      </c>
      <c r="D1125" s="8">
        <v>3.26</v>
      </c>
      <c r="E1125" s="4">
        <v>10</v>
      </c>
      <c r="F1125" s="8">
        <v>4.0199999999999996</v>
      </c>
      <c r="G1125" s="4">
        <v>1</v>
      </c>
      <c r="H1125" s="8">
        <v>1.22</v>
      </c>
      <c r="I1125" s="4">
        <v>0</v>
      </c>
    </row>
    <row r="1126" spans="1:9" x14ac:dyDescent="0.2">
      <c r="A1126" s="2">
        <v>4</v>
      </c>
      <c r="B1126" s="1" t="s">
        <v>185</v>
      </c>
      <c r="C1126" s="4">
        <v>11</v>
      </c>
      <c r="D1126" s="8">
        <v>3.26</v>
      </c>
      <c r="E1126" s="4">
        <v>6</v>
      </c>
      <c r="F1126" s="8">
        <v>2.41</v>
      </c>
      <c r="G1126" s="4">
        <v>5</v>
      </c>
      <c r="H1126" s="8">
        <v>6.1</v>
      </c>
      <c r="I1126" s="4">
        <v>0</v>
      </c>
    </row>
    <row r="1127" spans="1:9" x14ac:dyDescent="0.2">
      <c r="A1127" s="2">
        <v>6</v>
      </c>
      <c r="B1127" s="1" t="s">
        <v>158</v>
      </c>
      <c r="C1127" s="4">
        <v>9</v>
      </c>
      <c r="D1127" s="8">
        <v>2.67</v>
      </c>
      <c r="E1127" s="4">
        <v>5</v>
      </c>
      <c r="F1127" s="8">
        <v>2.0099999999999998</v>
      </c>
      <c r="G1127" s="4">
        <v>4</v>
      </c>
      <c r="H1127" s="8">
        <v>4.88</v>
      </c>
      <c r="I1127" s="4">
        <v>0</v>
      </c>
    </row>
    <row r="1128" spans="1:9" x14ac:dyDescent="0.2">
      <c r="A1128" s="2">
        <v>6</v>
      </c>
      <c r="B1128" s="1" t="s">
        <v>181</v>
      </c>
      <c r="C1128" s="4">
        <v>9</v>
      </c>
      <c r="D1128" s="8">
        <v>2.67</v>
      </c>
      <c r="E1128" s="4">
        <v>8</v>
      </c>
      <c r="F1128" s="8">
        <v>3.21</v>
      </c>
      <c r="G1128" s="4">
        <v>1</v>
      </c>
      <c r="H1128" s="8">
        <v>1.22</v>
      </c>
      <c r="I1128" s="4">
        <v>0</v>
      </c>
    </row>
    <row r="1129" spans="1:9" x14ac:dyDescent="0.2">
      <c r="A1129" s="2">
        <v>8</v>
      </c>
      <c r="B1129" s="1" t="s">
        <v>166</v>
      </c>
      <c r="C1129" s="4">
        <v>8</v>
      </c>
      <c r="D1129" s="8">
        <v>2.37</v>
      </c>
      <c r="E1129" s="4">
        <v>7</v>
      </c>
      <c r="F1129" s="8">
        <v>2.81</v>
      </c>
      <c r="G1129" s="4">
        <v>1</v>
      </c>
      <c r="H1129" s="8">
        <v>1.22</v>
      </c>
      <c r="I1129" s="4">
        <v>0</v>
      </c>
    </row>
    <row r="1130" spans="1:9" x14ac:dyDescent="0.2">
      <c r="A1130" s="2">
        <v>8</v>
      </c>
      <c r="B1130" s="1" t="s">
        <v>175</v>
      </c>
      <c r="C1130" s="4">
        <v>8</v>
      </c>
      <c r="D1130" s="8">
        <v>2.37</v>
      </c>
      <c r="E1130" s="4">
        <v>7</v>
      </c>
      <c r="F1130" s="8">
        <v>2.81</v>
      </c>
      <c r="G1130" s="4">
        <v>1</v>
      </c>
      <c r="H1130" s="8">
        <v>1.22</v>
      </c>
      <c r="I1130" s="4">
        <v>0</v>
      </c>
    </row>
    <row r="1131" spans="1:9" x14ac:dyDescent="0.2">
      <c r="A1131" s="2">
        <v>10</v>
      </c>
      <c r="B1131" s="1" t="s">
        <v>178</v>
      </c>
      <c r="C1131" s="4">
        <v>7</v>
      </c>
      <c r="D1131" s="8">
        <v>2.08</v>
      </c>
      <c r="E1131" s="4">
        <v>7</v>
      </c>
      <c r="F1131" s="8">
        <v>2.81</v>
      </c>
      <c r="G1131" s="4">
        <v>0</v>
      </c>
      <c r="H1131" s="8">
        <v>0</v>
      </c>
      <c r="I1131" s="4">
        <v>0</v>
      </c>
    </row>
    <row r="1132" spans="1:9" x14ac:dyDescent="0.2">
      <c r="A1132" s="2">
        <v>10</v>
      </c>
      <c r="B1132" s="1" t="s">
        <v>171</v>
      </c>
      <c r="C1132" s="4">
        <v>7</v>
      </c>
      <c r="D1132" s="8">
        <v>2.08</v>
      </c>
      <c r="E1132" s="4">
        <v>7</v>
      </c>
      <c r="F1132" s="8">
        <v>2.81</v>
      </c>
      <c r="G1132" s="4">
        <v>0</v>
      </c>
      <c r="H1132" s="8">
        <v>0</v>
      </c>
      <c r="I1132" s="4">
        <v>0</v>
      </c>
    </row>
    <row r="1133" spans="1:9" x14ac:dyDescent="0.2">
      <c r="A1133" s="2">
        <v>10</v>
      </c>
      <c r="B1133" s="1" t="s">
        <v>172</v>
      </c>
      <c r="C1133" s="4">
        <v>7</v>
      </c>
      <c r="D1133" s="8">
        <v>2.08</v>
      </c>
      <c r="E1133" s="4">
        <v>7</v>
      </c>
      <c r="F1133" s="8">
        <v>2.81</v>
      </c>
      <c r="G1133" s="4">
        <v>0</v>
      </c>
      <c r="H1133" s="8">
        <v>0</v>
      </c>
      <c r="I1133" s="4">
        <v>0</v>
      </c>
    </row>
    <row r="1134" spans="1:9" x14ac:dyDescent="0.2">
      <c r="A1134" s="2">
        <v>13</v>
      </c>
      <c r="B1134" s="1" t="s">
        <v>159</v>
      </c>
      <c r="C1134" s="4">
        <v>6</v>
      </c>
      <c r="D1134" s="8">
        <v>1.78</v>
      </c>
      <c r="E1134" s="4">
        <v>4</v>
      </c>
      <c r="F1134" s="8">
        <v>1.61</v>
      </c>
      <c r="G1134" s="4">
        <v>2</v>
      </c>
      <c r="H1134" s="8">
        <v>2.44</v>
      </c>
      <c r="I1134" s="4">
        <v>0</v>
      </c>
    </row>
    <row r="1135" spans="1:9" x14ac:dyDescent="0.2">
      <c r="A1135" s="2">
        <v>13</v>
      </c>
      <c r="B1135" s="1" t="s">
        <v>161</v>
      </c>
      <c r="C1135" s="4">
        <v>6</v>
      </c>
      <c r="D1135" s="8">
        <v>1.78</v>
      </c>
      <c r="E1135" s="4">
        <v>4</v>
      </c>
      <c r="F1135" s="8">
        <v>1.61</v>
      </c>
      <c r="G1135" s="4">
        <v>2</v>
      </c>
      <c r="H1135" s="8">
        <v>2.44</v>
      </c>
      <c r="I1135" s="4">
        <v>0</v>
      </c>
    </row>
    <row r="1136" spans="1:9" x14ac:dyDescent="0.2">
      <c r="A1136" s="2">
        <v>13</v>
      </c>
      <c r="B1136" s="1" t="s">
        <v>191</v>
      </c>
      <c r="C1136" s="4">
        <v>6</v>
      </c>
      <c r="D1136" s="8">
        <v>1.78</v>
      </c>
      <c r="E1136" s="4">
        <v>5</v>
      </c>
      <c r="F1136" s="8">
        <v>2.0099999999999998</v>
      </c>
      <c r="G1136" s="4">
        <v>1</v>
      </c>
      <c r="H1136" s="8">
        <v>1.22</v>
      </c>
      <c r="I1136" s="4">
        <v>0</v>
      </c>
    </row>
    <row r="1137" spans="1:9" x14ac:dyDescent="0.2">
      <c r="A1137" s="2">
        <v>16</v>
      </c>
      <c r="B1137" s="1" t="s">
        <v>163</v>
      </c>
      <c r="C1137" s="4">
        <v>5</v>
      </c>
      <c r="D1137" s="8">
        <v>1.48</v>
      </c>
      <c r="E1137" s="4">
        <v>5</v>
      </c>
      <c r="F1137" s="8">
        <v>2.0099999999999998</v>
      </c>
      <c r="G1137" s="4">
        <v>0</v>
      </c>
      <c r="H1137" s="8">
        <v>0</v>
      </c>
      <c r="I1137" s="4">
        <v>0</v>
      </c>
    </row>
    <row r="1138" spans="1:9" x14ac:dyDescent="0.2">
      <c r="A1138" s="2">
        <v>16</v>
      </c>
      <c r="B1138" s="1" t="s">
        <v>210</v>
      </c>
      <c r="C1138" s="4">
        <v>5</v>
      </c>
      <c r="D1138" s="8">
        <v>1.48</v>
      </c>
      <c r="E1138" s="4">
        <v>5</v>
      </c>
      <c r="F1138" s="8">
        <v>2.0099999999999998</v>
      </c>
      <c r="G1138" s="4">
        <v>0</v>
      </c>
      <c r="H1138" s="8">
        <v>0</v>
      </c>
      <c r="I1138" s="4">
        <v>0</v>
      </c>
    </row>
    <row r="1139" spans="1:9" x14ac:dyDescent="0.2">
      <c r="A1139" s="2">
        <v>16</v>
      </c>
      <c r="B1139" s="1" t="s">
        <v>170</v>
      </c>
      <c r="C1139" s="4">
        <v>5</v>
      </c>
      <c r="D1139" s="8">
        <v>1.48</v>
      </c>
      <c r="E1139" s="4">
        <v>5</v>
      </c>
      <c r="F1139" s="8">
        <v>2.0099999999999998</v>
      </c>
      <c r="G1139" s="4">
        <v>0</v>
      </c>
      <c r="H1139" s="8">
        <v>0</v>
      </c>
      <c r="I1139" s="4">
        <v>0</v>
      </c>
    </row>
    <row r="1140" spans="1:9" x14ac:dyDescent="0.2">
      <c r="A1140" s="2">
        <v>16</v>
      </c>
      <c r="B1140" s="1" t="s">
        <v>182</v>
      </c>
      <c r="C1140" s="4">
        <v>5</v>
      </c>
      <c r="D1140" s="8">
        <v>1.48</v>
      </c>
      <c r="E1140" s="4">
        <v>4</v>
      </c>
      <c r="F1140" s="8">
        <v>1.61</v>
      </c>
      <c r="G1140" s="4">
        <v>1</v>
      </c>
      <c r="H1140" s="8">
        <v>1.22</v>
      </c>
      <c r="I1140" s="4">
        <v>0</v>
      </c>
    </row>
    <row r="1141" spans="1:9" x14ac:dyDescent="0.2">
      <c r="A1141" s="2">
        <v>16</v>
      </c>
      <c r="B1141" s="1" t="s">
        <v>269</v>
      </c>
      <c r="C1141" s="4">
        <v>5</v>
      </c>
      <c r="D1141" s="8">
        <v>1.48</v>
      </c>
      <c r="E1141" s="4">
        <v>4</v>
      </c>
      <c r="F1141" s="8">
        <v>1.61</v>
      </c>
      <c r="G1141" s="4">
        <v>1</v>
      </c>
      <c r="H1141" s="8">
        <v>1.22</v>
      </c>
      <c r="I1141" s="4">
        <v>0</v>
      </c>
    </row>
    <row r="1142" spans="1:9" x14ac:dyDescent="0.2">
      <c r="A1142" s="2">
        <v>16</v>
      </c>
      <c r="B1142" s="1" t="s">
        <v>176</v>
      </c>
      <c r="C1142" s="4">
        <v>5</v>
      </c>
      <c r="D1142" s="8">
        <v>1.48</v>
      </c>
      <c r="E1142" s="4">
        <v>5</v>
      </c>
      <c r="F1142" s="8">
        <v>2.0099999999999998</v>
      </c>
      <c r="G1142" s="4">
        <v>0</v>
      </c>
      <c r="H1142" s="8">
        <v>0</v>
      </c>
      <c r="I1142" s="4">
        <v>0</v>
      </c>
    </row>
    <row r="1143" spans="1:9" x14ac:dyDescent="0.2">
      <c r="A1143" s="1"/>
      <c r="C1143" s="4"/>
      <c r="D1143" s="8"/>
      <c r="E1143" s="4"/>
      <c r="F1143" s="8"/>
      <c r="G1143" s="4"/>
      <c r="H1143" s="8"/>
      <c r="I1143" s="4"/>
    </row>
    <row r="1144" spans="1:9" x14ac:dyDescent="0.2">
      <c r="A1144" s="1" t="s">
        <v>42</v>
      </c>
      <c r="C1144" s="4"/>
      <c r="D1144" s="8"/>
      <c r="E1144" s="4"/>
      <c r="F1144" s="8"/>
      <c r="G1144" s="4"/>
      <c r="H1144" s="8"/>
      <c r="I1144" s="4"/>
    </row>
    <row r="1145" spans="1:9" x14ac:dyDescent="0.2">
      <c r="A1145" s="2">
        <v>1</v>
      </c>
      <c r="B1145" s="1" t="s">
        <v>160</v>
      </c>
      <c r="C1145" s="4">
        <v>12</v>
      </c>
      <c r="D1145" s="8">
        <v>13.04</v>
      </c>
      <c r="E1145" s="4">
        <v>11</v>
      </c>
      <c r="F1145" s="8">
        <v>15.94</v>
      </c>
      <c r="G1145" s="4">
        <v>1</v>
      </c>
      <c r="H1145" s="8">
        <v>4.55</v>
      </c>
      <c r="I1145" s="4">
        <v>0</v>
      </c>
    </row>
    <row r="1146" spans="1:9" x14ac:dyDescent="0.2">
      <c r="A1146" s="2">
        <v>2</v>
      </c>
      <c r="B1146" s="1" t="s">
        <v>158</v>
      </c>
      <c r="C1146" s="4">
        <v>5</v>
      </c>
      <c r="D1146" s="8">
        <v>5.43</v>
      </c>
      <c r="E1146" s="4">
        <v>1</v>
      </c>
      <c r="F1146" s="8">
        <v>1.45</v>
      </c>
      <c r="G1146" s="4">
        <v>4</v>
      </c>
      <c r="H1146" s="8">
        <v>18.18</v>
      </c>
      <c r="I1146" s="4">
        <v>0</v>
      </c>
    </row>
    <row r="1147" spans="1:9" x14ac:dyDescent="0.2">
      <c r="A1147" s="2">
        <v>2</v>
      </c>
      <c r="B1147" s="1" t="s">
        <v>194</v>
      </c>
      <c r="C1147" s="4">
        <v>5</v>
      </c>
      <c r="D1147" s="8">
        <v>5.43</v>
      </c>
      <c r="E1147" s="4">
        <v>5</v>
      </c>
      <c r="F1147" s="8">
        <v>7.25</v>
      </c>
      <c r="G1147" s="4">
        <v>0</v>
      </c>
      <c r="H1147" s="8">
        <v>0</v>
      </c>
      <c r="I1147" s="4">
        <v>0</v>
      </c>
    </row>
    <row r="1148" spans="1:9" x14ac:dyDescent="0.2">
      <c r="A1148" s="2">
        <v>4</v>
      </c>
      <c r="B1148" s="1" t="s">
        <v>210</v>
      </c>
      <c r="C1148" s="4">
        <v>4</v>
      </c>
      <c r="D1148" s="8">
        <v>4.3499999999999996</v>
      </c>
      <c r="E1148" s="4">
        <v>4</v>
      </c>
      <c r="F1148" s="8">
        <v>5.8</v>
      </c>
      <c r="G1148" s="4">
        <v>0</v>
      </c>
      <c r="H1148" s="8">
        <v>0</v>
      </c>
      <c r="I1148" s="4">
        <v>0</v>
      </c>
    </row>
    <row r="1149" spans="1:9" x14ac:dyDescent="0.2">
      <c r="A1149" s="2">
        <v>4</v>
      </c>
      <c r="B1149" s="1" t="s">
        <v>185</v>
      </c>
      <c r="C1149" s="4">
        <v>4</v>
      </c>
      <c r="D1149" s="8">
        <v>4.3499999999999996</v>
      </c>
      <c r="E1149" s="4">
        <v>3</v>
      </c>
      <c r="F1149" s="8">
        <v>4.3499999999999996</v>
      </c>
      <c r="G1149" s="4">
        <v>1</v>
      </c>
      <c r="H1149" s="8">
        <v>4.55</v>
      </c>
      <c r="I1149" s="4">
        <v>0</v>
      </c>
    </row>
    <row r="1150" spans="1:9" x14ac:dyDescent="0.2">
      <c r="A1150" s="2">
        <v>4</v>
      </c>
      <c r="B1150" s="1" t="s">
        <v>173</v>
      </c>
      <c r="C1150" s="4">
        <v>4</v>
      </c>
      <c r="D1150" s="8">
        <v>4.3499999999999996</v>
      </c>
      <c r="E1150" s="4">
        <v>4</v>
      </c>
      <c r="F1150" s="8">
        <v>5.8</v>
      </c>
      <c r="G1150" s="4">
        <v>0</v>
      </c>
      <c r="H1150" s="8">
        <v>0</v>
      </c>
      <c r="I1150" s="4">
        <v>0</v>
      </c>
    </row>
    <row r="1151" spans="1:9" x14ac:dyDescent="0.2">
      <c r="A1151" s="2">
        <v>7</v>
      </c>
      <c r="B1151" s="1" t="s">
        <v>196</v>
      </c>
      <c r="C1151" s="4">
        <v>3</v>
      </c>
      <c r="D1151" s="8">
        <v>3.26</v>
      </c>
      <c r="E1151" s="4">
        <v>2</v>
      </c>
      <c r="F1151" s="8">
        <v>2.9</v>
      </c>
      <c r="G1151" s="4">
        <v>1</v>
      </c>
      <c r="H1151" s="8">
        <v>4.55</v>
      </c>
      <c r="I1151" s="4">
        <v>0</v>
      </c>
    </row>
    <row r="1152" spans="1:9" x14ac:dyDescent="0.2">
      <c r="A1152" s="2">
        <v>7</v>
      </c>
      <c r="B1152" s="1" t="s">
        <v>289</v>
      </c>
      <c r="C1152" s="4">
        <v>3</v>
      </c>
      <c r="D1152" s="8">
        <v>3.26</v>
      </c>
      <c r="E1152" s="4">
        <v>2</v>
      </c>
      <c r="F1152" s="8">
        <v>2.9</v>
      </c>
      <c r="G1152" s="4">
        <v>1</v>
      </c>
      <c r="H1152" s="8">
        <v>4.55</v>
      </c>
      <c r="I1152" s="4">
        <v>0</v>
      </c>
    </row>
    <row r="1153" spans="1:9" x14ac:dyDescent="0.2">
      <c r="A1153" s="2">
        <v>7</v>
      </c>
      <c r="B1153" s="1" t="s">
        <v>191</v>
      </c>
      <c r="C1153" s="4">
        <v>3</v>
      </c>
      <c r="D1153" s="8">
        <v>3.26</v>
      </c>
      <c r="E1153" s="4">
        <v>3</v>
      </c>
      <c r="F1153" s="8">
        <v>4.3499999999999996</v>
      </c>
      <c r="G1153" s="4">
        <v>0</v>
      </c>
      <c r="H1153" s="8">
        <v>0</v>
      </c>
      <c r="I1153" s="4">
        <v>0</v>
      </c>
    </row>
    <row r="1154" spans="1:9" x14ac:dyDescent="0.2">
      <c r="A1154" s="2">
        <v>7</v>
      </c>
      <c r="B1154" s="1" t="s">
        <v>174</v>
      </c>
      <c r="C1154" s="4">
        <v>3</v>
      </c>
      <c r="D1154" s="8">
        <v>3.26</v>
      </c>
      <c r="E1154" s="4">
        <v>3</v>
      </c>
      <c r="F1154" s="8">
        <v>4.3499999999999996</v>
      </c>
      <c r="G1154" s="4">
        <v>0</v>
      </c>
      <c r="H1154" s="8">
        <v>0</v>
      </c>
      <c r="I1154" s="4">
        <v>0</v>
      </c>
    </row>
    <row r="1155" spans="1:9" x14ac:dyDescent="0.2">
      <c r="A1155" s="2">
        <v>11</v>
      </c>
      <c r="B1155" s="1" t="s">
        <v>161</v>
      </c>
      <c r="C1155" s="4">
        <v>2</v>
      </c>
      <c r="D1155" s="8">
        <v>2.17</v>
      </c>
      <c r="E1155" s="4">
        <v>2</v>
      </c>
      <c r="F1155" s="8">
        <v>2.9</v>
      </c>
      <c r="G1155" s="4">
        <v>0</v>
      </c>
      <c r="H1155" s="8">
        <v>0</v>
      </c>
      <c r="I1155" s="4">
        <v>0</v>
      </c>
    </row>
    <row r="1156" spans="1:9" x14ac:dyDescent="0.2">
      <c r="A1156" s="2">
        <v>11</v>
      </c>
      <c r="B1156" s="1" t="s">
        <v>222</v>
      </c>
      <c r="C1156" s="4">
        <v>2</v>
      </c>
      <c r="D1156" s="8">
        <v>2.17</v>
      </c>
      <c r="E1156" s="4">
        <v>2</v>
      </c>
      <c r="F1156" s="8">
        <v>2.9</v>
      </c>
      <c r="G1156" s="4">
        <v>0</v>
      </c>
      <c r="H1156" s="8">
        <v>0</v>
      </c>
      <c r="I1156" s="4">
        <v>0</v>
      </c>
    </row>
    <row r="1157" spans="1:9" x14ac:dyDescent="0.2">
      <c r="A1157" s="2">
        <v>11</v>
      </c>
      <c r="B1157" s="1" t="s">
        <v>212</v>
      </c>
      <c r="C1157" s="4">
        <v>2</v>
      </c>
      <c r="D1157" s="8">
        <v>2.17</v>
      </c>
      <c r="E1157" s="4">
        <v>2</v>
      </c>
      <c r="F1157" s="8">
        <v>2.9</v>
      </c>
      <c r="G1157" s="4">
        <v>0</v>
      </c>
      <c r="H1157" s="8">
        <v>0</v>
      </c>
      <c r="I1157" s="4">
        <v>0</v>
      </c>
    </row>
    <row r="1158" spans="1:9" x14ac:dyDescent="0.2">
      <c r="A1158" s="2">
        <v>11</v>
      </c>
      <c r="B1158" s="1" t="s">
        <v>178</v>
      </c>
      <c r="C1158" s="4">
        <v>2</v>
      </c>
      <c r="D1158" s="8">
        <v>2.17</v>
      </c>
      <c r="E1158" s="4">
        <v>2</v>
      </c>
      <c r="F1158" s="8">
        <v>2.9</v>
      </c>
      <c r="G1158" s="4">
        <v>0</v>
      </c>
      <c r="H1158" s="8">
        <v>0</v>
      </c>
      <c r="I1158" s="4">
        <v>0</v>
      </c>
    </row>
    <row r="1159" spans="1:9" x14ac:dyDescent="0.2">
      <c r="A1159" s="2">
        <v>11</v>
      </c>
      <c r="B1159" s="1" t="s">
        <v>167</v>
      </c>
      <c r="C1159" s="4">
        <v>2</v>
      </c>
      <c r="D1159" s="8">
        <v>2.17</v>
      </c>
      <c r="E1159" s="4">
        <v>0</v>
      </c>
      <c r="F1159" s="8">
        <v>0</v>
      </c>
      <c r="G1159" s="4">
        <v>2</v>
      </c>
      <c r="H1159" s="8">
        <v>9.09</v>
      </c>
      <c r="I1159" s="4">
        <v>0</v>
      </c>
    </row>
    <row r="1160" spans="1:9" x14ac:dyDescent="0.2">
      <c r="A1160" s="2">
        <v>11</v>
      </c>
      <c r="B1160" s="1" t="s">
        <v>169</v>
      </c>
      <c r="C1160" s="4">
        <v>2</v>
      </c>
      <c r="D1160" s="8">
        <v>2.17</v>
      </c>
      <c r="E1160" s="4">
        <v>0</v>
      </c>
      <c r="F1160" s="8">
        <v>0</v>
      </c>
      <c r="G1160" s="4">
        <v>2</v>
      </c>
      <c r="H1160" s="8">
        <v>9.09</v>
      </c>
      <c r="I1160" s="4">
        <v>0</v>
      </c>
    </row>
    <row r="1161" spans="1:9" x14ac:dyDescent="0.2">
      <c r="A1161" s="2">
        <v>11</v>
      </c>
      <c r="B1161" s="1" t="s">
        <v>181</v>
      </c>
      <c r="C1161" s="4">
        <v>2</v>
      </c>
      <c r="D1161" s="8">
        <v>2.17</v>
      </c>
      <c r="E1161" s="4">
        <v>2</v>
      </c>
      <c r="F1161" s="8">
        <v>2.9</v>
      </c>
      <c r="G1161" s="4">
        <v>0</v>
      </c>
      <c r="H1161" s="8">
        <v>0</v>
      </c>
      <c r="I1161" s="4">
        <v>0</v>
      </c>
    </row>
    <row r="1162" spans="1:9" x14ac:dyDescent="0.2">
      <c r="A1162" s="2">
        <v>11</v>
      </c>
      <c r="B1162" s="1" t="s">
        <v>171</v>
      </c>
      <c r="C1162" s="4">
        <v>2</v>
      </c>
      <c r="D1162" s="8">
        <v>2.17</v>
      </c>
      <c r="E1162" s="4">
        <v>2</v>
      </c>
      <c r="F1162" s="8">
        <v>2.9</v>
      </c>
      <c r="G1162" s="4">
        <v>0</v>
      </c>
      <c r="H1162" s="8">
        <v>0</v>
      </c>
      <c r="I1162" s="4">
        <v>0</v>
      </c>
    </row>
    <row r="1163" spans="1:9" x14ac:dyDescent="0.2">
      <c r="A1163" s="2">
        <v>11</v>
      </c>
      <c r="B1163" s="1" t="s">
        <v>186</v>
      </c>
      <c r="C1163" s="4">
        <v>2</v>
      </c>
      <c r="D1163" s="8">
        <v>2.17</v>
      </c>
      <c r="E1163" s="4">
        <v>0</v>
      </c>
      <c r="F1163" s="8">
        <v>0</v>
      </c>
      <c r="G1163" s="4">
        <v>2</v>
      </c>
      <c r="H1163" s="8">
        <v>9.09</v>
      </c>
      <c r="I1163" s="4">
        <v>0</v>
      </c>
    </row>
    <row r="1164" spans="1:9" x14ac:dyDescent="0.2">
      <c r="A1164" s="2">
        <v>11</v>
      </c>
      <c r="B1164" s="1" t="s">
        <v>236</v>
      </c>
      <c r="C1164" s="4">
        <v>2</v>
      </c>
      <c r="D1164" s="8">
        <v>2.17</v>
      </c>
      <c r="E1164" s="4">
        <v>1</v>
      </c>
      <c r="F1164" s="8">
        <v>1.45</v>
      </c>
      <c r="G1164" s="4">
        <v>0</v>
      </c>
      <c r="H1164" s="8">
        <v>0</v>
      </c>
      <c r="I1164" s="4">
        <v>0</v>
      </c>
    </row>
    <row r="1165" spans="1:9" x14ac:dyDescent="0.2">
      <c r="A1165" s="1"/>
      <c r="C1165" s="4"/>
      <c r="D1165" s="8"/>
      <c r="E1165" s="4"/>
      <c r="F1165" s="8"/>
      <c r="G1165" s="4"/>
      <c r="H1165" s="8"/>
      <c r="I1165" s="4"/>
    </row>
    <row r="1166" spans="1:9" x14ac:dyDescent="0.2">
      <c r="A1166" s="1" t="s">
        <v>43</v>
      </c>
      <c r="C1166" s="4"/>
      <c r="D1166" s="8"/>
      <c r="E1166" s="4"/>
      <c r="F1166" s="8"/>
      <c r="G1166" s="4"/>
      <c r="H1166" s="8"/>
      <c r="I1166" s="4"/>
    </row>
    <row r="1167" spans="1:9" x14ac:dyDescent="0.2">
      <c r="A1167" s="2">
        <v>1</v>
      </c>
      <c r="B1167" s="1" t="s">
        <v>174</v>
      </c>
      <c r="C1167" s="4">
        <v>31</v>
      </c>
      <c r="D1167" s="8">
        <v>6.14</v>
      </c>
      <c r="E1167" s="4">
        <v>30</v>
      </c>
      <c r="F1167" s="8">
        <v>9.84</v>
      </c>
      <c r="G1167" s="4">
        <v>1</v>
      </c>
      <c r="H1167" s="8">
        <v>0.53</v>
      </c>
      <c r="I1167" s="4">
        <v>0</v>
      </c>
    </row>
    <row r="1168" spans="1:9" x14ac:dyDescent="0.2">
      <c r="A1168" s="2">
        <v>2</v>
      </c>
      <c r="B1168" s="1" t="s">
        <v>173</v>
      </c>
      <c r="C1168" s="4">
        <v>23</v>
      </c>
      <c r="D1168" s="8">
        <v>4.55</v>
      </c>
      <c r="E1168" s="4">
        <v>23</v>
      </c>
      <c r="F1168" s="8">
        <v>7.54</v>
      </c>
      <c r="G1168" s="4">
        <v>0</v>
      </c>
      <c r="H1168" s="8">
        <v>0</v>
      </c>
      <c r="I1168" s="4">
        <v>0</v>
      </c>
    </row>
    <row r="1169" spans="1:9" x14ac:dyDescent="0.2">
      <c r="A1169" s="2">
        <v>3</v>
      </c>
      <c r="B1169" s="1" t="s">
        <v>158</v>
      </c>
      <c r="C1169" s="4">
        <v>20</v>
      </c>
      <c r="D1169" s="8">
        <v>3.96</v>
      </c>
      <c r="E1169" s="4">
        <v>3</v>
      </c>
      <c r="F1169" s="8">
        <v>0.98</v>
      </c>
      <c r="G1169" s="4">
        <v>17</v>
      </c>
      <c r="H1169" s="8">
        <v>8.99</v>
      </c>
      <c r="I1169" s="4">
        <v>0</v>
      </c>
    </row>
    <row r="1170" spans="1:9" x14ac:dyDescent="0.2">
      <c r="A1170" s="2">
        <v>3</v>
      </c>
      <c r="B1170" s="1" t="s">
        <v>168</v>
      </c>
      <c r="C1170" s="4">
        <v>20</v>
      </c>
      <c r="D1170" s="8">
        <v>3.96</v>
      </c>
      <c r="E1170" s="4">
        <v>15</v>
      </c>
      <c r="F1170" s="8">
        <v>4.92</v>
      </c>
      <c r="G1170" s="4">
        <v>4</v>
      </c>
      <c r="H1170" s="8">
        <v>2.12</v>
      </c>
      <c r="I1170" s="4">
        <v>0</v>
      </c>
    </row>
    <row r="1171" spans="1:9" x14ac:dyDescent="0.2">
      <c r="A1171" s="2">
        <v>5</v>
      </c>
      <c r="B1171" s="1" t="s">
        <v>160</v>
      </c>
      <c r="C1171" s="4">
        <v>14</v>
      </c>
      <c r="D1171" s="8">
        <v>2.77</v>
      </c>
      <c r="E1171" s="4">
        <v>11</v>
      </c>
      <c r="F1171" s="8">
        <v>3.61</v>
      </c>
      <c r="G1171" s="4">
        <v>3</v>
      </c>
      <c r="H1171" s="8">
        <v>1.59</v>
      </c>
      <c r="I1171" s="4">
        <v>0</v>
      </c>
    </row>
    <row r="1172" spans="1:9" x14ac:dyDescent="0.2">
      <c r="A1172" s="2">
        <v>6</v>
      </c>
      <c r="B1172" s="1" t="s">
        <v>185</v>
      </c>
      <c r="C1172" s="4">
        <v>13</v>
      </c>
      <c r="D1172" s="8">
        <v>2.57</v>
      </c>
      <c r="E1172" s="4">
        <v>5</v>
      </c>
      <c r="F1172" s="8">
        <v>1.64</v>
      </c>
      <c r="G1172" s="4">
        <v>8</v>
      </c>
      <c r="H1172" s="8">
        <v>4.2300000000000004</v>
      </c>
      <c r="I1172" s="4">
        <v>0</v>
      </c>
    </row>
    <row r="1173" spans="1:9" x14ac:dyDescent="0.2">
      <c r="A1173" s="2">
        <v>6</v>
      </c>
      <c r="B1173" s="1" t="s">
        <v>166</v>
      </c>
      <c r="C1173" s="4">
        <v>13</v>
      </c>
      <c r="D1173" s="8">
        <v>2.57</v>
      </c>
      <c r="E1173" s="4">
        <v>8</v>
      </c>
      <c r="F1173" s="8">
        <v>2.62</v>
      </c>
      <c r="G1173" s="4">
        <v>5</v>
      </c>
      <c r="H1173" s="8">
        <v>2.65</v>
      </c>
      <c r="I1173" s="4">
        <v>0</v>
      </c>
    </row>
    <row r="1174" spans="1:9" x14ac:dyDescent="0.2">
      <c r="A1174" s="2">
        <v>6</v>
      </c>
      <c r="B1174" s="1" t="s">
        <v>176</v>
      </c>
      <c r="C1174" s="4">
        <v>13</v>
      </c>
      <c r="D1174" s="8">
        <v>2.57</v>
      </c>
      <c r="E1174" s="4">
        <v>12</v>
      </c>
      <c r="F1174" s="8">
        <v>3.93</v>
      </c>
      <c r="G1174" s="4">
        <v>1</v>
      </c>
      <c r="H1174" s="8">
        <v>0.53</v>
      </c>
      <c r="I1174" s="4">
        <v>0</v>
      </c>
    </row>
    <row r="1175" spans="1:9" x14ac:dyDescent="0.2">
      <c r="A1175" s="2">
        <v>9</v>
      </c>
      <c r="B1175" s="1" t="s">
        <v>289</v>
      </c>
      <c r="C1175" s="4">
        <v>12</v>
      </c>
      <c r="D1175" s="8">
        <v>2.38</v>
      </c>
      <c r="E1175" s="4">
        <v>9</v>
      </c>
      <c r="F1175" s="8">
        <v>2.95</v>
      </c>
      <c r="G1175" s="4">
        <v>3</v>
      </c>
      <c r="H1175" s="8">
        <v>1.59</v>
      </c>
      <c r="I1175" s="4">
        <v>0</v>
      </c>
    </row>
    <row r="1176" spans="1:9" x14ac:dyDescent="0.2">
      <c r="A1176" s="2">
        <v>10</v>
      </c>
      <c r="B1176" s="1" t="s">
        <v>177</v>
      </c>
      <c r="C1176" s="4">
        <v>11</v>
      </c>
      <c r="D1176" s="8">
        <v>2.1800000000000002</v>
      </c>
      <c r="E1176" s="4">
        <v>7</v>
      </c>
      <c r="F1176" s="8">
        <v>2.2999999999999998</v>
      </c>
      <c r="G1176" s="4">
        <v>4</v>
      </c>
      <c r="H1176" s="8">
        <v>2.12</v>
      </c>
      <c r="I1176" s="4">
        <v>0</v>
      </c>
    </row>
    <row r="1177" spans="1:9" x14ac:dyDescent="0.2">
      <c r="A1177" s="2">
        <v>11</v>
      </c>
      <c r="B1177" s="1" t="s">
        <v>163</v>
      </c>
      <c r="C1177" s="4">
        <v>10</v>
      </c>
      <c r="D1177" s="8">
        <v>1.98</v>
      </c>
      <c r="E1177" s="4">
        <v>9</v>
      </c>
      <c r="F1177" s="8">
        <v>2.95</v>
      </c>
      <c r="G1177" s="4">
        <v>1</v>
      </c>
      <c r="H1177" s="8">
        <v>0.53</v>
      </c>
      <c r="I1177" s="4">
        <v>0</v>
      </c>
    </row>
    <row r="1178" spans="1:9" x14ac:dyDescent="0.2">
      <c r="A1178" s="2">
        <v>11</v>
      </c>
      <c r="B1178" s="1" t="s">
        <v>164</v>
      </c>
      <c r="C1178" s="4">
        <v>10</v>
      </c>
      <c r="D1178" s="8">
        <v>1.98</v>
      </c>
      <c r="E1178" s="4">
        <v>6</v>
      </c>
      <c r="F1178" s="8">
        <v>1.97</v>
      </c>
      <c r="G1178" s="4">
        <v>4</v>
      </c>
      <c r="H1178" s="8">
        <v>2.12</v>
      </c>
      <c r="I1178" s="4">
        <v>0</v>
      </c>
    </row>
    <row r="1179" spans="1:9" x14ac:dyDescent="0.2">
      <c r="A1179" s="2">
        <v>11</v>
      </c>
      <c r="B1179" s="1" t="s">
        <v>170</v>
      </c>
      <c r="C1179" s="4">
        <v>10</v>
      </c>
      <c r="D1179" s="8">
        <v>1.98</v>
      </c>
      <c r="E1179" s="4">
        <v>6</v>
      </c>
      <c r="F1179" s="8">
        <v>1.97</v>
      </c>
      <c r="G1179" s="4">
        <v>4</v>
      </c>
      <c r="H1179" s="8">
        <v>2.12</v>
      </c>
      <c r="I1179" s="4">
        <v>0</v>
      </c>
    </row>
    <row r="1180" spans="1:9" x14ac:dyDescent="0.2">
      <c r="A1180" s="2">
        <v>11</v>
      </c>
      <c r="B1180" s="1" t="s">
        <v>171</v>
      </c>
      <c r="C1180" s="4">
        <v>10</v>
      </c>
      <c r="D1180" s="8">
        <v>1.98</v>
      </c>
      <c r="E1180" s="4">
        <v>9</v>
      </c>
      <c r="F1180" s="8">
        <v>2.95</v>
      </c>
      <c r="G1180" s="4">
        <v>1</v>
      </c>
      <c r="H1180" s="8">
        <v>0.53</v>
      </c>
      <c r="I1180" s="4">
        <v>0</v>
      </c>
    </row>
    <row r="1181" spans="1:9" x14ac:dyDescent="0.2">
      <c r="A1181" s="2">
        <v>15</v>
      </c>
      <c r="B1181" s="1" t="s">
        <v>215</v>
      </c>
      <c r="C1181" s="4">
        <v>9</v>
      </c>
      <c r="D1181" s="8">
        <v>1.78</v>
      </c>
      <c r="E1181" s="4">
        <v>5</v>
      </c>
      <c r="F1181" s="8">
        <v>1.64</v>
      </c>
      <c r="G1181" s="4">
        <v>4</v>
      </c>
      <c r="H1181" s="8">
        <v>2.12</v>
      </c>
      <c r="I1181" s="4">
        <v>0</v>
      </c>
    </row>
    <row r="1182" spans="1:9" x14ac:dyDescent="0.2">
      <c r="A1182" s="2">
        <v>15</v>
      </c>
      <c r="B1182" s="1" t="s">
        <v>172</v>
      </c>
      <c r="C1182" s="4">
        <v>9</v>
      </c>
      <c r="D1182" s="8">
        <v>1.78</v>
      </c>
      <c r="E1182" s="4">
        <v>8</v>
      </c>
      <c r="F1182" s="8">
        <v>2.62</v>
      </c>
      <c r="G1182" s="4">
        <v>1</v>
      </c>
      <c r="H1182" s="8">
        <v>0.53</v>
      </c>
      <c r="I1182" s="4">
        <v>0</v>
      </c>
    </row>
    <row r="1183" spans="1:9" x14ac:dyDescent="0.2">
      <c r="A1183" s="2">
        <v>17</v>
      </c>
      <c r="B1183" s="1" t="s">
        <v>162</v>
      </c>
      <c r="C1183" s="4">
        <v>8</v>
      </c>
      <c r="D1183" s="8">
        <v>1.58</v>
      </c>
      <c r="E1183" s="4">
        <v>3</v>
      </c>
      <c r="F1183" s="8">
        <v>0.98</v>
      </c>
      <c r="G1183" s="4">
        <v>5</v>
      </c>
      <c r="H1183" s="8">
        <v>2.65</v>
      </c>
      <c r="I1183" s="4">
        <v>0</v>
      </c>
    </row>
    <row r="1184" spans="1:9" x14ac:dyDescent="0.2">
      <c r="A1184" s="2">
        <v>17</v>
      </c>
      <c r="B1184" s="1" t="s">
        <v>191</v>
      </c>
      <c r="C1184" s="4">
        <v>8</v>
      </c>
      <c r="D1184" s="8">
        <v>1.58</v>
      </c>
      <c r="E1184" s="4">
        <v>8</v>
      </c>
      <c r="F1184" s="8">
        <v>2.62</v>
      </c>
      <c r="G1184" s="4">
        <v>0</v>
      </c>
      <c r="H1184" s="8">
        <v>0</v>
      </c>
      <c r="I1184" s="4">
        <v>0</v>
      </c>
    </row>
    <row r="1185" spans="1:9" x14ac:dyDescent="0.2">
      <c r="A1185" s="2">
        <v>17</v>
      </c>
      <c r="B1185" s="1" t="s">
        <v>208</v>
      </c>
      <c r="C1185" s="4">
        <v>8</v>
      </c>
      <c r="D1185" s="8">
        <v>1.58</v>
      </c>
      <c r="E1185" s="4">
        <v>4</v>
      </c>
      <c r="F1185" s="8">
        <v>1.31</v>
      </c>
      <c r="G1185" s="4">
        <v>4</v>
      </c>
      <c r="H1185" s="8">
        <v>2.12</v>
      </c>
      <c r="I1185" s="4">
        <v>0</v>
      </c>
    </row>
    <row r="1186" spans="1:9" x14ac:dyDescent="0.2">
      <c r="A1186" s="2">
        <v>17</v>
      </c>
      <c r="B1186" s="1" t="s">
        <v>181</v>
      </c>
      <c r="C1186" s="4">
        <v>8</v>
      </c>
      <c r="D1186" s="8">
        <v>1.58</v>
      </c>
      <c r="E1186" s="4">
        <v>7</v>
      </c>
      <c r="F1186" s="8">
        <v>2.2999999999999998</v>
      </c>
      <c r="G1186" s="4">
        <v>1</v>
      </c>
      <c r="H1186" s="8">
        <v>0.53</v>
      </c>
      <c r="I1186" s="4">
        <v>0</v>
      </c>
    </row>
    <row r="1187" spans="1:9" x14ac:dyDescent="0.2">
      <c r="A1187" s="2">
        <v>17</v>
      </c>
      <c r="B1187" s="1" t="s">
        <v>236</v>
      </c>
      <c r="C1187" s="4">
        <v>8</v>
      </c>
      <c r="D1187" s="8">
        <v>1.58</v>
      </c>
      <c r="E1187" s="4">
        <v>0</v>
      </c>
      <c r="F1187" s="8">
        <v>0</v>
      </c>
      <c r="G1187" s="4">
        <v>1</v>
      </c>
      <c r="H1187" s="8">
        <v>0.53</v>
      </c>
      <c r="I1187" s="4">
        <v>0</v>
      </c>
    </row>
    <row r="1188" spans="1:9" x14ac:dyDescent="0.2">
      <c r="A1188" s="1"/>
      <c r="C1188" s="4"/>
      <c r="D1188" s="8"/>
      <c r="E1188" s="4"/>
      <c r="F1188" s="8"/>
      <c r="G1188" s="4"/>
      <c r="H1188" s="8"/>
      <c r="I1188" s="4"/>
    </row>
    <row r="1189" spans="1:9" x14ac:dyDescent="0.2">
      <c r="A1189" s="1" t="s">
        <v>44</v>
      </c>
      <c r="C1189" s="4"/>
      <c r="D1189" s="8"/>
      <c r="E1189" s="4"/>
      <c r="F1189" s="8"/>
      <c r="G1189" s="4"/>
      <c r="H1189" s="8"/>
      <c r="I1189" s="4"/>
    </row>
    <row r="1190" spans="1:9" x14ac:dyDescent="0.2">
      <c r="A1190" s="2">
        <v>1</v>
      </c>
      <c r="B1190" s="1" t="s">
        <v>160</v>
      </c>
      <c r="C1190" s="4">
        <v>11</v>
      </c>
      <c r="D1190" s="8">
        <v>5.58</v>
      </c>
      <c r="E1190" s="4">
        <v>6</v>
      </c>
      <c r="F1190" s="8">
        <v>4.84</v>
      </c>
      <c r="G1190" s="4">
        <v>5</v>
      </c>
      <c r="H1190" s="8">
        <v>7.94</v>
      </c>
      <c r="I1190" s="4">
        <v>0</v>
      </c>
    </row>
    <row r="1191" spans="1:9" x14ac:dyDescent="0.2">
      <c r="A1191" s="2">
        <v>2</v>
      </c>
      <c r="B1191" s="1" t="s">
        <v>174</v>
      </c>
      <c r="C1191" s="4">
        <v>10</v>
      </c>
      <c r="D1191" s="8">
        <v>5.08</v>
      </c>
      <c r="E1191" s="4">
        <v>10</v>
      </c>
      <c r="F1191" s="8">
        <v>8.06</v>
      </c>
      <c r="G1191" s="4">
        <v>0</v>
      </c>
      <c r="H1191" s="8">
        <v>0</v>
      </c>
      <c r="I1191" s="4">
        <v>0</v>
      </c>
    </row>
    <row r="1192" spans="1:9" x14ac:dyDescent="0.2">
      <c r="A1192" s="2">
        <v>3</v>
      </c>
      <c r="B1192" s="1" t="s">
        <v>194</v>
      </c>
      <c r="C1192" s="4">
        <v>7</v>
      </c>
      <c r="D1192" s="8">
        <v>3.55</v>
      </c>
      <c r="E1192" s="4">
        <v>6</v>
      </c>
      <c r="F1192" s="8">
        <v>4.84</v>
      </c>
      <c r="G1192" s="4">
        <v>1</v>
      </c>
      <c r="H1192" s="8">
        <v>1.59</v>
      </c>
      <c r="I1192" s="4">
        <v>0</v>
      </c>
    </row>
    <row r="1193" spans="1:9" x14ac:dyDescent="0.2">
      <c r="A1193" s="2">
        <v>4</v>
      </c>
      <c r="B1193" s="1" t="s">
        <v>158</v>
      </c>
      <c r="C1193" s="4">
        <v>6</v>
      </c>
      <c r="D1193" s="8">
        <v>3.05</v>
      </c>
      <c r="E1193" s="4">
        <v>2</v>
      </c>
      <c r="F1193" s="8">
        <v>1.61</v>
      </c>
      <c r="G1193" s="4">
        <v>4</v>
      </c>
      <c r="H1193" s="8">
        <v>6.35</v>
      </c>
      <c r="I1193" s="4">
        <v>0</v>
      </c>
    </row>
    <row r="1194" spans="1:9" x14ac:dyDescent="0.2">
      <c r="A1194" s="2">
        <v>4</v>
      </c>
      <c r="B1194" s="1" t="s">
        <v>159</v>
      </c>
      <c r="C1194" s="4">
        <v>6</v>
      </c>
      <c r="D1194" s="8">
        <v>3.05</v>
      </c>
      <c r="E1194" s="4">
        <v>6</v>
      </c>
      <c r="F1194" s="8">
        <v>4.84</v>
      </c>
      <c r="G1194" s="4">
        <v>0</v>
      </c>
      <c r="H1194" s="8">
        <v>0</v>
      </c>
      <c r="I1194" s="4">
        <v>0</v>
      </c>
    </row>
    <row r="1195" spans="1:9" x14ac:dyDescent="0.2">
      <c r="A1195" s="2">
        <v>4</v>
      </c>
      <c r="B1195" s="1" t="s">
        <v>161</v>
      </c>
      <c r="C1195" s="4">
        <v>6</v>
      </c>
      <c r="D1195" s="8">
        <v>3.05</v>
      </c>
      <c r="E1195" s="4">
        <v>3</v>
      </c>
      <c r="F1195" s="8">
        <v>2.42</v>
      </c>
      <c r="G1195" s="4">
        <v>3</v>
      </c>
      <c r="H1195" s="8">
        <v>4.76</v>
      </c>
      <c r="I1195" s="4">
        <v>0</v>
      </c>
    </row>
    <row r="1196" spans="1:9" x14ac:dyDescent="0.2">
      <c r="A1196" s="2">
        <v>4</v>
      </c>
      <c r="B1196" s="1" t="s">
        <v>163</v>
      </c>
      <c r="C1196" s="4">
        <v>6</v>
      </c>
      <c r="D1196" s="8">
        <v>3.05</v>
      </c>
      <c r="E1196" s="4">
        <v>5</v>
      </c>
      <c r="F1196" s="8">
        <v>4.03</v>
      </c>
      <c r="G1196" s="4">
        <v>1</v>
      </c>
      <c r="H1196" s="8">
        <v>1.59</v>
      </c>
      <c r="I1196" s="4">
        <v>0</v>
      </c>
    </row>
    <row r="1197" spans="1:9" x14ac:dyDescent="0.2">
      <c r="A1197" s="2">
        <v>8</v>
      </c>
      <c r="B1197" s="1" t="s">
        <v>170</v>
      </c>
      <c r="C1197" s="4">
        <v>5</v>
      </c>
      <c r="D1197" s="8">
        <v>2.54</v>
      </c>
      <c r="E1197" s="4">
        <v>4</v>
      </c>
      <c r="F1197" s="8">
        <v>3.23</v>
      </c>
      <c r="G1197" s="4">
        <v>1</v>
      </c>
      <c r="H1197" s="8">
        <v>1.59</v>
      </c>
      <c r="I1197" s="4">
        <v>0</v>
      </c>
    </row>
    <row r="1198" spans="1:9" x14ac:dyDescent="0.2">
      <c r="A1198" s="2">
        <v>8</v>
      </c>
      <c r="B1198" s="1" t="s">
        <v>173</v>
      </c>
      <c r="C1198" s="4">
        <v>5</v>
      </c>
      <c r="D1198" s="8">
        <v>2.54</v>
      </c>
      <c r="E1198" s="4">
        <v>5</v>
      </c>
      <c r="F1198" s="8">
        <v>4.03</v>
      </c>
      <c r="G1198" s="4">
        <v>0</v>
      </c>
      <c r="H1198" s="8">
        <v>0</v>
      </c>
      <c r="I1198" s="4">
        <v>0</v>
      </c>
    </row>
    <row r="1199" spans="1:9" x14ac:dyDescent="0.2">
      <c r="A1199" s="2">
        <v>8</v>
      </c>
      <c r="B1199" s="1" t="s">
        <v>175</v>
      </c>
      <c r="C1199" s="4">
        <v>5</v>
      </c>
      <c r="D1199" s="8">
        <v>2.54</v>
      </c>
      <c r="E1199" s="4">
        <v>4</v>
      </c>
      <c r="F1199" s="8">
        <v>3.23</v>
      </c>
      <c r="G1199" s="4">
        <v>1</v>
      </c>
      <c r="H1199" s="8">
        <v>1.59</v>
      </c>
      <c r="I1199" s="4">
        <v>0</v>
      </c>
    </row>
    <row r="1200" spans="1:9" x14ac:dyDescent="0.2">
      <c r="A1200" s="2">
        <v>8</v>
      </c>
      <c r="B1200" s="1" t="s">
        <v>176</v>
      </c>
      <c r="C1200" s="4">
        <v>5</v>
      </c>
      <c r="D1200" s="8">
        <v>2.54</v>
      </c>
      <c r="E1200" s="4">
        <v>5</v>
      </c>
      <c r="F1200" s="8">
        <v>4.03</v>
      </c>
      <c r="G1200" s="4">
        <v>0</v>
      </c>
      <c r="H1200" s="8">
        <v>0</v>
      </c>
      <c r="I1200" s="4">
        <v>0</v>
      </c>
    </row>
    <row r="1201" spans="1:9" x14ac:dyDescent="0.2">
      <c r="A1201" s="2">
        <v>8</v>
      </c>
      <c r="B1201" s="1" t="s">
        <v>177</v>
      </c>
      <c r="C1201" s="4">
        <v>5</v>
      </c>
      <c r="D1201" s="8">
        <v>2.54</v>
      </c>
      <c r="E1201" s="4">
        <v>5</v>
      </c>
      <c r="F1201" s="8">
        <v>4.03</v>
      </c>
      <c r="G1201" s="4">
        <v>0</v>
      </c>
      <c r="H1201" s="8">
        <v>0</v>
      </c>
      <c r="I1201" s="4">
        <v>0</v>
      </c>
    </row>
    <row r="1202" spans="1:9" x14ac:dyDescent="0.2">
      <c r="A1202" s="2">
        <v>13</v>
      </c>
      <c r="B1202" s="1" t="s">
        <v>164</v>
      </c>
      <c r="C1202" s="4">
        <v>4</v>
      </c>
      <c r="D1202" s="8">
        <v>2.0299999999999998</v>
      </c>
      <c r="E1202" s="4">
        <v>3</v>
      </c>
      <c r="F1202" s="8">
        <v>2.42</v>
      </c>
      <c r="G1202" s="4">
        <v>1</v>
      </c>
      <c r="H1202" s="8">
        <v>1.59</v>
      </c>
      <c r="I1202" s="4">
        <v>0</v>
      </c>
    </row>
    <row r="1203" spans="1:9" x14ac:dyDescent="0.2">
      <c r="A1203" s="2">
        <v>13</v>
      </c>
      <c r="B1203" s="1" t="s">
        <v>181</v>
      </c>
      <c r="C1203" s="4">
        <v>4</v>
      </c>
      <c r="D1203" s="8">
        <v>2.0299999999999998</v>
      </c>
      <c r="E1203" s="4">
        <v>2</v>
      </c>
      <c r="F1203" s="8">
        <v>1.61</v>
      </c>
      <c r="G1203" s="4">
        <v>2</v>
      </c>
      <c r="H1203" s="8">
        <v>3.17</v>
      </c>
      <c r="I1203" s="4">
        <v>0</v>
      </c>
    </row>
    <row r="1204" spans="1:9" x14ac:dyDescent="0.2">
      <c r="A1204" s="2">
        <v>15</v>
      </c>
      <c r="B1204" s="1" t="s">
        <v>201</v>
      </c>
      <c r="C1204" s="4">
        <v>3</v>
      </c>
      <c r="D1204" s="8">
        <v>1.52</v>
      </c>
      <c r="E1204" s="4">
        <v>2</v>
      </c>
      <c r="F1204" s="8">
        <v>1.61</v>
      </c>
      <c r="G1204" s="4">
        <v>1</v>
      </c>
      <c r="H1204" s="8">
        <v>1.59</v>
      </c>
      <c r="I1204" s="4">
        <v>0</v>
      </c>
    </row>
    <row r="1205" spans="1:9" x14ac:dyDescent="0.2">
      <c r="A1205" s="2">
        <v>15</v>
      </c>
      <c r="B1205" s="1" t="s">
        <v>187</v>
      </c>
      <c r="C1205" s="4">
        <v>3</v>
      </c>
      <c r="D1205" s="8">
        <v>1.52</v>
      </c>
      <c r="E1205" s="4">
        <v>2</v>
      </c>
      <c r="F1205" s="8">
        <v>1.61</v>
      </c>
      <c r="G1205" s="4">
        <v>1</v>
      </c>
      <c r="H1205" s="8">
        <v>1.59</v>
      </c>
      <c r="I1205" s="4">
        <v>0</v>
      </c>
    </row>
    <row r="1206" spans="1:9" x14ac:dyDescent="0.2">
      <c r="A1206" s="2">
        <v>15</v>
      </c>
      <c r="B1206" s="1" t="s">
        <v>303</v>
      </c>
      <c r="C1206" s="4">
        <v>3</v>
      </c>
      <c r="D1206" s="8">
        <v>1.52</v>
      </c>
      <c r="E1206" s="4">
        <v>0</v>
      </c>
      <c r="F1206" s="8">
        <v>0</v>
      </c>
      <c r="G1206" s="4">
        <v>3</v>
      </c>
      <c r="H1206" s="8">
        <v>4.76</v>
      </c>
      <c r="I1206" s="4">
        <v>0</v>
      </c>
    </row>
    <row r="1207" spans="1:9" x14ac:dyDescent="0.2">
      <c r="A1207" s="2">
        <v>15</v>
      </c>
      <c r="B1207" s="1" t="s">
        <v>178</v>
      </c>
      <c r="C1207" s="4">
        <v>3</v>
      </c>
      <c r="D1207" s="8">
        <v>1.52</v>
      </c>
      <c r="E1207" s="4">
        <v>2</v>
      </c>
      <c r="F1207" s="8">
        <v>1.61</v>
      </c>
      <c r="G1207" s="4">
        <v>1</v>
      </c>
      <c r="H1207" s="8">
        <v>1.59</v>
      </c>
      <c r="I1207" s="4">
        <v>0</v>
      </c>
    </row>
    <row r="1208" spans="1:9" x14ac:dyDescent="0.2">
      <c r="A1208" s="2">
        <v>15</v>
      </c>
      <c r="B1208" s="1" t="s">
        <v>208</v>
      </c>
      <c r="C1208" s="4">
        <v>3</v>
      </c>
      <c r="D1208" s="8">
        <v>1.52</v>
      </c>
      <c r="E1208" s="4">
        <v>1</v>
      </c>
      <c r="F1208" s="8">
        <v>0.81</v>
      </c>
      <c r="G1208" s="4">
        <v>2</v>
      </c>
      <c r="H1208" s="8">
        <v>3.17</v>
      </c>
      <c r="I1208" s="4">
        <v>0</v>
      </c>
    </row>
    <row r="1209" spans="1:9" x14ac:dyDescent="0.2">
      <c r="A1209" s="2">
        <v>15</v>
      </c>
      <c r="B1209" s="1" t="s">
        <v>304</v>
      </c>
      <c r="C1209" s="4">
        <v>3</v>
      </c>
      <c r="D1209" s="8">
        <v>1.52</v>
      </c>
      <c r="E1209" s="4">
        <v>1</v>
      </c>
      <c r="F1209" s="8">
        <v>0.81</v>
      </c>
      <c r="G1209" s="4">
        <v>2</v>
      </c>
      <c r="H1209" s="8">
        <v>3.17</v>
      </c>
      <c r="I1209" s="4">
        <v>0</v>
      </c>
    </row>
    <row r="1210" spans="1:9" x14ac:dyDescent="0.2">
      <c r="A1210" s="2">
        <v>15</v>
      </c>
      <c r="B1210" s="1" t="s">
        <v>169</v>
      </c>
      <c r="C1210" s="4">
        <v>3</v>
      </c>
      <c r="D1210" s="8">
        <v>1.52</v>
      </c>
      <c r="E1210" s="4">
        <v>2</v>
      </c>
      <c r="F1210" s="8">
        <v>1.61</v>
      </c>
      <c r="G1210" s="4">
        <v>1</v>
      </c>
      <c r="H1210" s="8">
        <v>1.59</v>
      </c>
      <c r="I1210" s="4">
        <v>0</v>
      </c>
    </row>
    <row r="1211" spans="1:9" x14ac:dyDescent="0.2">
      <c r="A1211" s="2">
        <v>15</v>
      </c>
      <c r="B1211" s="1" t="s">
        <v>269</v>
      </c>
      <c r="C1211" s="4">
        <v>3</v>
      </c>
      <c r="D1211" s="8">
        <v>1.52</v>
      </c>
      <c r="E1211" s="4">
        <v>2</v>
      </c>
      <c r="F1211" s="8">
        <v>1.61</v>
      </c>
      <c r="G1211" s="4">
        <v>1</v>
      </c>
      <c r="H1211" s="8">
        <v>1.59</v>
      </c>
      <c r="I1211" s="4">
        <v>0</v>
      </c>
    </row>
    <row r="1212" spans="1:9" x14ac:dyDescent="0.2">
      <c r="A1212" s="2">
        <v>15</v>
      </c>
      <c r="B1212" s="1" t="s">
        <v>184</v>
      </c>
      <c r="C1212" s="4">
        <v>3</v>
      </c>
      <c r="D1212" s="8">
        <v>1.52</v>
      </c>
      <c r="E1212" s="4">
        <v>3</v>
      </c>
      <c r="F1212" s="8">
        <v>2.42</v>
      </c>
      <c r="G1212" s="4">
        <v>0</v>
      </c>
      <c r="H1212" s="8">
        <v>0</v>
      </c>
      <c r="I1212" s="4">
        <v>0</v>
      </c>
    </row>
    <row r="1213" spans="1:9" x14ac:dyDescent="0.2">
      <c r="A1213" s="1"/>
      <c r="C1213" s="4"/>
      <c r="D1213" s="8"/>
      <c r="E1213" s="4"/>
      <c r="F1213" s="8"/>
      <c r="G1213" s="4"/>
      <c r="H1213" s="8"/>
      <c r="I1213" s="4"/>
    </row>
    <row r="1214" spans="1:9" x14ac:dyDescent="0.2">
      <c r="A1214" s="1" t="s">
        <v>45</v>
      </c>
      <c r="C1214" s="4"/>
      <c r="D1214" s="8"/>
      <c r="E1214" s="4"/>
      <c r="F1214" s="8"/>
      <c r="G1214" s="4"/>
      <c r="H1214" s="8"/>
      <c r="I1214" s="4"/>
    </row>
    <row r="1215" spans="1:9" x14ac:dyDescent="0.2">
      <c r="A1215" s="2">
        <v>1</v>
      </c>
      <c r="B1215" s="1" t="s">
        <v>173</v>
      </c>
      <c r="C1215" s="4">
        <v>12</v>
      </c>
      <c r="D1215" s="8">
        <v>7.23</v>
      </c>
      <c r="E1215" s="4">
        <v>12</v>
      </c>
      <c r="F1215" s="8">
        <v>12.5</v>
      </c>
      <c r="G1215" s="4">
        <v>0</v>
      </c>
      <c r="H1215" s="8">
        <v>0</v>
      </c>
      <c r="I1215" s="4">
        <v>0</v>
      </c>
    </row>
    <row r="1216" spans="1:9" x14ac:dyDescent="0.2">
      <c r="A1216" s="2">
        <v>2</v>
      </c>
      <c r="B1216" s="1" t="s">
        <v>289</v>
      </c>
      <c r="C1216" s="4">
        <v>9</v>
      </c>
      <c r="D1216" s="8">
        <v>5.42</v>
      </c>
      <c r="E1216" s="4">
        <v>6</v>
      </c>
      <c r="F1216" s="8">
        <v>6.25</v>
      </c>
      <c r="G1216" s="4">
        <v>3</v>
      </c>
      <c r="H1216" s="8">
        <v>4.62</v>
      </c>
      <c r="I1216" s="4">
        <v>0</v>
      </c>
    </row>
    <row r="1217" spans="1:9" x14ac:dyDescent="0.2">
      <c r="A1217" s="2">
        <v>2</v>
      </c>
      <c r="B1217" s="1" t="s">
        <v>163</v>
      </c>
      <c r="C1217" s="4">
        <v>9</v>
      </c>
      <c r="D1217" s="8">
        <v>5.42</v>
      </c>
      <c r="E1217" s="4">
        <v>9</v>
      </c>
      <c r="F1217" s="8">
        <v>9.3800000000000008</v>
      </c>
      <c r="G1217" s="4">
        <v>0</v>
      </c>
      <c r="H1217" s="8">
        <v>0</v>
      </c>
      <c r="I1217" s="4">
        <v>0</v>
      </c>
    </row>
    <row r="1218" spans="1:9" x14ac:dyDescent="0.2">
      <c r="A1218" s="2">
        <v>4</v>
      </c>
      <c r="B1218" s="1" t="s">
        <v>160</v>
      </c>
      <c r="C1218" s="4">
        <v>7</v>
      </c>
      <c r="D1218" s="8">
        <v>4.22</v>
      </c>
      <c r="E1218" s="4">
        <v>4</v>
      </c>
      <c r="F1218" s="8">
        <v>4.17</v>
      </c>
      <c r="G1218" s="4">
        <v>3</v>
      </c>
      <c r="H1218" s="8">
        <v>4.62</v>
      </c>
      <c r="I1218" s="4">
        <v>0</v>
      </c>
    </row>
    <row r="1219" spans="1:9" x14ac:dyDescent="0.2">
      <c r="A1219" s="2">
        <v>4</v>
      </c>
      <c r="B1219" s="1" t="s">
        <v>177</v>
      </c>
      <c r="C1219" s="4">
        <v>7</v>
      </c>
      <c r="D1219" s="8">
        <v>4.22</v>
      </c>
      <c r="E1219" s="4">
        <v>3</v>
      </c>
      <c r="F1219" s="8">
        <v>3.13</v>
      </c>
      <c r="G1219" s="4">
        <v>4</v>
      </c>
      <c r="H1219" s="8">
        <v>6.15</v>
      </c>
      <c r="I1219" s="4">
        <v>0</v>
      </c>
    </row>
    <row r="1220" spans="1:9" x14ac:dyDescent="0.2">
      <c r="A1220" s="2">
        <v>6</v>
      </c>
      <c r="B1220" s="1" t="s">
        <v>158</v>
      </c>
      <c r="C1220" s="4">
        <v>6</v>
      </c>
      <c r="D1220" s="8">
        <v>3.61</v>
      </c>
      <c r="E1220" s="4">
        <v>0</v>
      </c>
      <c r="F1220" s="8">
        <v>0</v>
      </c>
      <c r="G1220" s="4">
        <v>6</v>
      </c>
      <c r="H1220" s="8">
        <v>9.23</v>
      </c>
      <c r="I1220" s="4">
        <v>0</v>
      </c>
    </row>
    <row r="1221" spans="1:9" x14ac:dyDescent="0.2">
      <c r="A1221" s="2">
        <v>6</v>
      </c>
      <c r="B1221" s="1" t="s">
        <v>185</v>
      </c>
      <c r="C1221" s="4">
        <v>6</v>
      </c>
      <c r="D1221" s="8">
        <v>3.61</v>
      </c>
      <c r="E1221" s="4">
        <v>2</v>
      </c>
      <c r="F1221" s="8">
        <v>2.08</v>
      </c>
      <c r="G1221" s="4">
        <v>4</v>
      </c>
      <c r="H1221" s="8">
        <v>6.15</v>
      </c>
      <c r="I1221" s="4">
        <v>0</v>
      </c>
    </row>
    <row r="1222" spans="1:9" x14ac:dyDescent="0.2">
      <c r="A1222" s="2">
        <v>6</v>
      </c>
      <c r="B1222" s="1" t="s">
        <v>181</v>
      </c>
      <c r="C1222" s="4">
        <v>6</v>
      </c>
      <c r="D1222" s="8">
        <v>3.61</v>
      </c>
      <c r="E1222" s="4">
        <v>5</v>
      </c>
      <c r="F1222" s="8">
        <v>5.21</v>
      </c>
      <c r="G1222" s="4">
        <v>1</v>
      </c>
      <c r="H1222" s="8">
        <v>1.54</v>
      </c>
      <c r="I1222" s="4">
        <v>0</v>
      </c>
    </row>
    <row r="1223" spans="1:9" x14ac:dyDescent="0.2">
      <c r="A1223" s="2">
        <v>6</v>
      </c>
      <c r="B1223" s="1" t="s">
        <v>174</v>
      </c>
      <c r="C1223" s="4">
        <v>6</v>
      </c>
      <c r="D1223" s="8">
        <v>3.61</v>
      </c>
      <c r="E1223" s="4">
        <v>6</v>
      </c>
      <c r="F1223" s="8">
        <v>6.25</v>
      </c>
      <c r="G1223" s="4">
        <v>0</v>
      </c>
      <c r="H1223" s="8">
        <v>0</v>
      </c>
      <c r="I1223" s="4">
        <v>0</v>
      </c>
    </row>
    <row r="1224" spans="1:9" x14ac:dyDescent="0.2">
      <c r="A1224" s="2">
        <v>10</v>
      </c>
      <c r="B1224" s="1" t="s">
        <v>201</v>
      </c>
      <c r="C1224" s="4">
        <v>4</v>
      </c>
      <c r="D1224" s="8">
        <v>2.41</v>
      </c>
      <c r="E1224" s="4">
        <v>4</v>
      </c>
      <c r="F1224" s="8">
        <v>4.17</v>
      </c>
      <c r="G1224" s="4">
        <v>0</v>
      </c>
      <c r="H1224" s="8">
        <v>0</v>
      </c>
      <c r="I1224" s="4">
        <v>0</v>
      </c>
    </row>
    <row r="1225" spans="1:9" x14ac:dyDescent="0.2">
      <c r="A1225" s="2">
        <v>10</v>
      </c>
      <c r="B1225" s="1" t="s">
        <v>191</v>
      </c>
      <c r="C1225" s="4">
        <v>4</v>
      </c>
      <c r="D1225" s="8">
        <v>2.41</v>
      </c>
      <c r="E1225" s="4">
        <v>4</v>
      </c>
      <c r="F1225" s="8">
        <v>4.17</v>
      </c>
      <c r="G1225" s="4">
        <v>0</v>
      </c>
      <c r="H1225" s="8">
        <v>0</v>
      </c>
      <c r="I1225" s="4">
        <v>0</v>
      </c>
    </row>
    <row r="1226" spans="1:9" x14ac:dyDescent="0.2">
      <c r="A1226" s="2">
        <v>12</v>
      </c>
      <c r="B1226" s="1" t="s">
        <v>159</v>
      </c>
      <c r="C1226" s="4">
        <v>3</v>
      </c>
      <c r="D1226" s="8">
        <v>1.81</v>
      </c>
      <c r="E1226" s="4">
        <v>1</v>
      </c>
      <c r="F1226" s="8">
        <v>1.04</v>
      </c>
      <c r="G1226" s="4">
        <v>2</v>
      </c>
      <c r="H1226" s="8">
        <v>3.08</v>
      </c>
      <c r="I1226" s="4">
        <v>0</v>
      </c>
    </row>
    <row r="1227" spans="1:9" x14ac:dyDescent="0.2">
      <c r="A1227" s="2">
        <v>12</v>
      </c>
      <c r="B1227" s="1" t="s">
        <v>162</v>
      </c>
      <c r="C1227" s="4">
        <v>3</v>
      </c>
      <c r="D1227" s="8">
        <v>1.81</v>
      </c>
      <c r="E1227" s="4">
        <v>3</v>
      </c>
      <c r="F1227" s="8">
        <v>3.13</v>
      </c>
      <c r="G1227" s="4">
        <v>0</v>
      </c>
      <c r="H1227" s="8">
        <v>0</v>
      </c>
      <c r="I1227" s="4">
        <v>0</v>
      </c>
    </row>
    <row r="1228" spans="1:9" x14ac:dyDescent="0.2">
      <c r="A1228" s="2">
        <v>12</v>
      </c>
      <c r="B1228" s="1" t="s">
        <v>178</v>
      </c>
      <c r="C1228" s="4">
        <v>3</v>
      </c>
      <c r="D1228" s="8">
        <v>1.81</v>
      </c>
      <c r="E1228" s="4">
        <v>3</v>
      </c>
      <c r="F1228" s="8">
        <v>3.13</v>
      </c>
      <c r="G1228" s="4">
        <v>0</v>
      </c>
      <c r="H1228" s="8">
        <v>0</v>
      </c>
      <c r="I1228" s="4">
        <v>0</v>
      </c>
    </row>
    <row r="1229" spans="1:9" x14ac:dyDescent="0.2">
      <c r="A1229" s="2">
        <v>12</v>
      </c>
      <c r="B1229" s="1" t="s">
        <v>282</v>
      </c>
      <c r="C1229" s="4">
        <v>3</v>
      </c>
      <c r="D1229" s="8">
        <v>1.81</v>
      </c>
      <c r="E1229" s="4">
        <v>2</v>
      </c>
      <c r="F1229" s="8">
        <v>2.08</v>
      </c>
      <c r="G1229" s="4">
        <v>1</v>
      </c>
      <c r="H1229" s="8">
        <v>1.54</v>
      </c>
      <c r="I1229" s="4">
        <v>0</v>
      </c>
    </row>
    <row r="1230" spans="1:9" x14ac:dyDescent="0.2">
      <c r="A1230" s="2">
        <v>16</v>
      </c>
      <c r="B1230" s="1" t="s">
        <v>305</v>
      </c>
      <c r="C1230" s="4">
        <v>2</v>
      </c>
      <c r="D1230" s="8">
        <v>1.2</v>
      </c>
      <c r="E1230" s="4">
        <v>0</v>
      </c>
      <c r="F1230" s="8">
        <v>0</v>
      </c>
      <c r="G1230" s="4">
        <v>2</v>
      </c>
      <c r="H1230" s="8">
        <v>3.08</v>
      </c>
      <c r="I1230" s="4">
        <v>0</v>
      </c>
    </row>
    <row r="1231" spans="1:9" x14ac:dyDescent="0.2">
      <c r="A1231" s="2">
        <v>16</v>
      </c>
      <c r="B1231" s="1" t="s">
        <v>194</v>
      </c>
      <c r="C1231" s="4">
        <v>2</v>
      </c>
      <c r="D1231" s="8">
        <v>1.2</v>
      </c>
      <c r="E1231" s="4">
        <v>1</v>
      </c>
      <c r="F1231" s="8">
        <v>1.04</v>
      </c>
      <c r="G1231" s="4">
        <v>1</v>
      </c>
      <c r="H1231" s="8">
        <v>1.54</v>
      </c>
      <c r="I1231" s="4">
        <v>0</v>
      </c>
    </row>
    <row r="1232" spans="1:9" x14ac:dyDescent="0.2">
      <c r="A1232" s="2">
        <v>16</v>
      </c>
      <c r="B1232" s="1" t="s">
        <v>196</v>
      </c>
      <c r="C1232" s="4">
        <v>2</v>
      </c>
      <c r="D1232" s="8">
        <v>1.2</v>
      </c>
      <c r="E1232" s="4">
        <v>0</v>
      </c>
      <c r="F1232" s="8">
        <v>0</v>
      </c>
      <c r="G1232" s="4">
        <v>2</v>
      </c>
      <c r="H1232" s="8">
        <v>3.08</v>
      </c>
      <c r="I1232" s="4">
        <v>0</v>
      </c>
    </row>
    <row r="1233" spans="1:9" x14ac:dyDescent="0.2">
      <c r="A1233" s="2">
        <v>16</v>
      </c>
      <c r="B1233" s="1" t="s">
        <v>202</v>
      </c>
      <c r="C1233" s="4">
        <v>2</v>
      </c>
      <c r="D1233" s="8">
        <v>1.2</v>
      </c>
      <c r="E1233" s="4">
        <v>1</v>
      </c>
      <c r="F1233" s="8">
        <v>1.04</v>
      </c>
      <c r="G1233" s="4">
        <v>1</v>
      </c>
      <c r="H1233" s="8">
        <v>1.54</v>
      </c>
      <c r="I1233" s="4">
        <v>0</v>
      </c>
    </row>
    <row r="1234" spans="1:9" x14ac:dyDescent="0.2">
      <c r="A1234" s="2">
        <v>16</v>
      </c>
      <c r="B1234" s="1" t="s">
        <v>195</v>
      </c>
      <c r="C1234" s="4">
        <v>2</v>
      </c>
      <c r="D1234" s="8">
        <v>1.2</v>
      </c>
      <c r="E1234" s="4">
        <v>2</v>
      </c>
      <c r="F1234" s="8">
        <v>2.08</v>
      </c>
      <c r="G1234" s="4">
        <v>0</v>
      </c>
      <c r="H1234" s="8">
        <v>0</v>
      </c>
      <c r="I1234" s="4">
        <v>0</v>
      </c>
    </row>
    <row r="1235" spans="1:9" x14ac:dyDescent="0.2">
      <c r="A1235" s="2">
        <v>16</v>
      </c>
      <c r="B1235" s="1" t="s">
        <v>187</v>
      </c>
      <c r="C1235" s="4">
        <v>2</v>
      </c>
      <c r="D1235" s="8">
        <v>1.2</v>
      </c>
      <c r="E1235" s="4">
        <v>0</v>
      </c>
      <c r="F1235" s="8">
        <v>0</v>
      </c>
      <c r="G1235" s="4">
        <v>2</v>
      </c>
      <c r="H1235" s="8">
        <v>3.08</v>
      </c>
      <c r="I1235" s="4">
        <v>0</v>
      </c>
    </row>
    <row r="1236" spans="1:9" x14ac:dyDescent="0.2">
      <c r="A1236" s="2">
        <v>16</v>
      </c>
      <c r="B1236" s="1" t="s">
        <v>161</v>
      </c>
      <c r="C1236" s="4">
        <v>2</v>
      </c>
      <c r="D1236" s="8">
        <v>1.2</v>
      </c>
      <c r="E1236" s="4">
        <v>0</v>
      </c>
      <c r="F1236" s="8">
        <v>0</v>
      </c>
      <c r="G1236" s="4">
        <v>2</v>
      </c>
      <c r="H1236" s="8">
        <v>3.08</v>
      </c>
      <c r="I1236" s="4">
        <v>0</v>
      </c>
    </row>
    <row r="1237" spans="1:9" x14ac:dyDescent="0.2">
      <c r="A1237" s="2">
        <v>16</v>
      </c>
      <c r="B1237" s="1" t="s">
        <v>306</v>
      </c>
      <c r="C1237" s="4">
        <v>2</v>
      </c>
      <c r="D1237" s="8">
        <v>1.2</v>
      </c>
      <c r="E1237" s="4">
        <v>0</v>
      </c>
      <c r="F1237" s="8">
        <v>0</v>
      </c>
      <c r="G1237" s="4">
        <v>2</v>
      </c>
      <c r="H1237" s="8">
        <v>3.08</v>
      </c>
      <c r="I1237" s="4">
        <v>0</v>
      </c>
    </row>
    <row r="1238" spans="1:9" x14ac:dyDescent="0.2">
      <c r="A1238" s="2">
        <v>16</v>
      </c>
      <c r="B1238" s="1" t="s">
        <v>242</v>
      </c>
      <c r="C1238" s="4">
        <v>2</v>
      </c>
      <c r="D1238" s="8">
        <v>1.2</v>
      </c>
      <c r="E1238" s="4">
        <v>1</v>
      </c>
      <c r="F1238" s="8">
        <v>1.04</v>
      </c>
      <c r="G1238" s="4">
        <v>1</v>
      </c>
      <c r="H1238" s="8">
        <v>1.54</v>
      </c>
      <c r="I1238" s="4">
        <v>0</v>
      </c>
    </row>
    <row r="1239" spans="1:9" x14ac:dyDescent="0.2">
      <c r="A1239" s="2">
        <v>16</v>
      </c>
      <c r="B1239" s="1" t="s">
        <v>209</v>
      </c>
      <c r="C1239" s="4">
        <v>2</v>
      </c>
      <c r="D1239" s="8">
        <v>1.2</v>
      </c>
      <c r="E1239" s="4">
        <v>0</v>
      </c>
      <c r="F1239" s="8">
        <v>0</v>
      </c>
      <c r="G1239" s="4">
        <v>2</v>
      </c>
      <c r="H1239" s="8">
        <v>3.08</v>
      </c>
      <c r="I1239" s="4">
        <v>0</v>
      </c>
    </row>
    <row r="1240" spans="1:9" x14ac:dyDescent="0.2">
      <c r="A1240" s="2">
        <v>16</v>
      </c>
      <c r="B1240" s="1" t="s">
        <v>297</v>
      </c>
      <c r="C1240" s="4">
        <v>2</v>
      </c>
      <c r="D1240" s="8">
        <v>1.2</v>
      </c>
      <c r="E1240" s="4">
        <v>0</v>
      </c>
      <c r="F1240" s="8">
        <v>0</v>
      </c>
      <c r="G1240" s="4">
        <v>0</v>
      </c>
      <c r="H1240" s="8">
        <v>0</v>
      </c>
      <c r="I1240" s="4">
        <v>0</v>
      </c>
    </row>
    <row r="1241" spans="1:9" x14ac:dyDescent="0.2">
      <c r="A1241" s="2">
        <v>16</v>
      </c>
      <c r="B1241" s="1" t="s">
        <v>207</v>
      </c>
      <c r="C1241" s="4">
        <v>2</v>
      </c>
      <c r="D1241" s="8">
        <v>1.2</v>
      </c>
      <c r="E1241" s="4">
        <v>2</v>
      </c>
      <c r="F1241" s="8">
        <v>2.08</v>
      </c>
      <c r="G1241" s="4">
        <v>0</v>
      </c>
      <c r="H1241" s="8">
        <v>0</v>
      </c>
      <c r="I1241" s="4">
        <v>0</v>
      </c>
    </row>
    <row r="1242" spans="1:9" x14ac:dyDescent="0.2">
      <c r="A1242" s="2">
        <v>16</v>
      </c>
      <c r="B1242" s="1" t="s">
        <v>170</v>
      </c>
      <c r="C1242" s="4">
        <v>2</v>
      </c>
      <c r="D1242" s="8">
        <v>1.2</v>
      </c>
      <c r="E1242" s="4">
        <v>2</v>
      </c>
      <c r="F1242" s="8">
        <v>2.08</v>
      </c>
      <c r="G1242" s="4">
        <v>0</v>
      </c>
      <c r="H1242" s="8">
        <v>0</v>
      </c>
      <c r="I1242" s="4">
        <v>0</v>
      </c>
    </row>
    <row r="1243" spans="1:9" x14ac:dyDescent="0.2">
      <c r="A1243" s="2">
        <v>16</v>
      </c>
      <c r="B1243" s="1" t="s">
        <v>171</v>
      </c>
      <c r="C1243" s="4">
        <v>2</v>
      </c>
      <c r="D1243" s="8">
        <v>1.2</v>
      </c>
      <c r="E1243" s="4">
        <v>2</v>
      </c>
      <c r="F1243" s="8">
        <v>2.08</v>
      </c>
      <c r="G1243" s="4">
        <v>0</v>
      </c>
      <c r="H1243" s="8">
        <v>0</v>
      </c>
      <c r="I1243" s="4">
        <v>0</v>
      </c>
    </row>
    <row r="1244" spans="1:9" x14ac:dyDescent="0.2">
      <c r="A1244" s="2">
        <v>16</v>
      </c>
      <c r="B1244" s="1" t="s">
        <v>186</v>
      </c>
      <c r="C1244" s="4">
        <v>2</v>
      </c>
      <c r="D1244" s="8">
        <v>1.2</v>
      </c>
      <c r="E1244" s="4">
        <v>0</v>
      </c>
      <c r="F1244" s="8">
        <v>0</v>
      </c>
      <c r="G1244" s="4">
        <v>1</v>
      </c>
      <c r="H1244" s="8">
        <v>1.54</v>
      </c>
      <c r="I1244" s="4">
        <v>0</v>
      </c>
    </row>
    <row r="1245" spans="1:9" x14ac:dyDescent="0.2">
      <c r="A1245" s="2">
        <v>16</v>
      </c>
      <c r="B1245" s="1" t="s">
        <v>286</v>
      </c>
      <c r="C1245" s="4">
        <v>2</v>
      </c>
      <c r="D1245" s="8">
        <v>1.2</v>
      </c>
      <c r="E1245" s="4">
        <v>2</v>
      </c>
      <c r="F1245" s="8">
        <v>2.08</v>
      </c>
      <c r="G1245" s="4">
        <v>0</v>
      </c>
      <c r="H1245" s="8">
        <v>0</v>
      </c>
      <c r="I1245" s="4">
        <v>0</v>
      </c>
    </row>
    <row r="1246" spans="1:9" x14ac:dyDescent="0.2">
      <c r="A1246" s="1"/>
      <c r="C1246" s="4"/>
      <c r="D1246" s="8"/>
      <c r="E1246" s="4"/>
      <c r="F1246" s="8"/>
      <c r="G1246" s="4"/>
      <c r="H1246" s="8"/>
      <c r="I1246" s="4"/>
    </row>
    <row r="1247" spans="1:9" x14ac:dyDescent="0.2">
      <c r="A1247" s="1" t="s">
        <v>46</v>
      </c>
      <c r="C1247" s="4"/>
      <c r="D1247" s="8"/>
      <c r="E1247" s="4"/>
      <c r="F1247" s="8"/>
      <c r="G1247" s="4"/>
      <c r="H1247" s="8"/>
      <c r="I1247" s="4"/>
    </row>
    <row r="1248" spans="1:9" x14ac:dyDescent="0.2">
      <c r="A1248" s="2">
        <v>1</v>
      </c>
      <c r="B1248" s="1" t="s">
        <v>173</v>
      </c>
      <c r="C1248" s="4">
        <v>13</v>
      </c>
      <c r="D1248" s="8">
        <v>6.77</v>
      </c>
      <c r="E1248" s="4">
        <v>13</v>
      </c>
      <c r="F1248" s="8">
        <v>9.2899999999999991</v>
      </c>
      <c r="G1248" s="4">
        <v>0</v>
      </c>
      <c r="H1248" s="8">
        <v>0</v>
      </c>
      <c r="I1248" s="4">
        <v>0</v>
      </c>
    </row>
    <row r="1249" spans="1:9" x14ac:dyDescent="0.2">
      <c r="A1249" s="2">
        <v>2</v>
      </c>
      <c r="B1249" s="1" t="s">
        <v>174</v>
      </c>
      <c r="C1249" s="4">
        <v>10</v>
      </c>
      <c r="D1249" s="8">
        <v>5.21</v>
      </c>
      <c r="E1249" s="4">
        <v>10</v>
      </c>
      <c r="F1249" s="8">
        <v>7.14</v>
      </c>
      <c r="G1249" s="4">
        <v>0</v>
      </c>
      <c r="H1249" s="8">
        <v>0</v>
      </c>
      <c r="I1249" s="4">
        <v>0</v>
      </c>
    </row>
    <row r="1250" spans="1:9" x14ac:dyDescent="0.2">
      <c r="A1250" s="2">
        <v>3</v>
      </c>
      <c r="B1250" s="1" t="s">
        <v>160</v>
      </c>
      <c r="C1250" s="4">
        <v>9</v>
      </c>
      <c r="D1250" s="8">
        <v>4.6900000000000004</v>
      </c>
      <c r="E1250" s="4">
        <v>9</v>
      </c>
      <c r="F1250" s="8">
        <v>6.43</v>
      </c>
      <c r="G1250" s="4">
        <v>0</v>
      </c>
      <c r="H1250" s="8">
        <v>0</v>
      </c>
      <c r="I1250" s="4">
        <v>0</v>
      </c>
    </row>
    <row r="1251" spans="1:9" x14ac:dyDescent="0.2">
      <c r="A1251" s="2">
        <v>4</v>
      </c>
      <c r="B1251" s="1" t="s">
        <v>289</v>
      </c>
      <c r="C1251" s="4">
        <v>7</v>
      </c>
      <c r="D1251" s="8">
        <v>3.65</v>
      </c>
      <c r="E1251" s="4">
        <v>4</v>
      </c>
      <c r="F1251" s="8">
        <v>2.86</v>
      </c>
      <c r="G1251" s="4">
        <v>3</v>
      </c>
      <c r="H1251" s="8">
        <v>6.12</v>
      </c>
      <c r="I1251" s="4">
        <v>0</v>
      </c>
    </row>
    <row r="1252" spans="1:9" x14ac:dyDescent="0.2">
      <c r="A1252" s="2">
        <v>4</v>
      </c>
      <c r="B1252" s="1" t="s">
        <v>170</v>
      </c>
      <c r="C1252" s="4">
        <v>7</v>
      </c>
      <c r="D1252" s="8">
        <v>3.65</v>
      </c>
      <c r="E1252" s="4">
        <v>5</v>
      </c>
      <c r="F1252" s="8">
        <v>3.57</v>
      </c>
      <c r="G1252" s="4">
        <v>2</v>
      </c>
      <c r="H1252" s="8">
        <v>4.08</v>
      </c>
      <c r="I1252" s="4">
        <v>0</v>
      </c>
    </row>
    <row r="1253" spans="1:9" x14ac:dyDescent="0.2">
      <c r="A1253" s="2">
        <v>6</v>
      </c>
      <c r="B1253" s="1" t="s">
        <v>158</v>
      </c>
      <c r="C1253" s="4">
        <v>6</v>
      </c>
      <c r="D1253" s="8">
        <v>3.13</v>
      </c>
      <c r="E1253" s="4">
        <v>1</v>
      </c>
      <c r="F1253" s="8">
        <v>0.71</v>
      </c>
      <c r="G1253" s="4">
        <v>5</v>
      </c>
      <c r="H1253" s="8">
        <v>10.199999999999999</v>
      </c>
      <c r="I1253" s="4">
        <v>0</v>
      </c>
    </row>
    <row r="1254" spans="1:9" x14ac:dyDescent="0.2">
      <c r="A1254" s="2">
        <v>6</v>
      </c>
      <c r="B1254" s="1" t="s">
        <v>168</v>
      </c>
      <c r="C1254" s="4">
        <v>6</v>
      </c>
      <c r="D1254" s="8">
        <v>3.13</v>
      </c>
      <c r="E1254" s="4">
        <v>5</v>
      </c>
      <c r="F1254" s="8">
        <v>3.57</v>
      </c>
      <c r="G1254" s="4">
        <v>1</v>
      </c>
      <c r="H1254" s="8">
        <v>2.04</v>
      </c>
      <c r="I1254" s="4">
        <v>0</v>
      </c>
    </row>
    <row r="1255" spans="1:9" x14ac:dyDescent="0.2">
      <c r="A1255" s="2">
        <v>8</v>
      </c>
      <c r="B1255" s="1" t="s">
        <v>191</v>
      </c>
      <c r="C1255" s="4">
        <v>5</v>
      </c>
      <c r="D1255" s="8">
        <v>2.6</v>
      </c>
      <c r="E1255" s="4">
        <v>5</v>
      </c>
      <c r="F1255" s="8">
        <v>3.57</v>
      </c>
      <c r="G1255" s="4">
        <v>0</v>
      </c>
      <c r="H1255" s="8">
        <v>0</v>
      </c>
      <c r="I1255" s="4">
        <v>0</v>
      </c>
    </row>
    <row r="1256" spans="1:9" x14ac:dyDescent="0.2">
      <c r="A1256" s="2">
        <v>9</v>
      </c>
      <c r="B1256" s="1" t="s">
        <v>194</v>
      </c>
      <c r="C1256" s="4">
        <v>4</v>
      </c>
      <c r="D1256" s="8">
        <v>2.08</v>
      </c>
      <c r="E1256" s="4">
        <v>3</v>
      </c>
      <c r="F1256" s="8">
        <v>2.14</v>
      </c>
      <c r="G1256" s="4">
        <v>1</v>
      </c>
      <c r="H1256" s="8">
        <v>2.04</v>
      </c>
      <c r="I1256" s="4">
        <v>0</v>
      </c>
    </row>
    <row r="1257" spans="1:9" x14ac:dyDescent="0.2">
      <c r="A1257" s="2">
        <v>9</v>
      </c>
      <c r="B1257" s="1" t="s">
        <v>202</v>
      </c>
      <c r="C1257" s="4">
        <v>4</v>
      </c>
      <c r="D1257" s="8">
        <v>2.08</v>
      </c>
      <c r="E1257" s="4">
        <v>4</v>
      </c>
      <c r="F1257" s="8">
        <v>2.86</v>
      </c>
      <c r="G1257" s="4">
        <v>0</v>
      </c>
      <c r="H1257" s="8">
        <v>0</v>
      </c>
      <c r="I1257" s="4">
        <v>0</v>
      </c>
    </row>
    <row r="1258" spans="1:9" x14ac:dyDescent="0.2">
      <c r="A1258" s="2">
        <v>9</v>
      </c>
      <c r="B1258" s="1" t="s">
        <v>193</v>
      </c>
      <c r="C1258" s="4">
        <v>4</v>
      </c>
      <c r="D1258" s="8">
        <v>2.08</v>
      </c>
      <c r="E1258" s="4">
        <v>4</v>
      </c>
      <c r="F1258" s="8">
        <v>2.86</v>
      </c>
      <c r="G1258" s="4">
        <v>0</v>
      </c>
      <c r="H1258" s="8">
        <v>0</v>
      </c>
      <c r="I1258" s="4">
        <v>0</v>
      </c>
    </row>
    <row r="1259" spans="1:9" x14ac:dyDescent="0.2">
      <c r="A1259" s="2">
        <v>9</v>
      </c>
      <c r="B1259" s="1" t="s">
        <v>176</v>
      </c>
      <c r="C1259" s="4">
        <v>4</v>
      </c>
      <c r="D1259" s="8">
        <v>2.08</v>
      </c>
      <c r="E1259" s="4">
        <v>4</v>
      </c>
      <c r="F1259" s="8">
        <v>2.86</v>
      </c>
      <c r="G1259" s="4">
        <v>0</v>
      </c>
      <c r="H1259" s="8">
        <v>0</v>
      </c>
      <c r="I1259" s="4">
        <v>0</v>
      </c>
    </row>
    <row r="1260" spans="1:9" x14ac:dyDescent="0.2">
      <c r="A1260" s="2">
        <v>13</v>
      </c>
      <c r="B1260" s="1" t="s">
        <v>196</v>
      </c>
      <c r="C1260" s="4">
        <v>3</v>
      </c>
      <c r="D1260" s="8">
        <v>1.56</v>
      </c>
      <c r="E1260" s="4">
        <v>1</v>
      </c>
      <c r="F1260" s="8">
        <v>0.71</v>
      </c>
      <c r="G1260" s="4">
        <v>2</v>
      </c>
      <c r="H1260" s="8">
        <v>4.08</v>
      </c>
      <c r="I1260" s="4">
        <v>0</v>
      </c>
    </row>
    <row r="1261" spans="1:9" x14ac:dyDescent="0.2">
      <c r="A1261" s="2">
        <v>13</v>
      </c>
      <c r="B1261" s="1" t="s">
        <v>195</v>
      </c>
      <c r="C1261" s="4">
        <v>3</v>
      </c>
      <c r="D1261" s="8">
        <v>1.56</v>
      </c>
      <c r="E1261" s="4">
        <v>3</v>
      </c>
      <c r="F1261" s="8">
        <v>2.14</v>
      </c>
      <c r="G1261" s="4">
        <v>0</v>
      </c>
      <c r="H1261" s="8">
        <v>0</v>
      </c>
      <c r="I1261" s="4">
        <v>0</v>
      </c>
    </row>
    <row r="1262" spans="1:9" x14ac:dyDescent="0.2">
      <c r="A1262" s="2">
        <v>13</v>
      </c>
      <c r="B1262" s="1" t="s">
        <v>162</v>
      </c>
      <c r="C1262" s="4">
        <v>3</v>
      </c>
      <c r="D1262" s="8">
        <v>1.56</v>
      </c>
      <c r="E1262" s="4">
        <v>1</v>
      </c>
      <c r="F1262" s="8">
        <v>0.71</v>
      </c>
      <c r="G1262" s="4">
        <v>2</v>
      </c>
      <c r="H1262" s="8">
        <v>4.08</v>
      </c>
      <c r="I1262" s="4">
        <v>0</v>
      </c>
    </row>
    <row r="1263" spans="1:9" x14ac:dyDescent="0.2">
      <c r="A1263" s="2">
        <v>13</v>
      </c>
      <c r="B1263" s="1" t="s">
        <v>284</v>
      </c>
      <c r="C1263" s="4">
        <v>3</v>
      </c>
      <c r="D1263" s="8">
        <v>1.56</v>
      </c>
      <c r="E1263" s="4">
        <v>0</v>
      </c>
      <c r="F1263" s="8">
        <v>0</v>
      </c>
      <c r="G1263" s="4">
        <v>3</v>
      </c>
      <c r="H1263" s="8">
        <v>6.12</v>
      </c>
      <c r="I1263" s="4">
        <v>0</v>
      </c>
    </row>
    <row r="1264" spans="1:9" x14ac:dyDescent="0.2">
      <c r="A1264" s="2">
        <v>13</v>
      </c>
      <c r="B1264" s="1" t="s">
        <v>212</v>
      </c>
      <c r="C1264" s="4">
        <v>3</v>
      </c>
      <c r="D1264" s="8">
        <v>1.56</v>
      </c>
      <c r="E1264" s="4">
        <v>2</v>
      </c>
      <c r="F1264" s="8">
        <v>1.43</v>
      </c>
      <c r="G1264" s="4">
        <v>1</v>
      </c>
      <c r="H1264" s="8">
        <v>2.04</v>
      </c>
      <c r="I1264" s="4">
        <v>0</v>
      </c>
    </row>
    <row r="1265" spans="1:9" x14ac:dyDescent="0.2">
      <c r="A1265" s="2">
        <v>13</v>
      </c>
      <c r="B1265" s="1" t="s">
        <v>165</v>
      </c>
      <c r="C1265" s="4">
        <v>3</v>
      </c>
      <c r="D1265" s="8">
        <v>1.56</v>
      </c>
      <c r="E1265" s="4">
        <v>1</v>
      </c>
      <c r="F1265" s="8">
        <v>0.71</v>
      </c>
      <c r="G1265" s="4">
        <v>2</v>
      </c>
      <c r="H1265" s="8">
        <v>4.08</v>
      </c>
      <c r="I1265" s="4">
        <v>0</v>
      </c>
    </row>
    <row r="1266" spans="1:9" x14ac:dyDescent="0.2">
      <c r="A1266" s="2">
        <v>13</v>
      </c>
      <c r="B1266" s="1" t="s">
        <v>166</v>
      </c>
      <c r="C1266" s="4">
        <v>3</v>
      </c>
      <c r="D1266" s="8">
        <v>1.56</v>
      </c>
      <c r="E1266" s="4">
        <v>3</v>
      </c>
      <c r="F1266" s="8">
        <v>2.14</v>
      </c>
      <c r="G1266" s="4">
        <v>0</v>
      </c>
      <c r="H1266" s="8">
        <v>0</v>
      </c>
      <c r="I1266" s="4">
        <v>0</v>
      </c>
    </row>
    <row r="1267" spans="1:9" x14ac:dyDescent="0.2">
      <c r="A1267" s="2">
        <v>13</v>
      </c>
      <c r="B1267" s="1" t="s">
        <v>169</v>
      </c>
      <c r="C1267" s="4">
        <v>3</v>
      </c>
      <c r="D1267" s="8">
        <v>1.56</v>
      </c>
      <c r="E1267" s="4">
        <v>2</v>
      </c>
      <c r="F1267" s="8">
        <v>1.43</v>
      </c>
      <c r="G1267" s="4">
        <v>1</v>
      </c>
      <c r="H1267" s="8">
        <v>2.04</v>
      </c>
      <c r="I1267" s="4">
        <v>0</v>
      </c>
    </row>
    <row r="1268" spans="1:9" x14ac:dyDescent="0.2">
      <c r="A1268" s="2">
        <v>13</v>
      </c>
      <c r="B1268" s="1" t="s">
        <v>181</v>
      </c>
      <c r="C1268" s="4">
        <v>3</v>
      </c>
      <c r="D1268" s="8">
        <v>1.56</v>
      </c>
      <c r="E1268" s="4">
        <v>3</v>
      </c>
      <c r="F1268" s="8">
        <v>2.14</v>
      </c>
      <c r="G1268" s="4">
        <v>0</v>
      </c>
      <c r="H1268" s="8">
        <v>0</v>
      </c>
      <c r="I1268" s="4">
        <v>0</v>
      </c>
    </row>
    <row r="1269" spans="1:9" x14ac:dyDescent="0.2">
      <c r="A1269" s="2">
        <v>13</v>
      </c>
      <c r="B1269" s="1" t="s">
        <v>172</v>
      </c>
      <c r="C1269" s="4">
        <v>3</v>
      </c>
      <c r="D1269" s="8">
        <v>1.56</v>
      </c>
      <c r="E1269" s="4">
        <v>3</v>
      </c>
      <c r="F1269" s="8">
        <v>2.14</v>
      </c>
      <c r="G1269" s="4">
        <v>0</v>
      </c>
      <c r="H1269" s="8">
        <v>0</v>
      </c>
      <c r="I1269" s="4">
        <v>0</v>
      </c>
    </row>
    <row r="1270" spans="1:9" x14ac:dyDescent="0.2">
      <c r="A1270" s="2">
        <v>13</v>
      </c>
      <c r="B1270" s="1" t="s">
        <v>175</v>
      </c>
      <c r="C1270" s="4">
        <v>3</v>
      </c>
      <c r="D1270" s="8">
        <v>1.56</v>
      </c>
      <c r="E1270" s="4">
        <v>3</v>
      </c>
      <c r="F1270" s="8">
        <v>2.14</v>
      </c>
      <c r="G1270" s="4">
        <v>0</v>
      </c>
      <c r="H1270" s="8">
        <v>0</v>
      </c>
      <c r="I1270" s="4">
        <v>0</v>
      </c>
    </row>
    <row r="1271" spans="1:9" x14ac:dyDescent="0.2">
      <c r="A1271" s="2">
        <v>13</v>
      </c>
      <c r="B1271" s="1" t="s">
        <v>200</v>
      </c>
      <c r="C1271" s="4">
        <v>3</v>
      </c>
      <c r="D1271" s="8">
        <v>1.56</v>
      </c>
      <c r="E1271" s="4">
        <v>0</v>
      </c>
      <c r="F1271" s="8">
        <v>0</v>
      </c>
      <c r="G1271" s="4">
        <v>2</v>
      </c>
      <c r="H1271" s="8">
        <v>4.08</v>
      </c>
      <c r="I1271" s="4">
        <v>0</v>
      </c>
    </row>
    <row r="1272" spans="1:9" x14ac:dyDescent="0.2">
      <c r="A1272" s="2">
        <v>13</v>
      </c>
      <c r="B1272" s="1" t="s">
        <v>177</v>
      </c>
      <c r="C1272" s="4">
        <v>3</v>
      </c>
      <c r="D1272" s="8">
        <v>1.56</v>
      </c>
      <c r="E1272" s="4">
        <v>3</v>
      </c>
      <c r="F1272" s="8">
        <v>2.14</v>
      </c>
      <c r="G1272" s="4">
        <v>0</v>
      </c>
      <c r="H1272" s="8">
        <v>0</v>
      </c>
      <c r="I1272" s="4">
        <v>0</v>
      </c>
    </row>
    <row r="1273" spans="1:9" x14ac:dyDescent="0.2">
      <c r="A1273" s="1"/>
      <c r="C1273" s="4"/>
      <c r="D1273" s="8"/>
      <c r="E1273" s="4"/>
      <c r="F1273" s="8"/>
      <c r="G1273" s="4"/>
      <c r="H1273" s="8"/>
      <c r="I1273" s="4"/>
    </row>
    <row r="1274" spans="1:9" x14ac:dyDescent="0.2">
      <c r="A1274" s="1" t="s">
        <v>47</v>
      </c>
      <c r="C1274" s="4"/>
      <c r="D1274" s="8"/>
      <c r="E1274" s="4"/>
      <c r="F1274" s="8"/>
      <c r="G1274" s="4"/>
      <c r="H1274" s="8"/>
      <c r="I1274" s="4"/>
    </row>
    <row r="1275" spans="1:9" x14ac:dyDescent="0.2">
      <c r="A1275" s="2">
        <v>1</v>
      </c>
      <c r="B1275" s="1" t="s">
        <v>158</v>
      </c>
      <c r="C1275" s="4">
        <v>11</v>
      </c>
      <c r="D1275" s="8">
        <v>6.21</v>
      </c>
      <c r="E1275" s="4">
        <v>4</v>
      </c>
      <c r="F1275" s="8">
        <v>3.01</v>
      </c>
      <c r="G1275" s="4">
        <v>7</v>
      </c>
      <c r="H1275" s="8">
        <v>15.91</v>
      </c>
      <c r="I1275" s="4">
        <v>0</v>
      </c>
    </row>
    <row r="1276" spans="1:9" x14ac:dyDescent="0.2">
      <c r="A1276" s="2">
        <v>1</v>
      </c>
      <c r="B1276" s="1" t="s">
        <v>174</v>
      </c>
      <c r="C1276" s="4">
        <v>11</v>
      </c>
      <c r="D1276" s="8">
        <v>6.21</v>
      </c>
      <c r="E1276" s="4">
        <v>11</v>
      </c>
      <c r="F1276" s="8">
        <v>8.27</v>
      </c>
      <c r="G1276" s="4">
        <v>0</v>
      </c>
      <c r="H1276" s="8">
        <v>0</v>
      </c>
      <c r="I1276" s="4">
        <v>0</v>
      </c>
    </row>
    <row r="1277" spans="1:9" x14ac:dyDescent="0.2">
      <c r="A1277" s="2">
        <v>3</v>
      </c>
      <c r="B1277" s="1" t="s">
        <v>160</v>
      </c>
      <c r="C1277" s="4">
        <v>9</v>
      </c>
      <c r="D1277" s="8">
        <v>5.08</v>
      </c>
      <c r="E1277" s="4">
        <v>6</v>
      </c>
      <c r="F1277" s="8">
        <v>4.51</v>
      </c>
      <c r="G1277" s="4">
        <v>3</v>
      </c>
      <c r="H1277" s="8">
        <v>6.82</v>
      </c>
      <c r="I1277" s="4">
        <v>0</v>
      </c>
    </row>
    <row r="1278" spans="1:9" x14ac:dyDescent="0.2">
      <c r="A1278" s="2">
        <v>4</v>
      </c>
      <c r="B1278" s="1" t="s">
        <v>173</v>
      </c>
      <c r="C1278" s="4">
        <v>8</v>
      </c>
      <c r="D1278" s="8">
        <v>4.5199999999999996</v>
      </c>
      <c r="E1278" s="4">
        <v>8</v>
      </c>
      <c r="F1278" s="8">
        <v>6.02</v>
      </c>
      <c r="G1278" s="4">
        <v>0</v>
      </c>
      <c r="H1278" s="8">
        <v>0</v>
      </c>
      <c r="I1278" s="4">
        <v>0</v>
      </c>
    </row>
    <row r="1279" spans="1:9" x14ac:dyDescent="0.2">
      <c r="A1279" s="2">
        <v>5</v>
      </c>
      <c r="B1279" s="1" t="s">
        <v>178</v>
      </c>
      <c r="C1279" s="4">
        <v>6</v>
      </c>
      <c r="D1279" s="8">
        <v>3.39</v>
      </c>
      <c r="E1279" s="4">
        <v>6</v>
      </c>
      <c r="F1279" s="8">
        <v>4.51</v>
      </c>
      <c r="G1279" s="4">
        <v>0</v>
      </c>
      <c r="H1279" s="8">
        <v>0</v>
      </c>
      <c r="I1279" s="4">
        <v>0</v>
      </c>
    </row>
    <row r="1280" spans="1:9" x14ac:dyDescent="0.2">
      <c r="A1280" s="2">
        <v>5</v>
      </c>
      <c r="B1280" s="1" t="s">
        <v>177</v>
      </c>
      <c r="C1280" s="4">
        <v>6</v>
      </c>
      <c r="D1280" s="8">
        <v>3.39</v>
      </c>
      <c r="E1280" s="4">
        <v>6</v>
      </c>
      <c r="F1280" s="8">
        <v>4.51</v>
      </c>
      <c r="G1280" s="4">
        <v>0</v>
      </c>
      <c r="H1280" s="8">
        <v>0</v>
      </c>
      <c r="I1280" s="4">
        <v>0</v>
      </c>
    </row>
    <row r="1281" spans="1:9" x14ac:dyDescent="0.2">
      <c r="A1281" s="2">
        <v>7</v>
      </c>
      <c r="B1281" s="1" t="s">
        <v>202</v>
      </c>
      <c r="C1281" s="4">
        <v>5</v>
      </c>
      <c r="D1281" s="8">
        <v>2.82</v>
      </c>
      <c r="E1281" s="4">
        <v>4</v>
      </c>
      <c r="F1281" s="8">
        <v>3.01</v>
      </c>
      <c r="G1281" s="4">
        <v>1</v>
      </c>
      <c r="H1281" s="8">
        <v>2.27</v>
      </c>
      <c r="I1281" s="4">
        <v>0</v>
      </c>
    </row>
    <row r="1282" spans="1:9" x14ac:dyDescent="0.2">
      <c r="A1282" s="2">
        <v>7</v>
      </c>
      <c r="B1282" s="1" t="s">
        <v>289</v>
      </c>
      <c r="C1282" s="4">
        <v>5</v>
      </c>
      <c r="D1282" s="8">
        <v>2.82</v>
      </c>
      <c r="E1282" s="4">
        <v>4</v>
      </c>
      <c r="F1282" s="8">
        <v>3.01</v>
      </c>
      <c r="G1282" s="4">
        <v>1</v>
      </c>
      <c r="H1282" s="8">
        <v>2.27</v>
      </c>
      <c r="I1282" s="4">
        <v>0</v>
      </c>
    </row>
    <row r="1283" spans="1:9" x14ac:dyDescent="0.2">
      <c r="A1283" s="2">
        <v>7</v>
      </c>
      <c r="B1283" s="1" t="s">
        <v>191</v>
      </c>
      <c r="C1283" s="4">
        <v>5</v>
      </c>
      <c r="D1283" s="8">
        <v>2.82</v>
      </c>
      <c r="E1283" s="4">
        <v>5</v>
      </c>
      <c r="F1283" s="8">
        <v>3.76</v>
      </c>
      <c r="G1283" s="4">
        <v>0</v>
      </c>
      <c r="H1283" s="8">
        <v>0</v>
      </c>
      <c r="I1283" s="4">
        <v>0</v>
      </c>
    </row>
    <row r="1284" spans="1:9" x14ac:dyDescent="0.2">
      <c r="A1284" s="2">
        <v>7</v>
      </c>
      <c r="B1284" s="1" t="s">
        <v>171</v>
      </c>
      <c r="C1284" s="4">
        <v>5</v>
      </c>
      <c r="D1284" s="8">
        <v>2.82</v>
      </c>
      <c r="E1284" s="4">
        <v>5</v>
      </c>
      <c r="F1284" s="8">
        <v>3.76</v>
      </c>
      <c r="G1284" s="4">
        <v>0</v>
      </c>
      <c r="H1284" s="8">
        <v>0</v>
      </c>
      <c r="I1284" s="4">
        <v>0</v>
      </c>
    </row>
    <row r="1285" spans="1:9" x14ac:dyDescent="0.2">
      <c r="A1285" s="2">
        <v>11</v>
      </c>
      <c r="B1285" s="1" t="s">
        <v>159</v>
      </c>
      <c r="C1285" s="4">
        <v>4</v>
      </c>
      <c r="D1285" s="8">
        <v>2.2599999999999998</v>
      </c>
      <c r="E1285" s="4">
        <v>2</v>
      </c>
      <c r="F1285" s="8">
        <v>1.5</v>
      </c>
      <c r="G1285" s="4">
        <v>2</v>
      </c>
      <c r="H1285" s="8">
        <v>4.55</v>
      </c>
      <c r="I1285" s="4">
        <v>0</v>
      </c>
    </row>
    <row r="1286" spans="1:9" x14ac:dyDescent="0.2">
      <c r="A1286" s="2">
        <v>11</v>
      </c>
      <c r="B1286" s="1" t="s">
        <v>195</v>
      </c>
      <c r="C1286" s="4">
        <v>4</v>
      </c>
      <c r="D1286" s="8">
        <v>2.2599999999999998</v>
      </c>
      <c r="E1286" s="4">
        <v>4</v>
      </c>
      <c r="F1286" s="8">
        <v>3.01</v>
      </c>
      <c r="G1286" s="4">
        <v>0</v>
      </c>
      <c r="H1286" s="8">
        <v>0</v>
      </c>
      <c r="I1286" s="4">
        <v>0</v>
      </c>
    </row>
    <row r="1287" spans="1:9" x14ac:dyDescent="0.2">
      <c r="A1287" s="2">
        <v>11</v>
      </c>
      <c r="B1287" s="1" t="s">
        <v>161</v>
      </c>
      <c r="C1287" s="4">
        <v>4</v>
      </c>
      <c r="D1287" s="8">
        <v>2.2599999999999998</v>
      </c>
      <c r="E1287" s="4">
        <v>4</v>
      </c>
      <c r="F1287" s="8">
        <v>3.01</v>
      </c>
      <c r="G1287" s="4">
        <v>0</v>
      </c>
      <c r="H1287" s="8">
        <v>0</v>
      </c>
      <c r="I1287" s="4">
        <v>0</v>
      </c>
    </row>
    <row r="1288" spans="1:9" x14ac:dyDescent="0.2">
      <c r="A1288" s="2">
        <v>11</v>
      </c>
      <c r="B1288" s="1" t="s">
        <v>242</v>
      </c>
      <c r="C1288" s="4">
        <v>4</v>
      </c>
      <c r="D1288" s="8">
        <v>2.2599999999999998</v>
      </c>
      <c r="E1288" s="4">
        <v>1</v>
      </c>
      <c r="F1288" s="8">
        <v>0.75</v>
      </c>
      <c r="G1288" s="4">
        <v>3</v>
      </c>
      <c r="H1288" s="8">
        <v>6.82</v>
      </c>
      <c r="I1288" s="4">
        <v>0</v>
      </c>
    </row>
    <row r="1289" spans="1:9" x14ac:dyDescent="0.2">
      <c r="A1289" s="2">
        <v>11</v>
      </c>
      <c r="B1289" s="1" t="s">
        <v>273</v>
      </c>
      <c r="C1289" s="4">
        <v>4</v>
      </c>
      <c r="D1289" s="8">
        <v>2.2599999999999998</v>
      </c>
      <c r="E1289" s="4">
        <v>4</v>
      </c>
      <c r="F1289" s="8">
        <v>3.01</v>
      </c>
      <c r="G1289" s="4">
        <v>0</v>
      </c>
      <c r="H1289" s="8">
        <v>0</v>
      </c>
      <c r="I1289" s="4">
        <v>0</v>
      </c>
    </row>
    <row r="1290" spans="1:9" x14ac:dyDescent="0.2">
      <c r="A1290" s="2">
        <v>11</v>
      </c>
      <c r="B1290" s="1" t="s">
        <v>185</v>
      </c>
      <c r="C1290" s="4">
        <v>4</v>
      </c>
      <c r="D1290" s="8">
        <v>2.2599999999999998</v>
      </c>
      <c r="E1290" s="4">
        <v>2</v>
      </c>
      <c r="F1290" s="8">
        <v>1.5</v>
      </c>
      <c r="G1290" s="4">
        <v>2</v>
      </c>
      <c r="H1290" s="8">
        <v>4.55</v>
      </c>
      <c r="I1290" s="4">
        <v>0</v>
      </c>
    </row>
    <row r="1291" spans="1:9" x14ac:dyDescent="0.2">
      <c r="A1291" s="2">
        <v>17</v>
      </c>
      <c r="B1291" s="1" t="s">
        <v>207</v>
      </c>
      <c r="C1291" s="4">
        <v>3</v>
      </c>
      <c r="D1291" s="8">
        <v>1.69</v>
      </c>
      <c r="E1291" s="4">
        <v>3</v>
      </c>
      <c r="F1291" s="8">
        <v>2.2599999999999998</v>
      </c>
      <c r="G1291" s="4">
        <v>0</v>
      </c>
      <c r="H1291" s="8">
        <v>0</v>
      </c>
      <c r="I1291" s="4">
        <v>0</v>
      </c>
    </row>
    <row r="1292" spans="1:9" x14ac:dyDescent="0.2">
      <c r="A1292" s="2">
        <v>17</v>
      </c>
      <c r="B1292" s="1" t="s">
        <v>163</v>
      </c>
      <c r="C1292" s="4">
        <v>3</v>
      </c>
      <c r="D1292" s="8">
        <v>1.69</v>
      </c>
      <c r="E1292" s="4">
        <v>3</v>
      </c>
      <c r="F1292" s="8">
        <v>2.2599999999999998</v>
      </c>
      <c r="G1292" s="4">
        <v>0</v>
      </c>
      <c r="H1292" s="8">
        <v>0</v>
      </c>
      <c r="I1292" s="4">
        <v>0</v>
      </c>
    </row>
    <row r="1293" spans="1:9" x14ac:dyDescent="0.2">
      <c r="A1293" s="2">
        <v>17</v>
      </c>
      <c r="B1293" s="1" t="s">
        <v>181</v>
      </c>
      <c r="C1293" s="4">
        <v>3</v>
      </c>
      <c r="D1293" s="8">
        <v>1.69</v>
      </c>
      <c r="E1293" s="4">
        <v>3</v>
      </c>
      <c r="F1293" s="8">
        <v>2.2599999999999998</v>
      </c>
      <c r="G1293" s="4">
        <v>0</v>
      </c>
      <c r="H1293" s="8">
        <v>0</v>
      </c>
      <c r="I1293" s="4">
        <v>0</v>
      </c>
    </row>
    <row r="1294" spans="1:9" x14ac:dyDescent="0.2">
      <c r="A1294" s="2">
        <v>20</v>
      </c>
      <c r="B1294" s="1" t="s">
        <v>198</v>
      </c>
      <c r="C1294" s="4">
        <v>2</v>
      </c>
      <c r="D1294" s="8">
        <v>1.1299999999999999</v>
      </c>
      <c r="E1294" s="4">
        <v>2</v>
      </c>
      <c r="F1294" s="8">
        <v>1.5</v>
      </c>
      <c r="G1294" s="4">
        <v>0</v>
      </c>
      <c r="H1294" s="8">
        <v>0</v>
      </c>
      <c r="I1294" s="4">
        <v>0</v>
      </c>
    </row>
    <row r="1295" spans="1:9" x14ac:dyDescent="0.2">
      <c r="A1295" s="2">
        <v>20</v>
      </c>
      <c r="B1295" s="1" t="s">
        <v>194</v>
      </c>
      <c r="C1295" s="4">
        <v>2</v>
      </c>
      <c r="D1295" s="8">
        <v>1.1299999999999999</v>
      </c>
      <c r="E1295" s="4">
        <v>2</v>
      </c>
      <c r="F1295" s="8">
        <v>1.5</v>
      </c>
      <c r="G1295" s="4">
        <v>0</v>
      </c>
      <c r="H1295" s="8">
        <v>0</v>
      </c>
      <c r="I1295" s="4">
        <v>0</v>
      </c>
    </row>
    <row r="1296" spans="1:9" x14ac:dyDescent="0.2">
      <c r="A1296" s="2">
        <v>20</v>
      </c>
      <c r="B1296" s="1" t="s">
        <v>196</v>
      </c>
      <c r="C1296" s="4">
        <v>2</v>
      </c>
      <c r="D1296" s="8">
        <v>1.1299999999999999</v>
      </c>
      <c r="E1296" s="4">
        <v>0</v>
      </c>
      <c r="F1296" s="8">
        <v>0</v>
      </c>
      <c r="G1296" s="4">
        <v>2</v>
      </c>
      <c r="H1296" s="8">
        <v>4.55</v>
      </c>
      <c r="I1296" s="4">
        <v>0</v>
      </c>
    </row>
    <row r="1297" spans="1:9" x14ac:dyDescent="0.2">
      <c r="A1297" s="2">
        <v>20</v>
      </c>
      <c r="B1297" s="1" t="s">
        <v>199</v>
      </c>
      <c r="C1297" s="4">
        <v>2</v>
      </c>
      <c r="D1297" s="8">
        <v>1.1299999999999999</v>
      </c>
      <c r="E1297" s="4">
        <v>2</v>
      </c>
      <c r="F1297" s="8">
        <v>1.5</v>
      </c>
      <c r="G1297" s="4">
        <v>0</v>
      </c>
      <c r="H1297" s="8">
        <v>0</v>
      </c>
      <c r="I1297" s="4">
        <v>0</v>
      </c>
    </row>
    <row r="1298" spans="1:9" x14ac:dyDescent="0.2">
      <c r="A1298" s="2">
        <v>20</v>
      </c>
      <c r="B1298" s="1" t="s">
        <v>201</v>
      </c>
      <c r="C1298" s="4">
        <v>2</v>
      </c>
      <c r="D1298" s="8">
        <v>1.1299999999999999</v>
      </c>
      <c r="E1298" s="4">
        <v>2</v>
      </c>
      <c r="F1298" s="8">
        <v>1.5</v>
      </c>
      <c r="G1298" s="4">
        <v>0</v>
      </c>
      <c r="H1298" s="8">
        <v>0</v>
      </c>
      <c r="I1298" s="4">
        <v>0</v>
      </c>
    </row>
    <row r="1299" spans="1:9" x14ac:dyDescent="0.2">
      <c r="A1299" s="2">
        <v>20</v>
      </c>
      <c r="B1299" s="1" t="s">
        <v>306</v>
      </c>
      <c r="C1299" s="4">
        <v>2</v>
      </c>
      <c r="D1299" s="8">
        <v>1.1299999999999999</v>
      </c>
      <c r="E1299" s="4">
        <v>1</v>
      </c>
      <c r="F1299" s="8">
        <v>0.75</v>
      </c>
      <c r="G1299" s="4">
        <v>1</v>
      </c>
      <c r="H1299" s="8">
        <v>2.27</v>
      </c>
      <c r="I1299" s="4">
        <v>0</v>
      </c>
    </row>
    <row r="1300" spans="1:9" x14ac:dyDescent="0.2">
      <c r="A1300" s="2">
        <v>20</v>
      </c>
      <c r="B1300" s="1" t="s">
        <v>284</v>
      </c>
      <c r="C1300" s="4">
        <v>2</v>
      </c>
      <c r="D1300" s="8">
        <v>1.1299999999999999</v>
      </c>
      <c r="E1300" s="4">
        <v>0</v>
      </c>
      <c r="F1300" s="8">
        <v>0</v>
      </c>
      <c r="G1300" s="4">
        <v>2</v>
      </c>
      <c r="H1300" s="8">
        <v>4.55</v>
      </c>
      <c r="I1300" s="4">
        <v>0</v>
      </c>
    </row>
    <row r="1301" spans="1:9" x14ac:dyDescent="0.2">
      <c r="A1301" s="2">
        <v>20</v>
      </c>
      <c r="B1301" s="1" t="s">
        <v>241</v>
      </c>
      <c r="C1301" s="4">
        <v>2</v>
      </c>
      <c r="D1301" s="8">
        <v>1.1299999999999999</v>
      </c>
      <c r="E1301" s="4">
        <v>0</v>
      </c>
      <c r="F1301" s="8">
        <v>0</v>
      </c>
      <c r="G1301" s="4">
        <v>2</v>
      </c>
      <c r="H1301" s="8">
        <v>4.55</v>
      </c>
      <c r="I1301" s="4">
        <v>0</v>
      </c>
    </row>
    <row r="1302" spans="1:9" x14ac:dyDescent="0.2">
      <c r="A1302" s="2">
        <v>20</v>
      </c>
      <c r="B1302" s="1" t="s">
        <v>190</v>
      </c>
      <c r="C1302" s="4">
        <v>2</v>
      </c>
      <c r="D1302" s="8">
        <v>1.1299999999999999</v>
      </c>
      <c r="E1302" s="4">
        <v>1</v>
      </c>
      <c r="F1302" s="8">
        <v>0.75</v>
      </c>
      <c r="G1302" s="4">
        <v>1</v>
      </c>
      <c r="H1302" s="8">
        <v>2.27</v>
      </c>
      <c r="I1302" s="4">
        <v>0</v>
      </c>
    </row>
    <row r="1303" spans="1:9" x14ac:dyDescent="0.2">
      <c r="A1303" s="2">
        <v>20</v>
      </c>
      <c r="B1303" s="1" t="s">
        <v>164</v>
      </c>
      <c r="C1303" s="4">
        <v>2</v>
      </c>
      <c r="D1303" s="8">
        <v>1.1299999999999999</v>
      </c>
      <c r="E1303" s="4">
        <v>2</v>
      </c>
      <c r="F1303" s="8">
        <v>1.5</v>
      </c>
      <c r="G1303" s="4">
        <v>0</v>
      </c>
      <c r="H1303" s="8">
        <v>0</v>
      </c>
      <c r="I1303" s="4">
        <v>0</v>
      </c>
    </row>
    <row r="1304" spans="1:9" x14ac:dyDescent="0.2">
      <c r="A1304" s="2">
        <v>20</v>
      </c>
      <c r="B1304" s="1" t="s">
        <v>193</v>
      </c>
      <c r="C1304" s="4">
        <v>2</v>
      </c>
      <c r="D1304" s="8">
        <v>1.1299999999999999</v>
      </c>
      <c r="E1304" s="4">
        <v>2</v>
      </c>
      <c r="F1304" s="8">
        <v>1.5</v>
      </c>
      <c r="G1304" s="4">
        <v>0</v>
      </c>
      <c r="H1304" s="8">
        <v>0</v>
      </c>
      <c r="I1304" s="4">
        <v>0</v>
      </c>
    </row>
    <row r="1305" spans="1:9" x14ac:dyDescent="0.2">
      <c r="A1305" s="2">
        <v>20</v>
      </c>
      <c r="B1305" s="1" t="s">
        <v>165</v>
      </c>
      <c r="C1305" s="4">
        <v>2</v>
      </c>
      <c r="D1305" s="8">
        <v>1.1299999999999999</v>
      </c>
      <c r="E1305" s="4">
        <v>1</v>
      </c>
      <c r="F1305" s="8">
        <v>0.75</v>
      </c>
      <c r="G1305" s="4">
        <v>1</v>
      </c>
      <c r="H1305" s="8">
        <v>2.27</v>
      </c>
      <c r="I1305" s="4">
        <v>0</v>
      </c>
    </row>
    <row r="1306" spans="1:9" x14ac:dyDescent="0.2">
      <c r="A1306" s="2">
        <v>20</v>
      </c>
      <c r="B1306" s="1" t="s">
        <v>243</v>
      </c>
      <c r="C1306" s="4">
        <v>2</v>
      </c>
      <c r="D1306" s="8">
        <v>1.1299999999999999</v>
      </c>
      <c r="E1306" s="4">
        <v>2</v>
      </c>
      <c r="F1306" s="8">
        <v>1.5</v>
      </c>
      <c r="G1306" s="4">
        <v>0</v>
      </c>
      <c r="H1306" s="8">
        <v>0</v>
      </c>
      <c r="I1306" s="4">
        <v>0</v>
      </c>
    </row>
    <row r="1307" spans="1:9" x14ac:dyDescent="0.2">
      <c r="A1307" s="2">
        <v>20</v>
      </c>
      <c r="B1307" s="1" t="s">
        <v>215</v>
      </c>
      <c r="C1307" s="4">
        <v>2</v>
      </c>
      <c r="D1307" s="8">
        <v>1.1299999999999999</v>
      </c>
      <c r="E1307" s="4">
        <v>2</v>
      </c>
      <c r="F1307" s="8">
        <v>1.5</v>
      </c>
      <c r="G1307" s="4">
        <v>0</v>
      </c>
      <c r="H1307" s="8">
        <v>0</v>
      </c>
      <c r="I1307" s="4">
        <v>0</v>
      </c>
    </row>
    <row r="1308" spans="1:9" x14ac:dyDescent="0.2">
      <c r="A1308" s="2">
        <v>20</v>
      </c>
      <c r="B1308" s="1" t="s">
        <v>182</v>
      </c>
      <c r="C1308" s="4">
        <v>2</v>
      </c>
      <c r="D1308" s="8">
        <v>1.1299999999999999</v>
      </c>
      <c r="E1308" s="4">
        <v>2</v>
      </c>
      <c r="F1308" s="8">
        <v>1.5</v>
      </c>
      <c r="G1308" s="4">
        <v>0</v>
      </c>
      <c r="H1308" s="8">
        <v>0</v>
      </c>
      <c r="I1308" s="4">
        <v>0</v>
      </c>
    </row>
    <row r="1309" spans="1:9" x14ac:dyDescent="0.2">
      <c r="A1309" s="2">
        <v>20</v>
      </c>
      <c r="B1309" s="1" t="s">
        <v>286</v>
      </c>
      <c r="C1309" s="4">
        <v>2</v>
      </c>
      <c r="D1309" s="8">
        <v>1.1299999999999999</v>
      </c>
      <c r="E1309" s="4">
        <v>2</v>
      </c>
      <c r="F1309" s="8">
        <v>1.5</v>
      </c>
      <c r="G1309" s="4">
        <v>0</v>
      </c>
      <c r="H1309" s="8">
        <v>0</v>
      </c>
      <c r="I1309" s="4">
        <v>0</v>
      </c>
    </row>
    <row r="1310" spans="1:9" x14ac:dyDescent="0.2">
      <c r="A1310" s="1"/>
      <c r="C1310" s="4"/>
      <c r="D1310" s="8"/>
      <c r="E1310" s="4"/>
      <c r="F1310" s="8"/>
      <c r="G1310" s="4"/>
      <c r="H1310" s="8"/>
      <c r="I1310" s="4"/>
    </row>
    <row r="1311" spans="1:9" x14ac:dyDescent="0.2">
      <c r="A1311" s="1" t="s">
        <v>48</v>
      </c>
      <c r="C1311" s="4"/>
      <c r="D1311" s="8"/>
      <c r="E1311" s="4"/>
      <c r="F1311" s="8"/>
      <c r="G1311" s="4"/>
      <c r="H1311" s="8"/>
      <c r="I1311" s="4"/>
    </row>
    <row r="1312" spans="1:9" x14ac:dyDescent="0.2">
      <c r="A1312" s="2">
        <v>1</v>
      </c>
      <c r="B1312" s="1" t="s">
        <v>173</v>
      </c>
      <c r="C1312" s="4">
        <v>20</v>
      </c>
      <c r="D1312" s="8">
        <v>5.18</v>
      </c>
      <c r="E1312" s="4">
        <v>20</v>
      </c>
      <c r="F1312" s="8">
        <v>9.8000000000000007</v>
      </c>
      <c r="G1312" s="4">
        <v>0</v>
      </c>
      <c r="H1312" s="8">
        <v>0</v>
      </c>
      <c r="I1312" s="4">
        <v>0</v>
      </c>
    </row>
    <row r="1313" spans="1:9" x14ac:dyDescent="0.2">
      <c r="A1313" s="2">
        <v>2</v>
      </c>
      <c r="B1313" s="1" t="s">
        <v>174</v>
      </c>
      <c r="C1313" s="4">
        <v>18</v>
      </c>
      <c r="D1313" s="8">
        <v>4.66</v>
      </c>
      <c r="E1313" s="4">
        <v>16</v>
      </c>
      <c r="F1313" s="8">
        <v>7.84</v>
      </c>
      <c r="G1313" s="4">
        <v>2</v>
      </c>
      <c r="H1313" s="8">
        <v>1.1499999999999999</v>
      </c>
      <c r="I1313" s="4">
        <v>0</v>
      </c>
    </row>
    <row r="1314" spans="1:9" x14ac:dyDescent="0.2">
      <c r="A1314" s="2">
        <v>3</v>
      </c>
      <c r="B1314" s="1" t="s">
        <v>176</v>
      </c>
      <c r="C1314" s="4">
        <v>14</v>
      </c>
      <c r="D1314" s="8">
        <v>3.63</v>
      </c>
      <c r="E1314" s="4">
        <v>14</v>
      </c>
      <c r="F1314" s="8">
        <v>6.86</v>
      </c>
      <c r="G1314" s="4">
        <v>0</v>
      </c>
      <c r="H1314" s="8">
        <v>0</v>
      </c>
      <c r="I1314" s="4">
        <v>0</v>
      </c>
    </row>
    <row r="1315" spans="1:9" x14ac:dyDescent="0.2">
      <c r="A1315" s="2">
        <v>4</v>
      </c>
      <c r="B1315" s="1" t="s">
        <v>158</v>
      </c>
      <c r="C1315" s="4">
        <v>12</v>
      </c>
      <c r="D1315" s="8">
        <v>3.11</v>
      </c>
      <c r="E1315" s="4">
        <v>2</v>
      </c>
      <c r="F1315" s="8">
        <v>0.98</v>
      </c>
      <c r="G1315" s="4">
        <v>10</v>
      </c>
      <c r="H1315" s="8">
        <v>5.75</v>
      </c>
      <c r="I1315" s="4">
        <v>0</v>
      </c>
    </row>
    <row r="1316" spans="1:9" x14ac:dyDescent="0.2">
      <c r="A1316" s="2">
        <v>4</v>
      </c>
      <c r="B1316" s="1" t="s">
        <v>181</v>
      </c>
      <c r="C1316" s="4">
        <v>12</v>
      </c>
      <c r="D1316" s="8">
        <v>3.11</v>
      </c>
      <c r="E1316" s="4">
        <v>7</v>
      </c>
      <c r="F1316" s="8">
        <v>3.43</v>
      </c>
      <c r="G1316" s="4">
        <v>5</v>
      </c>
      <c r="H1316" s="8">
        <v>2.87</v>
      </c>
      <c r="I1316" s="4">
        <v>0</v>
      </c>
    </row>
    <row r="1317" spans="1:9" x14ac:dyDescent="0.2">
      <c r="A1317" s="2">
        <v>6</v>
      </c>
      <c r="B1317" s="1" t="s">
        <v>185</v>
      </c>
      <c r="C1317" s="4">
        <v>10</v>
      </c>
      <c r="D1317" s="8">
        <v>2.59</v>
      </c>
      <c r="E1317" s="4">
        <v>5</v>
      </c>
      <c r="F1317" s="8">
        <v>2.4500000000000002</v>
      </c>
      <c r="G1317" s="4">
        <v>5</v>
      </c>
      <c r="H1317" s="8">
        <v>2.87</v>
      </c>
      <c r="I1317" s="4">
        <v>0</v>
      </c>
    </row>
    <row r="1318" spans="1:9" x14ac:dyDescent="0.2">
      <c r="A1318" s="2">
        <v>7</v>
      </c>
      <c r="B1318" s="1" t="s">
        <v>161</v>
      </c>
      <c r="C1318" s="4">
        <v>9</v>
      </c>
      <c r="D1318" s="8">
        <v>2.33</v>
      </c>
      <c r="E1318" s="4">
        <v>3</v>
      </c>
      <c r="F1318" s="8">
        <v>1.47</v>
      </c>
      <c r="G1318" s="4">
        <v>6</v>
      </c>
      <c r="H1318" s="8">
        <v>3.45</v>
      </c>
      <c r="I1318" s="4">
        <v>0</v>
      </c>
    </row>
    <row r="1319" spans="1:9" x14ac:dyDescent="0.2">
      <c r="A1319" s="2">
        <v>8</v>
      </c>
      <c r="B1319" s="1" t="s">
        <v>159</v>
      </c>
      <c r="C1319" s="4">
        <v>8</v>
      </c>
      <c r="D1319" s="8">
        <v>2.0699999999999998</v>
      </c>
      <c r="E1319" s="4">
        <v>0</v>
      </c>
      <c r="F1319" s="8">
        <v>0</v>
      </c>
      <c r="G1319" s="4">
        <v>8</v>
      </c>
      <c r="H1319" s="8">
        <v>4.5999999999999996</v>
      </c>
      <c r="I1319" s="4">
        <v>0</v>
      </c>
    </row>
    <row r="1320" spans="1:9" x14ac:dyDescent="0.2">
      <c r="A1320" s="2">
        <v>8</v>
      </c>
      <c r="B1320" s="1" t="s">
        <v>194</v>
      </c>
      <c r="C1320" s="4">
        <v>8</v>
      </c>
      <c r="D1320" s="8">
        <v>2.0699999999999998</v>
      </c>
      <c r="E1320" s="4">
        <v>4</v>
      </c>
      <c r="F1320" s="8">
        <v>1.96</v>
      </c>
      <c r="G1320" s="4">
        <v>4</v>
      </c>
      <c r="H1320" s="8">
        <v>2.2999999999999998</v>
      </c>
      <c r="I1320" s="4">
        <v>0</v>
      </c>
    </row>
    <row r="1321" spans="1:9" x14ac:dyDescent="0.2">
      <c r="A1321" s="2">
        <v>8</v>
      </c>
      <c r="B1321" s="1" t="s">
        <v>168</v>
      </c>
      <c r="C1321" s="4">
        <v>8</v>
      </c>
      <c r="D1321" s="8">
        <v>2.0699999999999998</v>
      </c>
      <c r="E1321" s="4">
        <v>5</v>
      </c>
      <c r="F1321" s="8">
        <v>2.4500000000000002</v>
      </c>
      <c r="G1321" s="4">
        <v>3</v>
      </c>
      <c r="H1321" s="8">
        <v>1.72</v>
      </c>
      <c r="I1321" s="4">
        <v>0</v>
      </c>
    </row>
    <row r="1322" spans="1:9" x14ac:dyDescent="0.2">
      <c r="A1322" s="2">
        <v>11</v>
      </c>
      <c r="B1322" s="1" t="s">
        <v>191</v>
      </c>
      <c r="C1322" s="4">
        <v>7</v>
      </c>
      <c r="D1322" s="8">
        <v>1.81</v>
      </c>
      <c r="E1322" s="4">
        <v>6</v>
      </c>
      <c r="F1322" s="8">
        <v>2.94</v>
      </c>
      <c r="G1322" s="4">
        <v>1</v>
      </c>
      <c r="H1322" s="8">
        <v>0.56999999999999995</v>
      </c>
      <c r="I1322" s="4">
        <v>0</v>
      </c>
    </row>
    <row r="1323" spans="1:9" x14ac:dyDescent="0.2">
      <c r="A1323" s="2">
        <v>11</v>
      </c>
      <c r="B1323" s="1" t="s">
        <v>178</v>
      </c>
      <c r="C1323" s="4">
        <v>7</v>
      </c>
      <c r="D1323" s="8">
        <v>1.81</v>
      </c>
      <c r="E1323" s="4">
        <v>5</v>
      </c>
      <c r="F1323" s="8">
        <v>2.4500000000000002</v>
      </c>
      <c r="G1323" s="4">
        <v>2</v>
      </c>
      <c r="H1323" s="8">
        <v>1.1499999999999999</v>
      </c>
      <c r="I1323" s="4">
        <v>0</v>
      </c>
    </row>
    <row r="1324" spans="1:9" x14ac:dyDescent="0.2">
      <c r="A1324" s="2">
        <v>11</v>
      </c>
      <c r="B1324" s="1" t="s">
        <v>164</v>
      </c>
      <c r="C1324" s="4">
        <v>7</v>
      </c>
      <c r="D1324" s="8">
        <v>1.81</v>
      </c>
      <c r="E1324" s="4">
        <v>3</v>
      </c>
      <c r="F1324" s="8">
        <v>1.47</v>
      </c>
      <c r="G1324" s="4">
        <v>4</v>
      </c>
      <c r="H1324" s="8">
        <v>2.2999999999999998</v>
      </c>
      <c r="I1324" s="4">
        <v>0</v>
      </c>
    </row>
    <row r="1325" spans="1:9" x14ac:dyDescent="0.2">
      <c r="A1325" s="2">
        <v>11</v>
      </c>
      <c r="B1325" s="1" t="s">
        <v>169</v>
      </c>
      <c r="C1325" s="4">
        <v>7</v>
      </c>
      <c r="D1325" s="8">
        <v>1.81</v>
      </c>
      <c r="E1325" s="4">
        <v>0</v>
      </c>
      <c r="F1325" s="8">
        <v>0</v>
      </c>
      <c r="G1325" s="4">
        <v>7</v>
      </c>
      <c r="H1325" s="8">
        <v>4.0199999999999996</v>
      </c>
      <c r="I1325" s="4">
        <v>0</v>
      </c>
    </row>
    <row r="1326" spans="1:9" x14ac:dyDescent="0.2">
      <c r="A1326" s="2">
        <v>11</v>
      </c>
      <c r="B1326" s="1" t="s">
        <v>170</v>
      </c>
      <c r="C1326" s="4">
        <v>7</v>
      </c>
      <c r="D1326" s="8">
        <v>1.81</v>
      </c>
      <c r="E1326" s="4">
        <v>7</v>
      </c>
      <c r="F1326" s="8">
        <v>3.43</v>
      </c>
      <c r="G1326" s="4">
        <v>0</v>
      </c>
      <c r="H1326" s="8">
        <v>0</v>
      </c>
      <c r="I1326" s="4">
        <v>0</v>
      </c>
    </row>
    <row r="1327" spans="1:9" x14ac:dyDescent="0.2">
      <c r="A1327" s="2">
        <v>11</v>
      </c>
      <c r="B1327" s="1" t="s">
        <v>177</v>
      </c>
      <c r="C1327" s="4">
        <v>7</v>
      </c>
      <c r="D1327" s="8">
        <v>1.81</v>
      </c>
      <c r="E1327" s="4">
        <v>4</v>
      </c>
      <c r="F1327" s="8">
        <v>1.96</v>
      </c>
      <c r="G1327" s="4">
        <v>3</v>
      </c>
      <c r="H1327" s="8">
        <v>1.72</v>
      </c>
      <c r="I1327" s="4">
        <v>0</v>
      </c>
    </row>
    <row r="1328" spans="1:9" x14ac:dyDescent="0.2">
      <c r="A1328" s="2">
        <v>17</v>
      </c>
      <c r="B1328" s="1" t="s">
        <v>160</v>
      </c>
      <c r="C1328" s="4">
        <v>6</v>
      </c>
      <c r="D1328" s="8">
        <v>1.55</v>
      </c>
      <c r="E1328" s="4">
        <v>4</v>
      </c>
      <c r="F1328" s="8">
        <v>1.96</v>
      </c>
      <c r="G1328" s="4">
        <v>2</v>
      </c>
      <c r="H1328" s="8">
        <v>1.1499999999999999</v>
      </c>
      <c r="I1328" s="4">
        <v>0</v>
      </c>
    </row>
    <row r="1329" spans="1:9" x14ac:dyDescent="0.2">
      <c r="A1329" s="2">
        <v>17</v>
      </c>
      <c r="B1329" s="1" t="s">
        <v>163</v>
      </c>
      <c r="C1329" s="4">
        <v>6</v>
      </c>
      <c r="D1329" s="8">
        <v>1.55</v>
      </c>
      <c r="E1329" s="4">
        <v>5</v>
      </c>
      <c r="F1329" s="8">
        <v>2.4500000000000002</v>
      </c>
      <c r="G1329" s="4">
        <v>1</v>
      </c>
      <c r="H1329" s="8">
        <v>0.56999999999999995</v>
      </c>
      <c r="I1329" s="4">
        <v>0</v>
      </c>
    </row>
    <row r="1330" spans="1:9" x14ac:dyDescent="0.2">
      <c r="A1330" s="2">
        <v>17</v>
      </c>
      <c r="B1330" s="1" t="s">
        <v>179</v>
      </c>
      <c r="C1330" s="4">
        <v>6</v>
      </c>
      <c r="D1330" s="8">
        <v>1.55</v>
      </c>
      <c r="E1330" s="4">
        <v>6</v>
      </c>
      <c r="F1330" s="8">
        <v>2.94</v>
      </c>
      <c r="G1330" s="4">
        <v>0</v>
      </c>
      <c r="H1330" s="8">
        <v>0</v>
      </c>
      <c r="I1330" s="4">
        <v>0</v>
      </c>
    </row>
    <row r="1331" spans="1:9" x14ac:dyDescent="0.2">
      <c r="A1331" s="2">
        <v>17</v>
      </c>
      <c r="B1331" s="1" t="s">
        <v>215</v>
      </c>
      <c r="C1331" s="4">
        <v>6</v>
      </c>
      <c r="D1331" s="8">
        <v>1.55</v>
      </c>
      <c r="E1331" s="4">
        <v>3</v>
      </c>
      <c r="F1331" s="8">
        <v>1.47</v>
      </c>
      <c r="G1331" s="4">
        <v>3</v>
      </c>
      <c r="H1331" s="8">
        <v>1.72</v>
      </c>
      <c r="I1331" s="4">
        <v>0</v>
      </c>
    </row>
    <row r="1332" spans="1:9" x14ac:dyDescent="0.2">
      <c r="A1332" s="1"/>
      <c r="C1332" s="4"/>
      <c r="D1332" s="8"/>
      <c r="E1332" s="4"/>
      <c r="F1332" s="8"/>
      <c r="G1332" s="4"/>
      <c r="H1332" s="8"/>
      <c r="I1332" s="4"/>
    </row>
    <row r="1333" spans="1:9" x14ac:dyDescent="0.2">
      <c r="A1333" s="1" t="s">
        <v>49</v>
      </c>
      <c r="C1333" s="4"/>
      <c r="D1333" s="8"/>
      <c r="E1333" s="4"/>
      <c r="F1333" s="8"/>
      <c r="G1333" s="4"/>
      <c r="H1333" s="8"/>
      <c r="I1333" s="4"/>
    </row>
    <row r="1334" spans="1:9" x14ac:dyDescent="0.2">
      <c r="A1334" s="2">
        <v>1</v>
      </c>
      <c r="B1334" s="1" t="s">
        <v>174</v>
      </c>
      <c r="C1334" s="4">
        <v>18</v>
      </c>
      <c r="D1334" s="8">
        <v>6.04</v>
      </c>
      <c r="E1334" s="4">
        <v>18</v>
      </c>
      <c r="F1334" s="8">
        <v>9.84</v>
      </c>
      <c r="G1334" s="4">
        <v>0</v>
      </c>
      <c r="H1334" s="8">
        <v>0</v>
      </c>
      <c r="I1334" s="4">
        <v>0</v>
      </c>
    </row>
    <row r="1335" spans="1:9" x14ac:dyDescent="0.2">
      <c r="A1335" s="2">
        <v>2</v>
      </c>
      <c r="B1335" s="1" t="s">
        <v>173</v>
      </c>
      <c r="C1335" s="4">
        <v>17</v>
      </c>
      <c r="D1335" s="8">
        <v>5.7</v>
      </c>
      <c r="E1335" s="4">
        <v>17</v>
      </c>
      <c r="F1335" s="8">
        <v>9.2899999999999991</v>
      </c>
      <c r="G1335" s="4">
        <v>0</v>
      </c>
      <c r="H1335" s="8">
        <v>0</v>
      </c>
      <c r="I1335" s="4">
        <v>0</v>
      </c>
    </row>
    <row r="1336" spans="1:9" x14ac:dyDescent="0.2">
      <c r="A1336" s="2">
        <v>3</v>
      </c>
      <c r="B1336" s="1" t="s">
        <v>166</v>
      </c>
      <c r="C1336" s="4">
        <v>13</v>
      </c>
      <c r="D1336" s="8">
        <v>4.3600000000000003</v>
      </c>
      <c r="E1336" s="4">
        <v>10</v>
      </c>
      <c r="F1336" s="8">
        <v>5.46</v>
      </c>
      <c r="G1336" s="4">
        <v>3</v>
      </c>
      <c r="H1336" s="8">
        <v>2.75</v>
      </c>
      <c r="I1336" s="4">
        <v>0</v>
      </c>
    </row>
    <row r="1337" spans="1:9" x14ac:dyDescent="0.2">
      <c r="A1337" s="2">
        <v>4</v>
      </c>
      <c r="B1337" s="1" t="s">
        <v>160</v>
      </c>
      <c r="C1337" s="4">
        <v>10</v>
      </c>
      <c r="D1337" s="8">
        <v>3.36</v>
      </c>
      <c r="E1337" s="4">
        <v>7</v>
      </c>
      <c r="F1337" s="8">
        <v>3.83</v>
      </c>
      <c r="G1337" s="4">
        <v>3</v>
      </c>
      <c r="H1337" s="8">
        <v>2.75</v>
      </c>
      <c r="I1337" s="4">
        <v>0</v>
      </c>
    </row>
    <row r="1338" spans="1:9" x14ac:dyDescent="0.2">
      <c r="A1338" s="2">
        <v>5</v>
      </c>
      <c r="B1338" s="1" t="s">
        <v>170</v>
      </c>
      <c r="C1338" s="4">
        <v>9</v>
      </c>
      <c r="D1338" s="8">
        <v>3.02</v>
      </c>
      <c r="E1338" s="4">
        <v>6</v>
      </c>
      <c r="F1338" s="8">
        <v>3.28</v>
      </c>
      <c r="G1338" s="4">
        <v>3</v>
      </c>
      <c r="H1338" s="8">
        <v>2.75</v>
      </c>
      <c r="I1338" s="4">
        <v>0</v>
      </c>
    </row>
    <row r="1339" spans="1:9" x14ac:dyDescent="0.2">
      <c r="A1339" s="2">
        <v>6</v>
      </c>
      <c r="B1339" s="1" t="s">
        <v>158</v>
      </c>
      <c r="C1339" s="4">
        <v>7</v>
      </c>
      <c r="D1339" s="8">
        <v>2.35</v>
      </c>
      <c r="E1339" s="4">
        <v>0</v>
      </c>
      <c r="F1339" s="8">
        <v>0</v>
      </c>
      <c r="G1339" s="4">
        <v>7</v>
      </c>
      <c r="H1339" s="8">
        <v>6.42</v>
      </c>
      <c r="I1339" s="4">
        <v>0</v>
      </c>
    </row>
    <row r="1340" spans="1:9" x14ac:dyDescent="0.2">
      <c r="A1340" s="2">
        <v>6</v>
      </c>
      <c r="B1340" s="1" t="s">
        <v>159</v>
      </c>
      <c r="C1340" s="4">
        <v>7</v>
      </c>
      <c r="D1340" s="8">
        <v>2.35</v>
      </c>
      <c r="E1340" s="4">
        <v>3</v>
      </c>
      <c r="F1340" s="8">
        <v>1.64</v>
      </c>
      <c r="G1340" s="4">
        <v>4</v>
      </c>
      <c r="H1340" s="8">
        <v>3.67</v>
      </c>
      <c r="I1340" s="4">
        <v>0</v>
      </c>
    </row>
    <row r="1341" spans="1:9" x14ac:dyDescent="0.2">
      <c r="A1341" s="2">
        <v>6</v>
      </c>
      <c r="B1341" s="1" t="s">
        <v>191</v>
      </c>
      <c r="C1341" s="4">
        <v>7</v>
      </c>
      <c r="D1341" s="8">
        <v>2.35</v>
      </c>
      <c r="E1341" s="4">
        <v>5</v>
      </c>
      <c r="F1341" s="8">
        <v>2.73</v>
      </c>
      <c r="G1341" s="4">
        <v>2</v>
      </c>
      <c r="H1341" s="8">
        <v>1.83</v>
      </c>
      <c r="I1341" s="4">
        <v>0</v>
      </c>
    </row>
    <row r="1342" spans="1:9" x14ac:dyDescent="0.2">
      <c r="A1342" s="2">
        <v>6</v>
      </c>
      <c r="B1342" s="1" t="s">
        <v>168</v>
      </c>
      <c r="C1342" s="4">
        <v>7</v>
      </c>
      <c r="D1342" s="8">
        <v>2.35</v>
      </c>
      <c r="E1342" s="4">
        <v>3</v>
      </c>
      <c r="F1342" s="8">
        <v>1.64</v>
      </c>
      <c r="G1342" s="4">
        <v>4</v>
      </c>
      <c r="H1342" s="8">
        <v>3.67</v>
      </c>
      <c r="I1342" s="4">
        <v>0</v>
      </c>
    </row>
    <row r="1343" spans="1:9" x14ac:dyDescent="0.2">
      <c r="A1343" s="2">
        <v>6</v>
      </c>
      <c r="B1343" s="1" t="s">
        <v>176</v>
      </c>
      <c r="C1343" s="4">
        <v>7</v>
      </c>
      <c r="D1343" s="8">
        <v>2.35</v>
      </c>
      <c r="E1343" s="4">
        <v>6</v>
      </c>
      <c r="F1343" s="8">
        <v>3.28</v>
      </c>
      <c r="G1343" s="4">
        <v>1</v>
      </c>
      <c r="H1343" s="8">
        <v>0.92</v>
      </c>
      <c r="I1343" s="4">
        <v>0</v>
      </c>
    </row>
    <row r="1344" spans="1:9" x14ac:dyDescent="0.2">
      <c r="A1344" s="2">
        <v>11</v>
      </c>
      <c r="B1344" s="1" t="s">
        <v>280</v>
      </c>
      <c r="C1344" s="4">
        <v>6</v>
      </c>
      <c r="D1344" s="8">
        <v>2.0099999999999998</v>
      </c>
      <c r="E1344" s="4">
        <v>3</v>
      </c>
      <c r="F1344" s="8">
        <v>1.64</v>
      </c>
      <c r="G1344" s="4">
        <v>3</v>
      </c>
      <c r="H1344" s="8">
        <v>2.75</v>
      </c>
      <c r="I1344" s="4">
        <v>0</v>
      </c>
    </row>
    <row r="1345" spans="1:9" x14ac:dyDescent="0.2">
      <c r="A1345" s="2">
        <v>11</v>
      </c>
      <c r="B1345" s="1" t="s">
        <v>163</v>
      </c>
      <c r="C1345" s="4">
        <v>6</v>
      </c>
      <c r="D1345" s="8">
        <v>2.0099999999999998</v>
      </c>
      <c r="E1345" s="4">
        <v>4</v>
      </c>
      <c r="F1345" s="8">
        <v>2.19</v>
      </c>
      <c r="G1345" s="4">
        <v>1</v>
      </c>
      <c r="H1345" s="8">
        <v>0.92</v>
      </c>
      <c r="I1345" s="4">
        <v>1</v>
      </c>
    </row>
    <row r="1346" spans="1:9" x14ac:dyDescent="0.2">
      <c r="A1346" s="2">
        <v>11</v>
      </c>
      <c r="B1346" s="1" t="s">
        <v>181</v>
      </c>
      <c r="C1346" s="4">
        <v>6</v>
      </c>
      <c r="D1346" s="8">
        <v>2.0099999999999998</v>
      </c>
      <c r="E1346" s="4">
        <v>5</v>
      </c>
      <c r="F1346" s="8">
        <v>2.73</v>
      </c>
      <c r="G1346" s="4">
        <v>1</v>
      </c>
      <c r="H1346" s="8">
        <v>0.92</v>
      </c>
      <c r="I1346" s="4">
        <v>0</v>
      </c>
    </row>
    <row r="1347" spans="1:9" x14ac:dyDescent="0.2">
      <c r="A1347" s="2">
        <v>11</v>
      </c>
      <c r="B1347" s="1" t="s">
        <v>182</v>
      </c>
      <c r="C1347" s="4">
        <v>6</v>
      </c>
      <c r="D1347" s="8">
        <v>2.0099999999999998</v>
      </c>
      <c r="E1347" s="4">
        <v>4</v>
      </c>
      <c r="F1347" s="8">
        <v>2.19</v>
      </c>
      <c r="G1347" s="4">
        <v>2</v>
      </c>
      <c r="H1347" s="8">
        <v>1.83</v>
      </c>
      <c r="I1347" s="4">
        <v>0</v>
      </c>
    </row>
    <row r="1348" spans="1:9" x14ac:dyDescent="0.2">
      <c r="A1348" s="2">
        <v>15</v>
      </c>
      <c r="B1348" s="1" t="s">
        <v>199</v>
      </c>
      <c r="C1348" s="4">
        <v>5</v>
      </c>
      <c r="D1348" s="8">
        <v>1.68</v>
      </c>
      <c r="E1348" s="4">
        <v>3</v>
      </c>
      <c r="F1348" s="8">
        <v>1.64</v>
      </c>
      <c r="G1348" s="4">
        <v>2</v>
      </c>
      <c r="H1348" s="8">
        <v>1.83</v>
      </c>
      <c r="I1348" s="4">
        <v>0</v>
      </c>
    </row>
    <row r="1349" spans="1:9" x14ac:dyDescent="0.2">
      <c r="A1349" s="2">
        <v>15</v>
      </c>
      <c r="B1349" s="1" t="s">
        <v>161</v>
      </c>
      <c r="C1349" s="4">
        <v>5</v>
      </c>
      <c r="D1349" s="8">
        <v>1.68</v>
      </c>
      <c r="E1349" s="4">
        <v>4</v>
      </c>
      <c r="F1349" s="8">
        <v>2.19</v>
      </c>
      <c r="G1349" s="4">
        <v>1</v>
      </c>
      <c r="H1349" s="8">
        <v>0.92</v>
      </c>
      <c r="I1349" s="4">
        <v>0</v>
      </c>
    </row>
    <row r="1350" spans="1:9" x14ac:dyDescent="0.2">
      <c r="A1350" s="2">
        <v>15</v>
      </c>
      <c r="B1350" s="1" t="s">
        <v>289</v>
      </c>
      <c r="C1350" s="4">
        <v>5</v>
      </c>
      <c r="D1350" s="8">
        <v>1.68</v>
      </c>
      <c r="E1350" s="4">
        <v>4</v>
      </c>
      <c r="F1350" s="8">
        <v>2.19</v>
      </c>
      <c r="G1350" s="4">
        <v>1</v>
      </c>
      <c r="H1350" s="8">
        <v>0.92</v>
      </c>
      <c r="I1350" s="4">
        <v>0</v>
      </c>
    </row>
    <row r="1351" spans="1:9" x14ac:dyDescent="0.2">
      <c r="A1351" s="2">
        <v>15</v>
      </c>
      <c r="B1351" s="1" t="s">
        <v>190</v>
      </c>
      <c r="C1351" s="4">
        <v>5</v>
      </c>
      <c r="D1351" s="8">
        <v>1.68</v>
      </c>
      <c r="E1351" s="4">
        <v>0</v>
      </c>
      <c r="F1351" s="8">
        <v>0</v>
      </c>
      <c r="G1351" s="4">
        <v>5</v>
      </c>
      <c r="H1351" s="8">
        <v>4.59</v>
      </c>
      <c r="I1351" s="4">
        <v>0</v>
      </c>
    </row>
    <row r="1352" spans="1:9" x14ac:dyDescent="0.2">
      <c r="A1352" s="2">
        <v>15</v>
      </c>
      <c r="B1352" s="1" t="s">
        <v>164</v>
      </c>
      <c r="C1352" s="4">
        <v>5</v>
      </c>
      <c r="D1352" s="8">
        <v>1.68</v>
      </c>
      <c r="E1352" s="4">
        <v>3</v>
      </c>
      <c r="F1352" s="8">
        <v>1.64</v>
      </c>
      <c r="G1352" s="4">
        <v>1</v>
      </c>
      <c r="H1352" s="8">
        <v>0.92</v>
      </c>
      <c r="I1352" s="4">
        <v>1</v>
      </c>
    </row>
    <row r="1353" spans="1:9" x14ac:dyDescent="0.2">
      <c r="A1353" s="2">
        <v>15</v>
      </c>
      <c r="B1353" s="1" t="s">
        <v>208</v>
      </c>
      <c r="C1353" s="4">
        <v>5</v>
      </c>
      <c r="D1353" s="8">
        <v>1.68</v>
      </c>
      <c r="E1353" s="4">
        <v>3</v>
      </c>
      <c r="F1353" s="8">
        <v>1.64</v>
      </c>
      <c r="G1353" s="4">
        <v>2</v>
      </c>
      <c r="H1353" s="8">
        <v>1.83</v>
      </c>
      <c r="I1353" s="4">
        <v>0</v>
      </c>
    </row>
    <row r="1354" spans="1:9" x14ac:dyDescent="0.2">
      <c r="A1354" s="2">
        <v>15</v>
      </c>
      <c r="B1354" s="1" t="s">
        <v>185</v>
      </c>
      <c r="C1354" s="4">
        <v>5</v>
      </c>
      <c r="D1354" s="8">
        <v>1.68</v>
      </c>
      <c r="E1354" s="4">
        <v>1</v>
      </c>
      <c r="F1354" s="8">
        <v>0.55000000000000004</v>
      </c>
      <c r="G1354" s="4">
        <v>4</v>
      </c>
      <c r="H1354" s="8">
        <v>3.67</v>
      </c>
      <c r="I1354" s="4">
        <v>0</v>
      </c>
    </row>
    <row r="1355" spans="1:9" x14ac:dyDescent="0.2">
      <c r="A1355" s="2">
        <v>15</v>
      </c>
      <c r="B1355" s="1" t="s">
        <v>215</v>
      </c>
      <c r="C1355" s="4">
        <v>5</v>
      </c>
      <c r="D1355" s="8">
        <v>1.68</v>
      </c>
      <c r="E1355" s="4">
        <v>3</v>
      </c>
      <c r="F1355" s="8">
        <v>1.64</v>
      </c>
      <c r="G1355" s="4">
        <v>2</v>
      </c>
      <c r="H1355" s="8">
        <v>1.83</v>
      </c>
      <c r="I1355" s="4">
        <v>0</v>
      </c>
    </row>
    <row r="1356" spans="1:9" x14ac:dyDescent="0.2">
      <c r="A1356" s="2">
        <v>15</v>
      </c>
      <c r="B1356" s="1" t="s">
        <v>172</v>
      </c>
      <c r="C1356" s="4">
        <v>5</v>
      </c>
      <c r="D1356" s="8">
        <v>1.68</v>
      </c>
      <c r="E1356" s="4">
        <v>5</v>
      </c>
      <c r="F1356" s="8">
        <v>2.73</v>
      </c>
      <c r="G1356" s="4">
        <v>0</v>
      </c>
      <c r="H1356" s="8">
        <v>0</v>
      </c>
      <c r="I1356" s="4">
        <v>0</v>
      </c>
    </row>
    <row r="1357" spans="1:9" x14ac:dyDescent="0.2">
      <c r="A1357" s="2">
        <v>15</v>
      </c>
      <c r="B1357" s="1" t="s">
        <v>177</v>
      </c>
      <c r="C1357" s="4">
        <v>5</v>
      </c>
      <c r="D1357" s="8">
        <v>1.68</v>
      </c>
      <c r="E1357" s="4">
        <v>3</v>
      </c>
      <c r="F1357" s="8">
        <v>1.64</v>
      </c>
      <c r="G1357" s="4">
        <v>2</v>
      </c>
      <c r="H1357" s="8">
        <v>1.83</v>
      </c>
      <c r="I1357" s="4">
        <v>0</v>
      </c>
    </row>
    <row r="1358" spans="1:9" x14ac:dyDescent="0.2">
      <c r="A1358" s="1"/>
      <c r="C1358" s="4"/>
      <c r="D1358" s="8"/>
      <c r="E1358" s="4"/>
      <c r="F1358" s="8"/>
      <c r="G1358" s="4"/>
      <c r="H1358" s="8"/>
      <c r="I1358" s="4"/>
    </row>
    <row r="1359" spans="1:9" x14ac:dyDescent="0.2">
      <c r="A1359" s="1" t="s">
        <v>50</v>
      </c>
      <c r="C1359" s="4"/>
      <c r="D1359" s="8"/>
      <c r="E1359" s="4"/>
      <c r="F1359" s="8"/>
      <c r="G1359" s="4"/>
      <c r="H1359" s="8"/>
      <c r="I1359" s="4"/>
    </row>
    <row r="1360" spans="1:9" x14ac:dyDescent="0.2">
      <c r="A1360" s="2">
        <v>1</v>
      </c>
      <c r="B1360" s="1" t="s">
        <v>307</v>
      </c>
      <c r="C1360" s="4">
        <v>9</v>
      </c>
      <c r="D1360" s="8">
        <v>7.44</v>
      </c>
      <c r="E1360" s="4">
        <v>0</v>
      </c>
      <c r="F1360" s="8">
        <v>0</v>
      </c>
      <c r="G1360" s="4">
        <v>9</v>
      </c>
      <c r="H1360" s="8">
        <v>12</v>
      </c>
      <c r="I1360" s="4">
        <v>0</v>
      </c>
    </row>
    <row r="1361" spans="1:9" x14ac:dyDescent="0.2">
      <c r="A1361" s="2">
        <v>2</v>
      </c>
      <c r="B1361" s="1" t="s">
        <v>188</v>
      </c>
      <c r="C1361" s="4">
        <v>6</v>
      </c>
      <c r="D1361" s="8">
        <v>4.96</v>
      </c>
      <c r="E1361" s="4">
        <v>2</v>
      </c>
      <c r="F1361" s="8">
        <v>4.55</v>
      </c>
      <c r="G1361" s="4">
        <v>4</v>
      </c>
      <c r="H1361" s="8">
        <v>5.33</v>
      </c>
      <c r="I1361" s="4">
        <v>0</v>
      </c>
    </row>
    <row r="1362" spans="1:9" x14ac:dyDescent="0.2">
      <c r="A1362" s="2">
        <v>3</v>
      </c>
      <c r="B1362" s="1" t="s">
        <v>158</v>
      </c>
      <c r="C1362" s="4">
        <v>5</v>
      </c>
      <c r="D1362" s="8">
        <v>4.13</v>
      </c>
      <c r="E1362" s="4">
        <v>0</v>
      </c>
      <c r="F1362" s="8">
        <v>0</v>
      </c>
      <c r="G1362" s="4">
        <v>5</v>
      </c>
      <c r="H1362" s="8">
        <v>6.67</v>
      </c>
      <c r="I1362" s="4">
        <v>0</v>
      </c>
    </row>
    <row r="1363" spans="1:9" x14ac:dyDescent="0.2">
      <c r="A1363" s="2">
        <v>3</v>
      </c>
      <c r="B1363" s="1" t="s">
        <v>215</v>
      </c>
      <c r="C1363" s="4">
        <v>5</v>
      </c>
      <c r="D1363" s="8">
        <v>4.13</v>
      </c>
      <c r="E1363" s="4">
        <v>1</v>
      </c>
      <c r="F1363" s="8">
        <v>2.27</v>
      </c>
      <c r="G1363" s="4">
        <v>4</v>
      </c>
      <c r="H1363" s="8">
        <v>5.33</v>
      </c>
      <c r="I1363" s="4">
        <v>0</v>
      </c>
    </row>
    <row r="1364" spans="1:9" x14ac:dyDescent="0.2">
      <c r="A1364" s="2">
        <v>3</v>
      </c>
      <c r="B1364" s="1" t="s">
        <v>173</v>
      </c>
      <c r="C1364" s="4">
        <v>5</v>
      </c>
      <c r="D1364" s="8">
        <v>4.13</v>
      </c>
      <c r="E1364" s="4">
        <v>5</v>
      </c>
      <c r="F1364" s="8">
        <v>11.36</v>
      </c>
      <c r="G1364" s="4">
        <v>0</v>
      </c>
      <c r="H1364" s="8">
        <v>0</v>
      </c>
      <c r="I1364" s="4">
        <v>0</v>
      </c>
    </row>
    <row r="1365" spans="1:9" x14ac:dyDescent="0.2">
      <c r="A1365" s="2">
        <v>6</v>
      </c>
      <c r="B1365" s="1" t="s">
        <v>161</v>
      </c>
      <c r="C1365" s="4">
        <v>4</v>
      </c>
      <c r="D1365" s="8">
        <v>3.31</v>
      </c>
      <c r="E1365" s="4">
        <v>0</v>
      </c>
      <c r="F1365" s="8">
        <v>0</v>
      </c>
      <c r="G1365" s="4">
        <v>4</v>
      </c>
      <c r="H1365" s="8">
        <v>5.33</v>
      </c>
      <c r="I1365" s="4">
        <v>0</v>
      </c>
    </row>
    <row r="1366" spans="1:9" x14ac:dyDescent="0.2">
      <c r="A1366" s="2">
        <v>6</v>
      </c>
      <c r="B1366" s="1" t="s">
        <v>233</v>
      </c>
      <c r="C1366" s="4">
        <v>4</v>
      </c>
      <c r="D1366" s="8">
        <v>3.31</v>
      </c>
      <c r="E1366" s="4">
        <v>0</v>
      </c>
      <c r="F1366" s="8">
        <v>0</v>
      </c>
      <c r="G1366" s="4">
        <v>4</v>
      </c>
      <c r="H1366" s="8">
        <v>5.33</v>
      </c>
      <c r="I1366" s="4">
        <v>0</v>
      </c>
    </row>
    <row r="1367" spans="1:9" x14ac:dyDescent="0.2">
      <c r="A1367" s="2">
        <v>6</v>
      </c>
      <c r="B1367" s="1" t="s">
        <v>181</v>
      </c>
      <c r="C1367" s="4">
        <v>4</v>
      </c>
      <c r="D1367" s="8">
        <v>3.31</v>
      </c>
      <c r="E1367" s="4">
        <v>2</v>
      </c>
      <c r="F1367" s="8">
        <v>4.55</v>
      </c>
      <c r="G1367" s="4">
        <v>2</v>
      </c>
      <c r="H1367" s="8">
        <v>2.67</v>
      </c>
      <c r="I1367" s="4">
        <v>0</v>
      </c>
    </row>
    <row r="1368" spans="1:9" x14ac:dyDescent="0.2">
      <c r="A1368" s="2">
        <v>6</v>
      </c>
      <c r="B1368" s="1" t="s">
        <v>174</v>
      </c>
      <c r="C1368" s="4">
        <v>4</v>
      </c>
      <c r="D1368" s="8">
        <v>3.31</v>
      </c>
      <c r="E1368" s="4">
        <v>4</v>
      </c>
      <c r="F1368" s="8">
        <v>9.09</v>
      </c>
      <c r="G1368" s="4">
        <v>0</v>
      </c>
      <c r="H1368" s="8">
        <v>0</v>
      </c>
      <c r="I1368" s="4">
        <v>0</v>
      </c>
    </row>
    <row r="1369" spans="1:9" x14ac:dyDescent="0.2">
      <c r="A1369" s="2">
        <v>10</v>
      </c>
      <c r="B1369" s="1" t="s">
        <v>160</v>
      </c>
      <c r="C1369" s="4">
        <v>3</v>
      </c>
      <c r="D1369" s="8">
        <v>2.48</v>
      </c>
      <c r="E1369" s="4">
        <v>2</v>
      </c>
      <c r="F1369" s="8">
        <v>4.55</v>
      </c>
      <c r="G1369" s="4">
        <v>1</v>
      </c>
      <c r="H1369" s="8">
        <v>1.33</v>
      </c>
      <c r="I1369" s="4">
        <v>0</v>
      </c>
    </row>
    <row r="1370" spans="1:9" x14ac:dyDescent="0.2">
      <c r="A1370" s="2">
        <v>10</v>
      </c>
      <c r="B1370" s="1" t="s">
        <v>196</v>
      </c>
      <c r="C1370" s="4">
        <v>3</v>
      </c>
      <c r="D1370" s="8">
        <v>2.48</v>
      </c>
      <c r="E1370" s="4">
        <v>0</v>
      </c>
      <c r="F1370" s="8">
        <v>0</v>
      </c>
      <c r="G1370" s="4">
        <v>3</v>
      </c>
      <c r="H1370" s="8">
        <v>4</v>
      </c>
      <c r="I1370" s="4">
        <v>0</v>
      </c>
    </row>
    <row r="1371" spans="1:9" x14ac:dyDescent="0.2">
      <c r="A1371" s="2">
        <v>10</v>
      </c>
      <c r="B1371" s="1" t="s">
        <v>187</v>
      </c>
      <c r="C1371" s="4">
        <v>3</v>
      </c>
      <c r="D1371" s="8">
        <v>2.48</v>
      </c>
      <c r="E1371" s="4">
        <v>1</v>
      </c>
      <c r="F1371" s="8">
        <v>2.27</v>
      </c>
      <c r="G1371" s="4">
        <v>2</v>
      </c>
      <c r="H1371" s="8">
        <v>2.67</v>
      </c>
      <c r="I1371" s="4">
        <v>0</v>
      </c>
    </row>
    <row r="1372" spans="1:9" x14ac:dyDescent="0.2">
      <c r="A1372" s="2">
        <v>10</v>
      </c>
      <c r="B1372" s="1" t="s">
        <v>191</v>
      </c>
      <c r="C1372" s="4">
        <v>3</v>
      </c>
      <c r="D1372" s="8">
        <v>2.48</v>
      </c>
      <c r="E1372" s="4">
        <v>2</v>
      </c>
      <c r="F1372" s="8">
        <v>4.55</v>
      </c>
      <c r="G1372" s="4">
        <v>1</v>
      </c>
      <c r="H1372" s="8">
        <v>1.33</v>
      </c>
      <c r="I1372" s="4">
        <v>0</v>
      </c>
    </row>
    <row r="1373" spans="1:9" x14ac:dyDescent="0.2">
      <c r="A1373" s="2">
        <v>10</v>
      </c>
      <c r="B1373" s="1" t="s">
        <v>210</v>
      </c>
      <c r="C1373" s="4">
        <v>3</v>
      </c>
      <c r="D1373" s="8">
        <v>2.48</v>
      </c>
      <c r="E1373" s="4">
        <v>2</v>
      </c>
      <c r="F1373" s="8">
        <v>4.55</v>
      </c>
      <c r="G1373" s="4">
        <v>1</v>
      </c>
      <c r="H1373" s="8">
        <v>1.33</v>
      </c>
      <c r="I1373" s="4">
        <v>0</v>
      </c>
    </row>
    <row r="1374" spans="1:9" x14ac:dyDescent="0.2">
      <c r="A1374" s="2">
        <v>10</v>
      </c>
      <c r="B1374" s="1" t="s">
        <v>170</v>
      </c>
      <c r="C1374" s="4">
        <v>3</v>
      </c>
      <c r="D1374" s="8">
        <v>2.48</v>
      </c>
      <c r="E1374" s="4">
        <v>3</v>
      </c>
      <c r="F1374" s="8">
        <v>6.82</v>
      </c>
      <c r="G1374" s="4">
        <v>0</v>
      </c>
      <c r="H1374" s="8">
        <v>0</v>
      </c>
      <c r="I1374" s="4">
        <v>0</v>
      </c>
    </row>
    <row r="1375" spans="1:9" x14ac:dyDescent="0.2">
      <c r="A1375" s="2">
        <v>16</v>
      </c>
      <c r="B1375" s="1" t="s">
        <v>194</v>
      </c>
      <c r="C1375" s="4">
        <v>2</v>
      </c>
      <c r="D1375" s="8">
        <v>1.65</v>
      </c>
      <c r="E1375" s="4">
        <v>2</v>
      </c>
      <c r="F1375" s="8">
        <v>4.55</v>
      </c>
      <c r="G1375" s="4">
        <v>0</v>
      </c>
      <c r="H1375" s="8">
        <v>0</v>
      </c>
      <c r="I1375" s="4">
        <v>0</v>
      </c>
    </row>
    <row r="1376" spans="1:9" x14ac:dyDescent="0.2">
      <c r="A1376" s="2">
        <v>16</v>
      </c>
      <c r="B1376" s="1" t="s">
        <v>162</v>
      </c>
      <c r="C1376" s="4">
        <v>2</v>
      </c>
      <c r="D1376" s="8">
        <v>1.65</v>
      </c>
      <c r="E1376" s="4">
        <v>0</v>
      </c>
      <c r="F1376" s="8">
        <v>0</v>
      </c>
      <c r="G1376" s="4">
        <v>2</v>
      </c>
      <c r="H1376" s="8">
        <v>2.67</v>
      </c>
      <c r="I1376" s="4">
        <v>0</v>
      </c>
    </row>
    <row r="1377" spans="1:9" x14ac:dyDescent="0.2">
      <c r="A1377" s="2">
        <v>16</v>
      </c>
      <c r="B1377" s="1" t="s">
        <v>219</v>
      </c>
      <c r="C1377" s="4">
        <v>2</v>
      </c>
      <c r="D1377" s="8">
        <v>1.65</v>
      </c>
      <c r="E1377" s="4">
        <v>0</v>
      </c>
      <c r="F1377" s="8">
        <v>0</v>
      </c>
      <c r="G1377" s="4">
        <v>2</v>
      </c>
      <c r="H1377" s="8">
        <v>2.67</v>
      </c>
      <c r="I1377" s="4">
        <v>0</v>
      </c>
    </row>
    <row r="1378" spans="1:9" x14ac:dyDescent="0.2">
      <c r="A1378" s="2">
        <v>16</v>
      </c>
      <c r="B1378" s="1" t="s">
        <v>243</v>
      </c>
      <c r="C1378" s="4">
        <v>2</v>
      </c>
      <c r="D1378" s="8">
        <v>1.65</v>
      </c>
      <c r="E1378" s="4">
        <v>1</v>
      </c>
      <c r="F1378" s="8">
        <v>2.27</v>
      </c>
      <c r="G1378" s="4">
        <v>1</v>
      </c>
      <c r="H1378" s="8">
        <v>1.33</v>
      </c>
      <c r="I1378" s="4">
        <v>0</v>
      </c>
    </row>
    <row r="1379" spans="1:9" x14ac:dyDescent="0.2">
      <c r="A1379" s="2">
        <v>16</v>
      </c>
      <c r="B1379" s="1" t="s">
        <v>166</v>
      </c>
      <c r="C1379" s="4">
        <v>2</v>
      </c>
      <c r="D1379" s="8">
        <v>1.65</v>
      </c>
      <c r="E1379" s="4">
        <v>2</v>
      </c>
      <c r="F1379" s="8">
        <v>4.55</v>
      </c>
      <c r="G1379" s="4">
        <v>0</v>
      </c>
      <c r="H1379" s="8">
        <v>0</v>
      </c>
      <c r="I1379" s="4">
        <v>0</v>
      </c>
    </row>
    <row r="1380" spans="1:9" x14ac:dyDescent="0.2">
      <c r="A1380" s="2">
        <v>16</v>
      </c>
      <c r="B1380" s="1" t="s">
        <v>171</v>
      </c>
      <c r="C1380" s="4">
        <v>2</v>
      </c>
      <c r="D1380" s="8">
        <v>1.65</v>
      </c>
      <c r="E1380" s="4">
        <v>2</v>
      </c>
      <c r="F1380" s="8">
        <v>4.55</v>
      </c>
      <c r="G1380" s="4">
        <v>0</v>
      </c>
      <c r="H1380" s="8">
        <v>0</v>
      </c>
      <c r="I1380" s="4">
        <v>0</v>
      </c>
    </row>
    <row r="1381" spans="1:9" x14ac:dyDescent="0.2">
      <c r="A1381" s="2">
        <v>16</v>
      </c>
      <c r="B1381" s="1" t="s">
        <v>175</v>
      </c>
      <c r="C1381" s="4">
        <v>2</v>
      </c>
      <c r="D1381" s="8">
        <v>1.65</v>
      </c>
      <c r="E1381" s="4">
        <v>2</v>
      </c>
      <c r="F1381" s="8">
        <v>4.55</v>
      </c>
      <c r="G1381" s="4">
        <v>0</v>
      </c>
      <c r="H1381" s="8">
        <v>0</v>
      </c>
      <c r="I1381" s="4">
        <v>0</v>
      </c>
    </row>
    <row r="1382" spans="1:9" x14ac:dyDescent="0.2">
      <c r="A1382" s="2">
        <v>16</v>
      </c>
      <c r="B1382" s="1" t="s">
        <v>308</v>
      </c>
      <c r="C1382" s="4">
        <v>2</v>
      </c>
      <c r="D1382" s="8">
        <v>1.65</v>
      </c>
      <c r="E1382" s="4">
        <v>0</v>
      </c>
      <c r="F1382" s="8">
        <v>0</v>
      </c>
      <c r="G1382" s="4">
        <v>2</v>
      </c>
      <c r="H1382" s="8">
        <v>2.67</v>
      </c>
      <c r="I1382" s="4">
        <v>0</v>
      </c>
    </row>
    <row r="1383" spans="1:9" x14ac:dyDescent="0.2">
      <c r="A1383" s="2">
        <v>16</v>
      </c>
      <c r="B1383" s="1" t="s">
        <v>211</v>
      </c>
      <c r="C1383" s="4">
        <v>2</v>
      </c>
      <c r="D1383" s="8">
        <v>1.65</v>
      </c>
      <c r="E1383" s="4">
        <v>0</v>
      </c>
      <c r="F1383" s="8">
        <v>0</v>
      </c>
      <c r="G1383" s="4">
        <v>2</v>
      </c>
      <c r="H1383" s="8">
        <v>2.67</v>
      </c>
      <c r="I1383" s="4">
        <v>0</v>
      </c>
    </row>
    <row r="1384" spans="1:9" x14ac:dyDescent="0.2">
      <c r="A1384" s="1"/>
      <c r="C1384" s="4"/>
      <c r="D1384" s="8"/>
      <c r="E1384" s="4"/>
      <c r="F1384" s="8"/>
      <c r="G1384" s="4"/>
      <c r="H1384" s="8"/>
      <c r="I1384" s="4"/>
    </row>
    <row r="1385" spans="1:9" x14ac:dyDescent="0.2">
      <c r="A1385" s="1" t="s">
        <v>51</v>
      </c>
      <c r="C1385" s="4"/>
      <c r="D1385" s="8"/>
      <c r="E1385" s="4"/>
      <c r="F1385" s="8"/>
      <c r="G1385" s="4"/>
      <c r="H1385" s="8"/>
      <c r="I1385" s="4"/>
    </row>
    <row r="1386" spans="1:9" x14ac:dyDescent="0.2">
      <c r="A1386" s="2">
        <v>1</v>
      </c>
      <c r="B1386" s="1" t="s">
        <v>158</v>
      </c>
      <c r="C1386" s="4">
        <v>6</v>
      </c>
      <c r="D1386" s="8">
        <v>5.77</v>
      </c>
      <c r="E1386" s="4">
        <v>0</v>
      </c>
      <c r="F1386" s="8">
        <v>0</v>
      </c>
      <c r="G1386" s="4">
        <v>6</v>
      </c>
      <c r="H1386" s="8">
        <v>10.17</v>
      </c>
      <c r="I1386" s="4">
        <v>0</v>
      </c>
    </row>
    <row r="1387" spans="1:9" x14ac:dyDescent="0.2">
      <c r="A1387" s="2">
        <v>1</v>
      </c>
      <c r="B1387" s="1" t="s">
        <v>174</v>
      </c>
      <c r="C1387" s="4">
        <v>6</v>
      </c>
      <c r="D1387" s="8">
        <v>5.77</v>
      </c>
      <c r="E1387" s="4">
        <v>6</v>
      </c>
      <c r="F1387" s="8">
        <v>13.64</v>
      </c>
      <c r="G1387" s="4">
        <v>0</v>
      </c>
      <c r="H1387" s="8">
        <v>0</v>
      </c>
      <c r="I1387" s="4">
        <v>0</v>
      </c>
    </row>
    <row r="1388" spans="1:9" x14ac:dyDescent="0.2">
      <c r="A1388" s="2">
        <v>3</v>
      </c>
      <c r="B1388" s="1" t="s">
        <v>160</v>
      </c>
      <c r="C1388" s="4">
        <v>4</v>
      </c>
      <c r="D1388" s="8">
        <v>3.85</v>
      </c>
      <c r="E1388" s="4">
        <v>4</v>
      </c>
      <c r="F1388" s="8">
        <v>9.09</v>
      </c>
      <c r="G1388" s="4">
        <v>0</v>
      </c>
      <c r="H1388" s="8">
        <v>0</v>
      </c>
      <c r="I1388" s="4">
        <v>0</v>
      </c>
    </row>
    <row r="1389" spans="1:9" x14ac:dyDescent="0.2">
      <c r="A1389" s="2">
        <v>3</v>
      </c>
      <c r="B1389" s="1" t="s">
        <v>181</v>
      </c>
      <c r="C1389" s="4">
        <v>4</v>
      </c>
      <c r="D1389" s="8">
        <v>3.85</v>
      </c>
      <c r="E1389" s="4">
        <v>4</v>
      </c>
      <c r="F1389" s="8">
        <v>9.09</v>
      </c>
      <c r="G1389" s="4">
        <v>0</v>
      </c>
      <c r="H1389" s="8">
        <v>0</v>
      </c>
      <c r="I1389" s="4">
        <v>0</v>
      </c>
    </row>
    <row r="1390" spans="1:9" x14ac:dyDescent="0.2">
      <c r="A1390" s="2">
        <v>5</v>
      </c>
      <c r="B1390" s="1" t="s">
        <v>287</v>
      </c>
      <c r="C1390" s="4">
        <v>3</v>
      </c>
      <c r="D1390" s="8">
        <v>2.88</v>
      </c>
      <c r="E1390" s="4">
        <v>0</v>
      </c>
      <c r="F1390" s="8">
        <v>0</v>
      </c>
      <c r="G1390" s="4">
        <v>3</v>
      </c>
      <c r="H1390" s="8">
        <v>5.08</v>
      </c>
      <c r="I1390" s="4">
        <v>0</v>
      </c>
    </row>
    <row r="1391" spans="1:9" x14ac:dyDescent="0.2">
      <c r="A1391" s="2">
        <v>5</v>
      </c>
      <c r="B1391" s="1" t="s">
        <v>188</v>
      </c>
      <c r="C1391" s="4">
        <v>3</v>
      </c>
      <c r="D1391" s="8">
        <v>2.88</v>
      </c>
      <c r="E1391" s="4">
        <v>1</v>
      </c>
      <c r="F1391" s="8">
        <v>2.27</v>
      </c>
      <c r="G1391" s="4">
        <v>2</v>
      </c>
      <c r="H1391" s="8">
        <v>3.39</v>
      </c>
      <c r="I1391" s="4">
        <v>0</v>
      </c>
    </row>
    <row r="1392" spans="1:9" x14ac:dyDescent="0.2">
      <c r="A1392" s="2">
        <v>5</v>
      </c>
      <c r="B1392" s="1" t="s">
        <v>310</v>
      </c>
      <c r="C1392" s="4">
        <v>3</v>
      </c>
      <c r="D1392" s="8">
        <v>2.88</v>
      </c>
      <c r="E1392" s="4">
        <v>0</v>
      </c>
      <c r="F1392" s="8">
        <v>0</v>
      </c>
      <c r="G1392" s="4">
        <v>3</v>
      </c>
      <c r="H1392" s="8">
        <v>5.08</v>
      </c>
      <c r="I1392" s="4">
        <v>0</v>
      </c>
    </row>
    <row r="1393" spans="1:9" x14ac:dyDescent="0.2">
      <c r="A1393" s="2">
        <v>5</v>
      </c>
      <c r="B1393" s="1" t="s">
        <v>178</v>
      </c>
      <c r="C1393" s="4">
        <v>3</v>
      </c>
      <c r="D1393" s="8">
        <v>2.88</v>
      </c>
      <c r="E1393" s="4">
        <v>3</v>
      </c>
      <c r="F1393" s="8">
        <v>6.82</v>
      </c>
      <c r="G1393" s="4">
        <v>0</v>
      </c>
      <c r="H1393" s="8">
        <v>0</v>
      </c>
      <c r="I1393" s="4">
        <v>0</v>
      </c>
    </row>
    <row r="1394" spans="1:9" x14ac:dyDescent="0.2">
      <c r="A1394" s="2">
        <v>5</v>
      </c>
      <c r="B1394" s="1" t="s">
        <v>208</v>
      </c>
      <c r="C1394" s="4">
        <v>3</v>
      </c>
      <c r="D1394" s="8">
        <v>2.88</v>
      </c>
      <c r="E1394" s="4">
        <v>1</v>
      </c>
      <c r="F1394" s="8">
        <v>2.27</v>
      </c>
      <c r="G1394" s="4">
        <v>2</v>
      </c>
      <c r="H1394" s="8">
        <v>3.39</v>
      </c>
      <c r="I1394" s="4">
        <v>0</v>
      </c>
    </row>
    <row r="1395" spans="1:9" x14ac:dyDescent="0.2">
      <c r="A1395" s="2">
        <v>5</v>
      </c>
      <c r="B1395" s="1" t="s">
        <v>311</v>
      </c>
      <c r="C1395" s="4">
        <v>3</v>
      </c>
      <c r="D1395" s="8">
        <v>2.88</v>
      </c>
      <c r="E1395" s="4">
        <v>0</v>
      </c>
      <c r="F1395" s="8">
        <v>0</v>
      </c>
      <c r="G1395" s="4">
        <v>3</v>
      </c>
      <c r="H1395" s="8">
        <v>5.08</v>
      </c>
      <c r="I1395" s="4">
        <v>0</v>
      </c>
    </row>
    <row r="1396" spans="1:9" x14ac:dyDescent="0.2">
      <c r="A1396" s="2">
        <v>5</v>
      </c>
      <c r="B1396" s="1" t="s">
        <v>173</v>
      </c>
      <c r="C1396" s="4">
        <v>3</v>
      </c>
      <c r="D1396" s="8">
        <v>2.88</v>
      </c>
      <c r="E1396" s="4">
        <v>3</v>
      </c>
      <c r="F1396" s="8">
        <v>6.82</v>
      </c>
      <c r="G1396" s="4">
        <v>0</v>
      </c>
      <c r="H1396" s="8">
        <v>0</v>
      </c>
      <c r="I1396" s="4">
        <v>0</v>
      </c>
    </row>
    <row r="1397" spans="1:9" x14ac:dyDescent="0.2">
      <c r="A1397" s="2">
        <v>12</v>
      </c>
      <c r="B1397" s="1" t="s">
        <v>198</v>
      </c>
      <c r="C1397" s="4">
        <v>2</v>
      </c>
      <c r="D1397" s="8">
        <v>1.92</v>
      </c>
      <c r="E1397" s="4">
        <v>1</v>
      </c>
      <c r="F1397" s="8">
        <v>2.27</v>
      </c>
      <c r="G1397" s="4">
        <v>1</v>
      </c>
      <c r="H1397" s="8">
        <v>1.69</v>
      </c>
      <c r="I1397" s="4">
        <v>0</v>
      </c>
    </row>
    <row r="1398" spans="1:9" x14ac:dyDescent="0.2">
      <c r="A1398" s="2">
        <v>12</v>
      </c>
      <c r="B1398" s="1" t="s">
        <v>196</v>
      </c>
      <c r="C1398" s="4">
        <v>2</v>
      </c>
      <c r="D1398" s="8">
        <v>1.92</v>
      </c>
      <c r="E1398" s="4">
        <v>0</v>
      </c>
      <c r="F1398" s="8">
        <v>0</v>
      </c>
      <c r="G1398" s="4">
        <v>2</v>
      </c>
      <c r="H1398" s="8">
        <v>3.39</v>
      </c>
      <c r="I1398" s="4">
        <v>0</v>
      </c>
    </row>
    <row r="1399" spans="1:9" x14ac:dyDescent="0.2">
      <c r="A1399" s="2">
        <v>12</v>
      </c>
      <c r="B1399" s="1" t="s">
        <v>309</v>
      </c>
      <c r="C1399" s="4">
        <v>2</v>
      </c>
      <c r="D1399" s="8">
        <v>1.92</v>
      </c>
      <c r="E1399" s="4">
        <v>0</v>
      </c>
      <c r="F1399" s="8">
        <v>0</v>
      </c>
      <c r="G1399" s="4">
        <v>2</v>
      </c>
      <c r="H1399" s="8">
        <v>3.39</v>
      </c>
      <c r="I1399" s="4">
        <v>0</v>
      </c>
    </row>
    <row r="1400" spans="1:9" x14ac:dyDescent="0.2">
      <c r="A1400" s="2">
        <v>12</v>
      </c>
      <c r="B1400" s="1" t="s">
        <v>273</v>
      </c>
      <c r="C1400" s="4">
        <v>2</v>
      </c>
      <c r="D1400" s="8">
        <v>1.92</v>
      </c>
      <c r="E1400" s="4">
        <v>2</v>
      </c>
      <c r="F1400" s="8">
        <v>4.55</v>
      </c>
      <c r="G1400" s="4">
        <v>0</v>
      </c>
      <c r="H1400" s="8">
        <v>0</v>
      </c>
      <c r="I1400" s="4">
        <v>0</v>
      </c>
    </row>
    <row r="1401" spans="1:9" x14ac:dyDescent="0.2">
      <c r="A1401" s="2">
        <v>12</v>
      </c>
      <c r="B1401" s="1" t="s">
        <v>164</v>
      </c>
      <c r="C1401" s="4">
        <v>2</v>
      </c>
      <c r="D1401" s="8">
        <v>1.92</v>
      </c>
      <c r="E1401" s="4">
        <v>0</v>
      </c>
      <c r="F1401" s="8">
        <v>0</v>
      </c>
      <c r="G1401" s="4">
        <v>2</v>
      </c>
      <c r="H1401" s="8">
        <v>3.39</v>
      </c>
      <c r="I1401" s="4">
        <v>0</v>
      </c>
    </row>
    <row r="1402" spans="1:9" x14ac:dyDescent="0.2">
      <c r="A1402" s="2">
        <v>12</v>
      </c>
      <c r="B1402" s="1" t="s">
        <v>210</v>
      </c>
      <c r="C1402" s="4">
        <v>2</v>
      </c>
      <c r="D1402" s="8">
        <v>1.92</v>
      </c>
      <c r="E1402" s="4">
        <v>2</v>
      </c>
      <c r="F1402" s="8">
        <v>4.55</v>
      </c>
      <c r="G1402" s="4">
        <v>0</v>
      </c>
      <c r="H1402" s="8">
        <v>0</v>
      </c>
      <c r="I1402" s="4">
        <v>0</v>
      </c>
    </row>
    <row r="1403" spans="1:9" x14ac:dyDescent="0.2">
      <c r="A1403" s="2">
        <v>12</v>
      </c>
      <c r="B1403" s="1" t="s">
        <v>165</v>
      </c>
      <c r="C1403" s="4">
        <v>2</v>
      </c>
      <c r="D1403" s="8">
        <v>1.92</v>
      </c>
      <c r="E1403" s="4">
        <v>1</v>
      </c>
      <c r="F1403" s="8">
        <v>2.27</v>
      </c>
      <c r="G1403" s="4">
        <v>1</v>
      </c>
      <c r="H1403" s="8">
        <v>1.69</v>
      </c>
      <c r="I1403" s="4">
        <v>0</v>
      </c>
    </row>
    <row r="1404" spans="1:9" x14ac:dyDescent="0.2">
      <c r="A1404" s="2">
        <v>12</v>
      </c>
      <c r="B1404" s="1" t="s">
        <v>166</v>
      </c>
      <c r="C1404" s="4">
        <v>2</v>
      </c>
      <c r="D1404" s="8">
        <v>1.92</v>
      </c>
      <c r="E1404" s="4">
        <v>1</v>
      </c>
      <c r="F1404" s="8">
        <v>2.27</v>
      </c>
      <c r="G1404" s="4">
        <v>1</v>
      </c>
      <c r="H1404" s="8">
        <v>1.69</v>
      </c>
      <c r="I1404" s="4">
        <v>0</v>
      </c>
    </row>
    <row r="1405" spans="1:9" x14ac:dyDescent="0.2">
      <c r="A1405" s="2">
        <v>12</v>
      </c>
      <c r="B1405" s="1" t="s">
        <v>167</v>
      </c>
      <c r="C1405" s="4">
        <v>2</v>
      </c>
      <c r="D1405" s="8">
        <v>1.92</v>
      </c>
      <c r="E1405" s="4">
        <v>0</v>
      </c>
      <c r="F1405" s="8">
        <v>0</v>
      </c>
      <c r="G1405" s="4">
        <v>2</v>
      </c>
      <c r="H1405" s="8">
        <v>3.39</v>
      </c>
      <c r="I1405" s="4">
        <v>0</v>
      </c>
    </row>
    <row r="1406" spans="1:9" x14ac:dyDescent="0.2">
      <c r="A1406" s="2">
        <v>12</v>
      </c>
      <c r="B1406" s="1" t="s">
        <v>168</v>
      </c>
      <c r="C1406" s="4">
        <v>2</v>
      </c>
      <c r="D1406" s="8">
        <v>1.92</v>
      </c>
      <c r="E1406" s="4">
        <v>0</v>
      </c>
      <c r="F1406" s="8">
        <v>0</v>
      </c>
      <c r="G1406" s="4">
        <v>2</v>
      </c>
      <c r="H1406" s="8">
        <v>3.39</v>
      </c>
      <c r="I1406" s="4">
        <v>0</v>
      </c>
    </row>
    <row r="1407" spans="1:9" x14ac:dyDescent="0.2">
      <c r="A1407" s="2">
        <v>12</v>
      </c>
      <c r="B1407" s="1" t="s">
        <v>169</v>
      </c>
      <c r="C1407" s="4">
        <v>2</v>
      </c>
      <c r="D1407" s="8">
        <v>1.92</v>
      </c>
      <c r="E1407" s="4">
        <v>0</v>
      </c>
      <c r="F1407" s="8">
        <v>0</v>
      </c>
      <c r="G1407" s="4">
        <v>2</v>
      </c>
      <c r="H1407" s="8">
        <v>3.39</v>
      </c>
      <c r="I1407" s="4">
        <v>0</v>
      </c>
    </row>
    <row r="1408" spans="1:9" x14ac:dyDescent="0.2">
      <c r="A1408" s="2">
        <v>12</v>
      </c>
      <c r="B1408" s="1" t="s">
        <v>269</v>
      </c>
      <c r="C1408" s="4">
        <v>2</v>
      </c>
      <c r="D1408" s="8">
        <v>1.92</v>
      </c>
      <c r="E1408" s="4">
        <v>1</v>
      </c>
      <c r="F1408" s="8">
        <v>2.27</v>
      </c>
      <c r="G1408" s="4">
        <v>1</v>
      </c>
      <c r="H1408" s="8">
        <v>1.69</v>
      </c>
      <c r="I1408" s="4">
        <v>0</v>
      </c>
    </row>
    <row r="1409" spans="1:9" x14ac:dyDescent="0.2">
      <c r="A1409" s="2">
        <v>12</v>
      </c>
      <c r="B1409" s="1" t="s">
        <v>206</v>
      </c>
      <c r="C1409" s="4">
        <v>2</v>
      </c>
      <c r="D1409" s="8">
        <v>1.92</v>
      </c>
      <c r="E1409" s="4">
        <v>0</v>
      </c>
      <c r="F1409" s="8">
        <v>0</v>
      </c>
      <c r="G1409" s="4">
        <v>1</v>
      </c>
      <c r="H1409" s="8">
        <v>1.69</v>
      </c>
      <c r="I1409" s="4">
        <v>0</v>
      </c>
    </row>
    <row r="1410" spans="1:9" x14ac:dyDescent="0.2">
      <c r="A1410" s="1"/>
      <c r="C1410" s="4"/>
      <c r="D1410" s="8"/>
      <c r="E1410" s="4"/>
      <c r="F1410" s="8"/>
      <c r="G1410" s="4"/>
      <c r="H1410" s="8"/>
      <c r="I1410" s="4"/>
    </row>
    <row r="1411" spans="1:9" x14ac:dyDescent="0.2">
      <c r="A1411" s="1" t="s">
        <v>52</v>
      </c>
      <c r="C1411" s="4"/>
      <c r="D1411" s="8"/>
      <c r="E1411" s="4"/>
      <c r="F1411" s="8"/>
      <c r="G1411" s="4"/>
      <c r="H1411" s="8"/>
      <c r="I1411" s="4"/>
    </row>
    <row r="1412" spans="1:9" x14ac:dyDescent="0.2">
      <c r="A1412" s="2">
        <v>1</v>
      </c>
      <c r="B1412" s="1" t="s">
        <v>158</v>
      </c>
      <c r="C1412" s="4">
        <v>8</v>
      </c>
      <c r="D1412" s="8">
        <v>12.12</v>
      </c>
      <c r="E1412" s="4">
        <v>0</v>
      </c>
      <c r="F1412" s="8">
        <v>0</v>
      </c>
      <c r="G1412" s="4">
        <v>7</v>
      </c>
      <c r="H1412" s="8">
        <v>12.28</v>
      </c>
      <c r="I1412" s="4">
        <v>1</v>
      </c>
    </row>
    <row r="1413" spans="1:9" x14ac:dyDescent="0.2">
      <c r="A1413" s="2">
        <v>2</v>
      </c>
      <c r="B1413" s="1" t="s">
        <v>187</v>
      </c>
      <c r="C1413" s="4">
        <v>4</v>
      </c>
      <c r="D1413" s="8">
        <v>6.06</v>
      </c>
      <c r="E1413" s="4">
        <v>0</v>
      </c>
      <c r="F1413" s="8">
        <v>0</v>
      </c>
      <c r="G1413" s="4">
        <v>4</v>
      </c>
      <c r="H1413" s="8">
        <v>7.02</v>
      </c>
      <c r="I1413" s="4">
        <v>0</v>
      </c>
    </row>
    <row r="1414" spans="1:9" x14ac:dyDescent="0.2">
      <c r="A1414" s="2">
        <v>3</v>
      </c>
      <c r="B1414" s="1" t="s">
        <v>162</v>
      </c>
      <c r="C1414" s="4">
        <v>3</v>
      </c>
      <c r="D1414" s="8">
        <v>4.55</v>
      </c>
      <c r="E1414" s="4">
        <v>0</v>
      </c>
      <c r="F1414" s="8">
        <v>0</v>
      </c>
      <c r="G1414" s="4">
        <v>3</v>
      </c>
      <c r="H1414" s="8">
        <v>5.26</v>
      </c>
      <c r="I1414" s="4">
        <v>0</v>
      </c>
    </row>
    <row r="1415" spans="1:9" x14ac:dyDescent="0.2">
      <c r="A1415" s="2">
        <v>3</v>
      </c>
      <c r="B1415" s="1" t="s">
        <v>188</v>
      </c>
      <c r="C1415" s="4">
        <v>3</v>
      </c>
      <c r="D1415" s="8">
        <v>4.55</v>
      </c>
      <c r="E1415" s="4">
        <v>0</v>
      </c>
      <c r="F1415" s="8">
        <v>0</v>
      </c>
      <c r="G1415" s="4">
        <v>3</v>
      </c>
      <c r="H1415" s="8">
        <v>5.26</v>
      </c>
      <c r="I1415" s="4">
        <v>0</v>
      </c>
    </row>
    <row r="1416" spans="1:9" x14ac:dyDescent="0.2">
      <c r="A1416" s="2">
        <v>3</v>
      </c>
      <c r="B1416" s="1" t="s">
        <v>319</v>
      </c>
      <c r="C1416" s="4">
        <v>3</v>
      </c>
      <c r="D1416" s="8">
        <v>4.55</v>
      </c>
      <c r="E1416" s="4">
        <v>0</v>
      </c>
      <c r="F1416" s="8">
        <v>0</v>
      </c>
      <c r="G1416" s="4">
        <v>3</v>
      </c>
      <c r="H1416" s="8">
        <v>5.26</v>
      </c>
      <c r="I1416" s="4">
        <v>0</v>
      </c>
    </row>
    <row r="1417" spans="1:9" x14ac:dyDescent="0.2">
      <c r="A1417" s="2">
        <v>6</v>
      </c>
      <c r="B1417" s="1" t="s">
        <v>287</v>
      </c>
      <c r="C1417" s="4">
        <v>2</v>
      </c>
      <c r="D1417" s="8">
        <v>3.03</v>
      </c>
      <c r="E1417" s="4">
        <v>0</v>
      </c>
      <c r="F1417" s="8">
        <v>0</v>
      </c>
      <c r="G1417" s="4">
        <v>2</v>
      </c>
      <c r="H1417" s="8">
        <v>3.51</v>
      </c>
      <c r="I1417" s="4">
        <v>0</v>
      </c>
    </row>
    <row r="1418" spans="1:9" x14ac:dyDescent="0.2">
      <c r="A1418" s="2">
        <v>6</v>
      </c>
      <c r="B1418" s="1" t="s">
        <v>202</v>
      </c>
      <c r="C1418" s="4">
        <v>2</v>
      </c>
      <c r="D1418" s="8">
        <v>3.03</v>
      </c>
      <c r="E1418" s="4">
        <v>1</v>
      </c>
      <c r="F1418" s="8">
        <v>14.29</v>
      </c>
      <c r="G1418" s="4">
        <v>1</v>
      </c>
      <c r="H1418" s="8">
        <v>1.75</v>
      </c>
      <c r="I1418" s="4">
        <v>0</v>
      </c>
    </row>
    <row r="1419" spans="1:9" x14ac:dyDescent="0.2">
      <c r="A1419" s="2">
        <v>6</v>
      </c>
      <c r="B1419" s="1" t="s">
        <v>307</v>
      </c>
      <c r="C1419" s="4">
        <v>2</v>
      </c>
      <c r="D1419" s="8">
        <v>3.03</v>
      </c>
      <c r="E1419" s="4">
        <v>0</v>
      </c>
      <c r="F1419" s="8">
        <v>0</v>
      </c>
      <c r="G1419" s="4">
        <v>2</v>
      </c>
      <c r="H1419" s="8">
        <v>3.51</v>
      </c>
      <c r="I1419" s="4">
        <v>0</v>
      </c>
    </row>
    <row r="1420" spans="1:9" x14ac:dyDescent="0.2">
      <c r="A1420" s="2">
        <v>6</v>
      </c>
      <c r="B1420" s="1" t="s">
        <v>166</v>
      </c>
      <c r="C1420" s="4">
        <v>2</v>
      </c>
      <c r="D1420" s="8">
        <v>3.03</v>
      </c>
      <c r="E1420" s="4">
        <v>0</v>
      </c>
      <c r="F1420" s="8">
        <v>0</v>
      </c>
      <c r="G1420" s="4">
        <v>2</v>
      </c>
      <c r="H1420" s="8">
        <v>3.51</v>
      </c>
      <c r="I1420" s="4">
        <v>0</v>
      </c>
    </row>
    <row r="1421" spans="1:9" x14ac:dyDescent="0.2">
      <c r="A1421" s="2">
        <v>6</v>
      </c>
      <c r="B1421" s="1" t="s">
        <v>311</v>
      </c>
      <c r="C1421" s="4">
        <v>2</v>
      </c>
      <c r="D1421" s="8">
        <v>3.03</v>
      </c>
      <c r="E1421" s="4">
        <v>0</v>
      </c>
      <c r="F1421" s="8">
        <v>0</v>
      </c>
      <c r="G1421" s="4">
        <v>2</v>
      </c>
      <c r="H1421" s="8">
        <v>3.51</v>
      </c>
      <c r="I1421" s="4">
        <v>0</v>
      </c>
    </row>
    <row r="1422" spans="1:9" x14ac:dyDescent="0.2">
      <c r="A1422" s="2">
        <v>6</v>
      </c>
      <c r="B1422" s="1" t="s">
        <v>236</v>
      </c>
      <c r="C1422" s="4">
        <v>2</v>
      </c>
      <c r="D1422" s="8">
        <v>3.03</v>
      </c>
      <c r="E1422" s="4">
        <v>0</v>
      </c>
      <c r="F1422" s="8">
        <v>0</v>
      </c>
      <c r="G1422" s="4">
        <v>1</v>
      </c>
      <c r="H1422" s="8">
        <v>1.75</v>
      </c>
      <c r="I1422" s="4">
        <v>0</v>
      </c>
    </row>
    <row r="1423" spans="1:9" x14ac:dyDescent="0.2">
      <c r="A1423" s="2">
        <v>6</v>
      </c>
      <c r="B1423" s="1" t="s">
        <v>286</v>
      </c>
      <c r="C1423" s="4">
        <v>2</v>
      </c>
      <c r="D1423" s="8">
        <v>3.03</v>
      </c>
      <c r="E1423" s="4">
        <v>2</v>
      </c>
      <c r="F1423" s="8">
        <v>28.57</v>
      </c>
      <c r="G1423" s="4">
        <v>0</v>
      </c>
      <c r="H1423" s="8">
        <v>0</v>
      </c>
      <c r="I1423" s="4">
        <v>0</v>
      </c>
    </row>
    <row r="1424" spans="1:9" x14ac:dyDescent="0.2">
      <c r="A1424" s="2">
        <v>13</v>
      </c>
      <c r="B1424" s="1" t="s">
        <v>196</v>
      </c>
      <c r="C1424" s="4">
        <v>1</v>
      </c>
      <c r="D1424" s="8">
        <v>1.52</v>
      </c>
      <c r="E1424" s="4">
        <v>0</v>
      </c>
      <c r="F1424" s="8">
        <v>0</v>
      </c>
      <c r="G1424" s="4">
        <v>1</v>
      </c>
      <c r="H1424" s="8">
        <v>1.75</v>
      </c>
      <c r="I1424" s="4">
        <v>0</v>
      </c>
    </row>
    <row r="1425" spans="1:9" x14ac:dyDescent="0.2">
      <c r="A1425" s="2">
        <v>13</v>
      </c>
      <c r="B1425" s="1" t="s">
        <v>201</v>
      </c>
      <c r="C1425" s="4">
        <v>1</v>
      </c>
      <c r="D1425" s="8">
        <v>1.52</v>
      </c>
      <c r="E1425" s="4">
        <v>0</v>
      </c>
      <c r="F1425" s="8">
        <v>0</v>
      </c>
      <c r="G1425" s="4">
        <v>1</v>
      </c>
      <c r="H1425" s="8">
        <v>1.75</v>
      </c>
      <c r="I1425" s="4">
        <v>0</v>
      </c>
    </row>
    <row r="1426" spans="1:9" x14ac:dyDescent="0.2">
      <c r="A1426" s="2">
        <v>13</v>
      </c>
      <c r="B1426" s="1" t="s">
        <v>161</v>
      </c>
      <c r="C1426" s="4">
        <v>1</v>
      </c>
      <c r="D1426" s="8">
        <v>1.52</v>
      </c>
      <c r="E1426" s="4">
        <v>0</v>
      </c>
      <c r="F1426" s="8">
        <v>0</v>
      </c>
      <c r="G1426" s="4">
        <v>1</v>
      </c>
      <c r="H1426" s="8">
        <v>1.75</v>
      </c>
      <c r="I1426" s="4">
        <v>0</v>
      </c>
    </row>
    <row r="1427" spans="1:9" x14ac:dyDescent="0.2">
      <c r="A1427" s="2">
        <v>13</v>
      </c>
      <c r="B1427" s="1" t="s">
        <v>306</v>
      </c>
      <c r="C1427" s="4">
        <v>1</v>
      </c>
      <c r="D1427" s="8">
        <v>1.52</v>
      </c>
      <c r="E1427" s="4">
        <v>0</v>
      </c>
      <c r="F1427" s="8">
        <v>0</v>
      </c>
      <c r="G1427" s="4">
        <v>1</v>
      </c>
      <c r="H1427" s="8">
        <v>1.75</v>
      </c>
      <c r="I1427" s="4">
        <v>0</v>
      </c>
    </row>
    <row r="1428" spans="1:9" x14ac:dyDescent="0.2">
      <c r="A1428" s="2">
        <v>13</v>
      </c>
      <c r="B1428" s="1" t="s">
        <v>309</v>
      </c>
      <c r="C1428" s="4">
        <v>1</v>
      </c>
      <c r="D1428" s="8">
        <v>1.52</v>
      </c>
      <c r="E1428" s="4">
        <v>0</v>
      </c>
      <c r="F1428" s="8">
        <v>0</v>
      </c>
      <c r="G1428" s="4">
        <v>1</v>
      </c>
      <c r="H1428" s="8">
        <v>1.75</v>
      </c>
      <c r="I1428" s="4">
        <v>0</v>
      </c>
    </row>
    <row r="1429" spans="1:9" x14ac:dyDescent="0.2">
      <c r="A1429" s="2">
        <v>13</v>
      </c>
      <c r="B1429" s="1" t="s">
        <v>312</v>
      </c>
      <c r="C1429" s="4">
        <v>1</v>
      </c>
      <c r="D1429" s="8">
        <v>1.52</v>
      </c>
      <c r="E1429" s="4">
        <v>0</v>
      </c>
      <c r="F1429" s="8">
        <v>0</v>
      </c>
      <c r="G1429" s="4">
        <v>1</v>
      </c>
      <c r="H1429" s="8">
        <v>1.75</v>
      </c>
      <c r="I1429" s="4">
        <v>0</v>
      </c>
    </row>
    <row r="1430" spans="1:9" x14ac:dyDescent="0.2">
      <c r="A1430" s="2">
        <v>13</v>
      </c>
      <c r="B1430" s="1" t="s">
        <v>219</v>
      </c>
      <c r="C1430" s="4">
        <v>1</v>
      </c>
      <c r="D1430" s="8">
        <v>1.52</v>
      </c>
      <c r="E1430" s="4">
        <v>0</v>
      </c>
      <c r="F1430" s="8">
        <v>0</v>
      </c>
      <c r="G1430" s="4">
        <v>1</v>
      </c>
      <c r="H1430" s="8">
        <v>1.75</v>
      </c>
      <c r="I1430" s="4">
        <v>0</v>
      </c>
    </row>
    <row r="1431" spans="1:9" x14ac:dyDescent="0.2">
      <c r="A1431" s="2">
        <v>13</v>
      </c>
      <c r="B1431" s="1" t="s">
        <v>251</v>
      </c>
      <c r="C1431" s="4">
        <v>1</v>
      </c>
      <c r="D1431" s="8">
        <v>1.52</v>
      </c>
      <c r="E1431" s="4">
        <v>0</v>
      </c>
      <c r="F1431" s="8">
        <v>0</v>
      </c>
      <c r="G1431" s="4">
        <v>1</v>
      </c>
      <c r="H1431" s="8">
        <v>1.75</v>
      </c>
      <c r="I1431" s="4">
        <v>0</v>
      </c>
    </row>
    <row r="1432" spans="1:9" x14ac:dyDescent="0.2">
      <c r="A1432" s="2">
        <v>13</v>
      </c>
      <c r="B1432" s="1" t="s">
        <v>254</v>
      </c>
      <c r="C1432" s="4">
        <v>1</v>
      </c>
      <c r="D1432" s="8">
        <v>1.52</v>
      </c>
      <c r="E1432" s="4">
        <v>0</v>
      </c>
      <c r="F1432" s="8">
        <v>0</v>
      </c>
      <c r="G1432" s="4">
        <v>1</v>
      </c>
      <c r="H1432" s="8">
        <v>1.75</v>
      </c>
      <c r="I1432" s="4">
        <v>0</v>
      </c>
    </row>
    <row r="1433" spans="1:9" x14ac:dyDescent="0.2">
      <c r="A1433" s="2">
        <v>13</v>
      </c>
      <c r="B1433" s="1" t="s">
        <v>313</v>
      </c>
      <c r="C1433" s="4">
        <v>1</v>
      </c>
      <c r="D1433" s="8">
        <v>1.52</v>
      </c>
      <c r="E1433" s="4">
        <v>0</v>
      </c>
      <c r="F1433" s="8">
        <v>0</v>
      </c>
      <c r="G1433" s="4">
        <v>1</v>
      </c>
      <c r="H1433" s="8">
        <v>1.75</v>
      </c>
      <c r="I1433" s="4">
        <v>0</v>
      </c>
    </row>
    <row r="1434" spans="1:9" x14ac:dyDescent="0.2">
      <c r="A1434" s="2">
        <v>13</v>
      </c>
      <c r="B1434" s="1" t="s">
        <v>314</v>
      </c>
      <c r="C1434" s="4">
        <v>1</v>
      </c>
      <c r="D1434" s="8">
        <v>1.52</v>
      </c>
      <c r="E1434" s="4">
        <v>0</v>
      </c>
      <c r="F1434" s="8">
        <v>0</v>
      </c>
      <c r="G1434" s="4">
        <v>1</v>
      </c>
      <c r="H1434" s="8">
        <v>1.75</v>
      </c>
      <c r="I1434" s="4">
        <v>0</v>
      </c>
    </row>
    <row r="1435" spans="1:9" x14ac:dyDescent="0.2">
      <c r="A1435" s="2">
        <v>13</v>
      </c>
      <c r="B1435" s="1" t="s">
        <v>315</v>
      </c>
      <c r="C1435" s="4">
        <v>1</v>
      </c>
      <c r="D1435" s="8">
        <v>1.52</v>
      </c>
      <c r="E1435" s="4">
        <v>0</v>
      </c>
      <c r="F1435" s="8">
        <v>0</v>
      </c>
      <c r="G1435" s="4">
        <v>1</v>
      </c>
      <c r="H1435" s="8">
        <v>1.75</v>
      </c>
      <c r="I1435" s="4">
        <v>0</v>
      </c>
    </row>
    <row r="1436" spans="1:9" x14ac:dyDescent="0.2">
      <c r="A1436" s="2">
        <v>13</v>
      </c>
      <c r="B1436" s="1" t="s">
        <v>316</v>
      </c>
      <c r="C1436" s="4">
        <v>1</v>
      </c>
      <c r="D1436" s="8">
        <v>1.52</v>
      </c>
      <c r="E1436" s="4">
        <v>0</v>
      </c>
      <c r="F1436" s="8">
        <v>0</v>
      </c>
      <c r="G1436" s="4">
        <v>1</v>
      </c>
      <c r="H1436" s="8">
        <v>1.75</v>
      </c>
      <c r="I1436" s="4">
        <v>0</v>
      </c>
    </row>
    <row r="1437" spans="1:9" x14ac:dyDescent="0.2">
      <c r="A1437" s="2">
        <v>13</v>
      </c>
      <c r="B1437" s="1" t="s">
        <v>185</v>
      </c>
      <c r="C1437" s="4">
        <v>1</v>
      </c>
      <c r="D1437" s="8">
        <v>1.52</v>
      </c>
      <c r="E1437" s="4">
        <v>0</v>
      </c>
      <c r="F1437" s="8">
        <v>0</v>
      </c>
      <c r="G1437" s="4">
        <v>1</v>
      </c>
      <c r="H1437" s="8">
        <v>1.75</v>
      </c>
      <c r="I1437" s="4">
        <v>0</v>
      </c>
    </row>
    <row r="1438" spans="1:9" x14ac:dyDescent="0.2">
      <c r="A1438" s="2">
        <v>13</v>
      </c>
      <c r="B1438" s="1" t="s">
        <v>317</v>
      </c>
      <c r="C1438" s="4">
        <v>1</v>
      </c>
      <c r="D1438" s="8">
        <v>1.52</v>
      </c>
      <c r="E1438" s="4">
        <v>0</v>
      </c>
      <c r="F1438" s="8">
        <v>0</v>
      </c>
      <c r="G1438" s="4">
        <v>1</v>
      </c>
      <c r="H1438" s="8">
        <v>1.75</v>
      </c>
      <c r="I1438" s="4">
        <v>0</v>
      </c>
    </row>
    <row r="1439" spans="1:9" x14ac:dyDescent="0.2">
      <c r="A1439" s="2">
        <v>13</v>
      </c>
      <c r="B1439" s="1" t="s">
        <v>204</v>
      </c>
      <c r="C1439" s="4">
        <v>1</v>
      </c>
      <c r="D1439" s="8">
        <v>1.52</v>
      </c>
      <c r="E1439" s="4">
        <v>0</v>
      </c>
      <c r="F1439" s="8">
        <v>0</v>
      </c>
      <c r="G1439" s="4">
        <v>1</v>
      </c>
      <c r="H1439" s="8">
        <v>1.75</v>
      </c>
      <c r="I1439" s="4">
        <v>0</v>
      </c>
    </row>
    <row r="1440" spans="1:9" x14ac:dyDescent="0.2">
      <c r="A1440" s="2">
        <v>13</v>
      </c>
      <c r="B1440" s="1" t="s">
        <v>183</v>
      </c>
      <c r="C1440" s="4">
        <v>1</v>
      </c>
      <c r="D1440" s="8">
        <v>1.52</v>
      </c>
      <c r="E1440" s="4">
        <v>0</v>
      </c>
      <c r="F1440" s="8">
        <v>0</v>
      </c>
      <c r="G1440" s="4">
        <v>1</v>
      </c>
      <c r="H1440" s="8">
        <v>1.75</v>
      </c>
      <c r="I1440" s="4">
        <v>0</v>
      </c>
    </row>
    <row r="1441" spans="1:9" x14ac:dyDescent="0.2">
      <c r="A1441" s="2">
        <v>13</v>
      </c>
      <c r="B1441" s="1" t="s">
        <v>213</v>
      </c>
      <c r="C1441" s="4">
        <v>1</v>
      </c>
      <c r="D1441" s="8">
        <v>1.52</v>
      </c>
      <c r="E1441" s="4">
        <v>1</v>
      </c>
      <c r="F1441" s="8">
        <v>14.29</v>
      </c>
      <c r="G1441" s="4">
        <v>0</v>
      </c>
      <c r="H1441" s="8">
        <v>0</v>
      </c>
      <c r="I1441" s="4">
        <v>0</v>
      </c>
    </row>
    <row r="1442" spans="1:9" x14ac:dyDescent="0.2">
      <c r="A1442" s="2">
        <v>13</v>
      </c>
      <c r="B1442" s="1" t="s">
        <v>169</v>
      </c>
      <c r="C1442" s="4">
        <v>1</v>
      </c>
      <c r="D1442" s="8">
        <v>1.52</v>
      </c>
      <c r="E1442" s="4">
        <v>0</v>
      </c>
      <c r="F1442" s="8">
        <v>0</v>
      </c>
      <c r="G1442" s="4">
        <v>1</v>
      </c>
      <c r="H1442" s="8">
        <v>1.75</v>
      </c>
      <c r="I1442" s="4">
        <v>0</v>
      </c>
    </row>
    <row r="1443" spans="1:9" x14ac:dyDescent="0.2">
      <c r="A1443" s="2">
        <v>13</v>
      </c>
      <c r="B1443" s="1" t="s">
        <v>318</v>
      </c>
      <c r="C1443" s="4">
        <v>1</v>
      </c>
      <c r="D1443" s="8">
        <v>1.52</v>
      </c>
      <c r="E1443" s="4">
        <v>0</v>
      </c>
      <c r="F1443" s="8">
        <v>0</v>
      </c>
      <c r="G1443" s="4">
        <v>1</v>
      </c>
      <c r="H1443" s="8">
        <v>1.75</v>
      </c>
      <c r="I1443" s="4">
        <v>0</v>
      </c>
    </row>
    <row r="1444" spans="1:9" x14ac:dyDescent="0.2">
      <c r="A1444" s="2">
        <v>13</v>
      </c>
      <c r="B1444" s="1" t="s">
        <v>215</v>
      </c>
      <c r="C1444" s="4">
        <v>1</v>
      </c>
      <c r="D1444" s="8">
        <v>1.52</v>
      </c>
      <c r="E1444" s="4">
        <v>1</v>
      </c>
      <c r="F1444" s="8">
        <v>14.29</v>
      </c>
      <c r="G1444" s="4">
        <v>0</v>
      </c>
      <c r="H1444" s="8">
        <v>0</v>
      </c>
      <c r="I1444" s="4">
        <v>0</v>
      </c>
    </row>
    <row r="1445" spans="1:9" x14ac:dyDescent="0.2">
      <c r="A1445" s="2">
        <v>13</v>
      </c>
      <c r="B1445" s="1" t="s">
        <v>216</v>
      </c>
      <c r="C1445" s="4">
        <v>1</v>
      </c>
      <c r="D1445" s="8">
        <v>1.52</v>
      </c>
      <c r="E1445" s="4">
        <v>1</v>
      </c>
      <c r="F1445" s="8">
        <v>14.29</v>
      </c>
      <c r="G1445" s="4">
        <v>0</v>
      </c>
      <c r="H1445" s="8">
        <v>0</v>
      </c>
      <c r="I1445" s="4">
        <v>0</v>
      </c>
    </row>
    <row r="1446" spans="1:9" x14ac:dyDescent="0.2">
      <c r="A1446" s="2">
        <v>13</v>
      </c>
      <c r="B1446" s="1" t="s">
        <v>186</v>
      </c>
      <c r="C1446" s="4">
        <v>1</v>
      </c>
      <c r="D1446" s="8">
        <v>1.52</v>
      </c>
      <c r="E1446" s="4">
        <v>0</v>
      </c>
      <c r="F1446" s="8">
        <v>0</v>
      </c>
      <c r="G1446" s="4">
        <v>1</v>
      </c>
      <c r="H1446" s="8">
        <v>1.75</v>
      </c>
      <c r="I1446" s="4">
        <v>0</v>
      </c>
    </row>
    <row r="1447" spans="1:9" x14ac:dyDescent="0.2">
      <c r="A1447" s="2">
        <v>13</v>
      </c>
      <c r="B1447" s="1" t="s">
        <v>173</v>
      </c>
      <c r="C1447" s="4">
        <v>1</v>
      </c>
      <c r="D1447" s="8">
        <v>1.52</v>
      </c>
      <c r="E1447" s="4">
        <v>0</v>
      </c>
      <c r="F1447" s="8">
        <v>0</v>
      </c>
      <c r="G1447" s="4">
        <v>1</v>
      </c>
      <c r="H1447" s="8">
        <v>1.75</v>
      </c>
      <c r="I1447" s="4">
        <v>0</v>
      </c>
    </row>
    <row r="1448" spans="1:9" x14ac:dyDescent="0.2">
      <c r="A1448" s="2">
        <v>13</v>
      </c>
      <c r="B1448" s="1" t="s">
        <v>174</v>
      </c>
      <c r="C1448" s="4">
        <v>1</v>
      </c>
      <c r="D1448" s="8">
        <v>1.52</v>
      </c>
      <c r="E1448" s="4">
        <v>1</v>
      </c>
      <c r="F1448" s="8">
        <v>14.29</v>
      </c>
      <c r="G1448" s="4">
        <v>0</v>
      </c>
      <c r="H1448" s="8">
        <v>0</v>
      </c>
      <c r="I1448" s="4">
        <v>0</v>
      </c>
    </row>
    <row r="1449" spans="1:9" x14ac:dyDescent="0.2">
      <c r="A1449" s="2">
        <v>13</v>
      </c>
      <c r="B1449" s="1" t="s">
        <v>269</v>
      </c>
      <c r="C1449" s="4">
        <v>1</v>
      </c>
      <c r="D1449" s="8">
        <v>1.52</v>
      </c>
      <c r="E1449" s="4">
        <v>0</v>
      </c>
      <c r="F1449" s="8">
        <v>0</v>
      </c>
      <c r="G1449" s="4">
        <v>1</v>
      </c>
      <c r="H1449" s="8">
        <v>1.75</v>
      </c>
      <c r="I1449" s="4">
        <v>0</v>
      </c>
    </row>
    <row r="1450" spans="1:9" x14ac:dyDescent="0.2">
      <c r="A1450" s="2">
        <v>13</v>
      </c>
      <c r="B1450" s="1" t="s">
        <v>218</v>
      </c>
      <c r="C1450" s="4">
        <v>1</v>
      </c>
      <c r="D1450" s="8">
        <v>1.52</v>
      </c>
      <c r="E1450" s="4">
        <v>0</v>
      </c>
      <c r="F1450" s="8">
        <v>0</v>
      </c>
      <c r="G1450" s="4">
        <v>1</v>
      </c>
      <c r="H1450" s="8">
        <v>1.75</v>
      </c>
      <c r="I1450" s="4">
        <v>0</v>
      </c>
    </row>
    <row r="1451" spans="1:9" x14ac:dyDescent="0.2">
      <c r="A1451" s="2">
        <v>13</v>
      </c>
      <c r="B1451" s="1" t="s">
        <v>177</v>
      </c>
      <c r="C1451" s="4">
        <v>1</v>
      </c>
      <c r="D1451" s="8">
        <v>1.52</v>
      </c>
      <c r="E1451" s="4">
        <v>0</v>
      </c>
      <c r="F1451" s="8">
        <v>0</v>
      </c>
      <c r="G1451" s="4">
        <v>1</v>
      </c>
      <c r="H1451" s="8">
        <v>1.75</v>
      </c>
      <c r="I1451" s="4">
        <v>0</v>
      </c>
    </row>
    <row r="1452" spans="1:9" x14ac:dyDescent="0.2">
      <c r="A1452" s="2">
        <v>13</v>
      </c>
      <c r="B1452" s="1" t="s">
        <v>320</v>
      </c>
      <c r="C1452" s="4">
        <v>1</v>
      </c>
      <c r="D1452" s="8">
        <v>1.52</v>
      </c>
      <c r="E1452" s="4">
        <v>0</v>
      </c>
      <c r="F1452" s="8">
        <v>0</v>
      </c>
      <c r="G1452" s="4">
        <v>1</v>
      </c>
      <c r="H1452" s="8">
        <v>1.75</v>
      </c>
      <c r="I1452" s="4">
        <v>0</v>
      </c>
    </row>
    <row r="1453" spans="1:9" x14ac:dyDescent="0.2">
      <c r="A1453" s="2">
        <v>13</v>
      </c>
      <c r="B1453" s="1" t="s">
        <v>321</v>
      </c>
      <c r="C1453" s="4">
        <v>1</v>
      </c>
      <c r="D1453" s="8">
        <v>1.52</v>
      </c>
      <c r="E1453" s="4">
        <v>0</v>
      </c>
      <c r="F1453" s="8">
        <v>0</v>
      </c>
      <c r="G1453" s="4">
        <v>1</v>
      </c>
      <c r="H1453" s="8">
        <v>1.75</v>
      </c>
      <c r="I1453" s="4">
        <v>0</v>
      </c>
    </row>
    <row r="1454" spans="1:9" x14ac:dyDescent="0.2">
      <c r="A1454" s="2">
        <v>13</v>
      </c>
      <c r="B1454" s="1" t="s">
        <v>322</v>
      </c>
      <c r="C1454" s="4">
        <v>1</v>
      </c>
      <c r="D1454" s="8">
        <v>1.52</v>
      </c>
      <c r="E1454" s="4">
        <v>0</v>
      </c>
      <c r="F1454" s="8">
        <v>0</v>
      </c>
      <c r="G1454" s="4">
        <v>1</v>
      </c>
      <c r="H1454" s="8">
        <v>1.75</v>
      </c>
      <c r="I1454" s="4">
        <v>0</v>
      </c>
    </row>
    <row r="1455" spans="1:9" x14ac:dyDescent="0.2">
      <c r="A1455" s="1"/>
      <c r="C1455" s="4"/>
      <c r="D1455" s="8"/>
      <c r="E1455" s="4"/>
      <c r="F1455" s="8"/>
      <c r="G1455" s="4"/>
      <c r="H1455" s="8"/>
      <c r="I1455" s="4"/>
    </row>
    <row r="1456" spans="1:9" x14ac:dyDescent="0.2">
      <c r="A1456" s="1" t="s">
        <v>53</v>
      </c>
      <c r="C1456" s="4"/>
      <c r="D1456" s="8"/>
      <c r="E1456" s="4"/>
      <c r="F1456" s="8"/>
      <c r="G1456" s="4"/>
      <c r="H1456" s="8"/>
      <c r="I1456" s="4"/>
    </row>
    <row r="1457" spans="1:9" x14ac:dyDescent="0.2">
      <c r="A1457" s="2">
        <v>1</v>
      </c>
      <c r="B1457" s="1" t="s">
        <v>289</v>
      </c>
      <c r="C1457" s="4">
        <v>4</v>
      </c>
      <c r="D1457" s="8">
        <v>8.89</v>
      </c>
      <c r="E1457" s="4">
        <v>3</v>
      </c>
      <c r="F1457" s="8">
        <v>12.5</v>
      </c>
      <c r="G1457" s="4">
        <v>1</v>
      </c>
      <c r="H1457" s="8">
        <v>5</v>
      </c>
      <c r="I1457" s="4">
        <v>0</v>
      </c>
    </row>
    <row r="1458" spans="1:9" x14ac:dyDescent="0.2">
      <c r="A1458" s="2">
        <v>1</v>
      </c>
      <c r="B1458" s="1" t="s">
        <v>191</v>
      </c>
      <c r="C1458" s="4">
        <v>4</v>
      </c>
      <c r="D1458" s="8">
        <v>8.89</v>
      </c>
      <c r="E1458" s="4">
        <v>3</v>
      </c>
      <c r="F1458" s="8">
        <v>12.5</v>
      </c>
      <c r="G1458" s="4">
        <v>1</v>
      </c>
      <c r="H1458" s="8">
        <v>5</v>
      </c>
      <c r="I1458" s="4">
        <v>0</v>
      </c>
    </row>
    <row r="1459" spans="1:9" x14ac:dyDescent="0.2">
      <c r="A1459" s="2">
        <v>3</v>
      </c>
      <c r="B1459" s="1" t="s">
        <v>162</v>
      </c>
      <c r="C1459" s="4">
        <v>3</v>
      </c>
      <c r="D1459" s="8">
        <v>6.67</v>
      </c>
      <c r="E1459" s="4">
        <v>2</v>
      </c>
      <c r="F1459" s="8">
        <v>8.33</v>
      </c>
      <c r="G1459" s="4">
        <v>1</v>
      </c>
      <c r="H1459" s="8">
        <v>5</v>
      </c>
      <c r="I1459" s="4">
        <v>0</v>
      </c>
    </row>
    <row r="1460" spans="1:9" x14ac:dyDescent="0.2">
      <c r="A1460" s="2">
        <v>4</v>
      </c>
      <c r="B1460" s="1" t="s">
        <v>160</v>
      </c>
      <c r="C1460" s="4">
        <v>2</v>
      </c>
      <c r="D1460" s="8">
        <v>4.4400000000000004</v>
      </c>
      <c r="E1460" s="4">
        <v>2</v>
      </c>
      <c r="F1460" s="8">
        <v>8.33</v>
      </c>
      <c r="G1460" s="4">
        <v>0</v>
      </c>
      <c r="H1460" s="8">
        <v>0</v>
      </c>
      <c r="I1460" s="4">
        <v>0</v>
      </c>
    </row>
    <row r="1461" spans="1:9" x14ac:dyDescent="0.2">
      <c r="A1461" s="2">
        <v>4</v>
      </c>
      <c r="B1461" s="1" t="s">
        <v>163</v>
      </c>
      <c r="C1461" s="4">
        <v>2</v>
      </c>
      <c r="D1461" s="8">
        <v>4.4400000000000004</v>
      </c>
      <c r="E1461" s="4">
        <v>2</v>
      </c>
      <c r="F1461" s="8">
        <v>8.33</v>
      </c>
      <c r="G1461" s="4">
        <v>0</v>
      </c>
      <c r="H1461" s="8">
        <v>0</v>
      </c>
      <c r="I1461" s="4">
        <v>0</v>
      </c>
    </row>
    <row r="1462" spans="1:9" x14ac:dyDescent="0.2">
      <c r="A1462" s="2">
        <v>4</v>
      </c>
      <c r="B1462" s="1" t="s">
        <v>258</v>
      </c>
      <c r="C1462" s="4">
        <v>2</v>
      </c>
      <c r="D1462" s="8">
        <v>4.4400000000000004</v>
      </c>
      <c r="E1462" s="4">
        <v>0</v>
      </c>
      <c r="F1462" s="8">
        <v>0</v>
      </c>
      <c r="G1462" s="4">
        <v>2</v>
      </c>
      <c r="H1462" s="8">
        <v>10</v>
      </c>
      <c r="I1462" s="4">
        <v>0</v>
      </c>
    </row>
    <row r="1463" spans="1:9" x14ac:dyDescent="0.2">
      <c r="A1463" s="2">
        <v>4</v>
      </c>
      <c r="B1463" s="1" t="s">
        <v>171</v>
      </c>
      <c r="C1463" s="4">
        <v>2</v>
      </c>
      <c r="D1463" s="8">
        <v>4.4400000000000004</v>
      </c>
      <c r="E1463" s="4">
        <v>2</v>
      </c>
      <c r="F1463" s="8">
        <v>8.33</v>
      </c>
      <c r="G1463" s="4">
        <v>0</v>
      </c>
      <c r="H1463" s="8">
        <v>0</v>
      </c>
      <c r="I1463" s="4">
        <v>0</v>
      </c>
    </row>
    <row r="1464" spans="1:9" x14ac:dyDescent="0.2">
      <c r="A1464" s="2">
        <v>8</v>
      </c>
      <c r="B1464" s="1" t="s">
        <v>158</v>
      </c>
      <c r="C1464" s="4">
        <v>1</v>
      </c>
      <c r="D1464" s="8">
        <v>2.2200000000000002</v>
      </c>
      <c r="E1464" s="4">
        <v>0</v>
      </c>
      <c r="F1464" s="8">
        <v>0</v>
      </c>
      <c r="G1464" s="4">
        <v>1</v>
      </c>
      <c r="H1464" s="8">
        <v>5</v>
      </c>
      <c r="I1464" s="4">
        <v>0</v>
      </c>
    </row>
    <row r="1465" spans="1:9" x14ac:dyDescent="0.2">
      <c r="A1465" s="2">
        <v>8</v>
      </c>
      <c r="B1465" s="1" t="s">
        <v>159</v>
      </c>
      <c r="C1465" s="4">
        <v>1</v>
      </c>
      <c r="D1465" s="8">
        <v>2.2200000000000002</v>
      </c>
      <c r="E1465" s="4">
        <v>0</v>
      </c>
      <c r="F1465" s="8">
        <v>0</v>
      </c>
      <c r="G1465" s="4">
        <v>1</v>
      </c>
      <c r="H1465" s="8">
        <v>5</v>
      </c>
      <c r="I1465" s="4">
        <v>0</v>
      </c>
    </row>
    <row r="1466" spans="1:9" x14ac:dyDescent="0.2">
      <c r="A1466" s="2">
        <v>8</v>
      </c>
      <c r="B1466" s="1" t="s">
        <v>196</v>
      </c>
      <c r="C1466" s="4">
        <v>1</v>
      </c>
      <c r="D1466" s="8">
        <v>2.2200000000000002</v>
      </c>
      <c r="E1466" s="4">
        <v>0</v>
      </c>
      <c r="F1466" s="8">
        <v>0</v>
      </c>
      <c r="G1466" s="4">
        <v>1</v>
      </c>
      <c r="H1466" s="8">
        <v>5</v>
      </c>
      <c r="I1466" s="4">
        <v>0</v>
      </c>
    </row>
    <row r="1467" spans="1:9" x14ac:dyDescent="0.2">
      <c r="A1467" s="2">
        <v>8</v>
      </c>
      <c r="B1467" s="1" t="s">
        <v>323</v>
      </c>
      <c r="C1467" s="4">
        <v>1</v>
      </c>
      <c r="D1467" s="8">
        <v>2.2200000000000002</v>
      </c>
      <c r="E1467" s="4">
        <v>1</v>
      </c>
      <c r="F1467" s="8">
        <v>4.17</v>
      </c>
      <c r="G1467" s="4">
        <v>0</v>
      </c>
      <c r="H1467" s="8">
        <v>0</v>
      </c>
      <c r="I1467" s="4">
        <v>0</v>
      </c>
    </row>
    <row r="1468" spans="1:9" x14ac:dyDescent="0.2">
      <c r="A1468" s="2">
        <v>8</v>
      </c>
      <c r="B1468" s="1" t="s">
        <v>187</v>
      </c>
      <c r="C1468" s="4">
        <v>1</v>
      </c>
      <c r="D1468" s="8">
        <v>2.2200000000000002</v>
      </c>
      <c r="E1468" s="4">
        <v>1</v>
      </c>
      <c r="F1468" s="8">
        <v>4.17</v>
      </c>
      <c r="G1468" s="4">
        <v>0</v>
      </c>
      <c r="H1468" s="8">
        <v>0</v>
      </c>
      <c r="I1468" s="4">
        <v>0</v>
      </c>
    </row>
    <row r="1469" spans="1:9" x14ac:dyDescent="0.2">
      <c r="A1469" s="2">
        <v>8</v>
      </c>
      <c r="B1469" s="1" t="s">
        <v>161</v>
      </c>
      <c r="C1469" s="4">
        <v>1</v>
      </c>
      <c r="D1469" s="8">
        <v>2.2200000000000002</v>
      </c>
      <c r="E1469" s="4">
        <v>0</v>
      </c>
      <c r="F1469" s="8">
        <v>0</v>
      </c>
      <c r="G1469" s="4">
        <v>1</v>
      </c>
      <c r="H1469" s="8">
        <v>5</v>
      </c>
      <c r="I1469" s="4">
        <v>0</v>
      </c>
    </row>
    <row r="1470" spans="1:9" x14ac:dyDescent="0.2">
      <c r="A1470" s="2">
        <v>8</v>
      </c>
      <c r="B1470" s="1" t="s">
        <v>309</v>
      </c>
      <c r="C1470" s="4">
        <v>1</v>
      </c>
      <c r="D1470" s="8">
        <v>2.2200000000000002</v>
      </c>
      <c r="E1470" s="4">
        <v>0</v>
      </c>
      <c r="F1470" s="8">
        <v>0</v>
      </c>
      <c r="G1470" s="4">
        <v>1</v>
      </c>
      <c r="H1470" s="8">
        <v>5</v>
      </c>
      <c r="I1470" s="4">
        <v>0</v>
      </c>
    </row>
    <row r="1471" spans="1:9" x14ac:dyDescent="0.2">
      <c r="A1471" s="2">
        <v>8</v>
      </c>
      <c r="B1471" s="1" t="s">
        <v>237</v>
      </c>
      <c r="C1471" s="4">
        <v>1</v>
      </c>
      <c r="D1471" s="8">
        <v>2.2200000000000002</v>
      </c>
      <c r="E1471" s="4">
        <v>0</v>
      </c>
      <c r="F1471" s="8">
        <v>0</v>
      </c>
      <c r="G1471" s="4">
        <v>1</v>
      </c>
      <c r="H1471" s="8">
        <v>5</v>
      </c>
      <c r="I1471" s="4">
        <v>0</v>
      </c>
    </row>
    <row r="1472" spans="1:9" x14ac:dyDescent="0.2">
      <c r="A1472" s="2">
        <v>8</v>
      </c>
      <c r="B1472" s="1" t="s">
        <v>324</v>
      </c>
      <c r="C1472" s="4">
        <v>1</v>
      </c>
      <c r="D1472" s="8">
        <v>2.2200000000000002</v>
      </c>
      <c r="E1472" s="4">
        <v>0</v>
      </c>
      <c r="F1472" s="8">
        <v>0</v>
      </c>
      <c r="G1472" s="4">
        <v>1</v>
      </c>
      <c r="H1472" s="8">
        <v>5</v>
      </c>
      <c r="I1472" s="4">
        <v>0</v>
      </c>
    </row>
    <row r="1473" spans="1:9" x14ac:dyDescent="0.2">
      <c r="A1473" s="2">
        <v>8</v>
      </c>
      <c r="B1473" s="1" t="s">
        <v>280</v>
      </c>
      <c r="C1473" s="4">
        <v>1</v>
      </c>
      <c r="D1473" s="8">
        <v>2.2200000000000002</v>
      </c>
      <c r="E1473" s="4">
        <v>0</v>
      </c>
      <c r="F1473" s="8">
        <v>0</v>
      </c>
      <c r="G1473" s="4">
        <v>1</v>
      </c>
      <c r="H1473" s="8">
        <v>5</v>
      </c>
      <c r="I1473" s="4">
        <v>0</v>
      </c>
    </row>
    <row r="1474" spans="1:9" x14ac:dyDescent="0.2">
      <c r="A1474" s="2">
        <v>8</v>
      </c>
      <c r="B1474" s="1" t="s">
        <v>238</v>
      </c>
      <c r="C1474" s="4">
        <v>1</v>
      </c>
      <c r="D1474" s="8">
        <v>2.2200000000000002</v>
      </c>
      <c r="E1474" s="4">
        <v>0</v>
      </c>
      <c r="F1474" s="8">
        <v>0</v>
      </c>
      <c r="G1474" s="4">
        <v>1</v>
      </c>
      <c r="H1474" s="8">
        <v>5</v>
      </c>
      <c r="I1474" s="4">
        <v>0</v>
      </c>
    </row>
    <row r="1475" spans="1:9" x14ac:dyDescent="0.2">
      <c r="A1475" s="2">
        <v>8</v>
      </c>
      <c r="B1475" s="1" t="s">
        <v>222</v>
      </c>
      <c r="C1475" s="4">
        <v>1</v>
      </c>
      <c r="D1475" s="8">
        <v>2.2200000000000002</v>
      </c>
      <c r="E1475" s="4">
        <v>0</v>
      </c>
      <c r="F1475" s="8">
        <v>0</v>
      </c>
      <c r="G1475" s="4">
        <v>1</v>
      </c>
      <c r="H1475" s="8">
        <v>5</v>
      </c>
      <c r="I1475" s="4">
        <v>0</v>
      </c>
    </row>
    <row r="1476" spans="1:9" x14ac:dyDescent="0.2">
      <c r="A1476" s="2">
        <v>8</v>
      </c>
      <c r="B1476" s="1" t="s">
        <v>212</v>
      </c>
      <c r="C1476" s="4">
        <v>1</v>
      </c>
      <c r="D1476" s="8">
        <v>2.2200000000000002</v>
      </c>
      <c r="E1476" s="4">
        <v>1</v>
      </c>
      <c r="F1476" s="8">
        <v>4.17</v>
      </c>
      <c r="G1476" s="4">
        <v>0</v>
      </c>
      <c r="H1476" s="8">
        <v>0</v>
      </c>
      <c r="I1476" s="4">
        <v>0</v>
      </c>
    </row>
    <row r="1477" spans="1:9" x14ac:dyDescent="0.2">
      <c r="A1477" s="2">
        <v>8</v>
      </c>
      <c r="B1477" s="1" t="s">
        <v>207</v>
      </c>
      <c r="C1477" s="4">
        <v>1</v>
      </c>
      <c r="D1477" s="8">
        <v>2.2200000000000002</v>
      </c>
      <c r="E1477" s="4">
        <v>1</v>
      </c>
      <c r="F1477" s="8">
        <v>4.17</v>
      </c>
      <c r="G1477" s="4">
        <v>0</v>
      </c>
      <c r="H1477" s="8">
        <v>0</v>
      </c>
      <c r="I1477" s="4">
        <v>0</v>
      </c>
    </row>
    <row r="1478" spans="1:9" x14ac:dyDescent="0.2">
      <c r="A1478" s="2">
        <v>8</v>
      </c>
      <c r="B1478" s="1" t="s">
        <v>210</v>
      </c>
      <c r="C1478" s="4">
        <v>1</v>
      </c>
      <c r="D1478" s="8">
        <v>2.2200000000000002</v>
      </c>
      <c r="E1478" s="4">
        <v>1</v>
      </c>
      <c r="F1478" s="8">
        <v>4.17</v>
      </c>
      <c r="G1478" s="4">
        <v>0</v>
      </c>
      <c r="H1478" s="8">
        <v>0</v>
      </c>
      <c r="I1478" s="4">
        <v>0</v>
      </c>
    </row>
    <row r="1479" spans="1:9" x14ac:dyDescent="0.2">
      <c r="A1479" s="2">
        <v>8</v>
      </c>
      <c r="B1479" s="1" t="s">
        <v>226</v>
      </c>
      <c r="C1479" s="4">
        <v>1</v>
      </c>
      <c r="D1479" s="8">
        <v>2.2200000000000002</v>
      </c>
      <c r="E1479" s="4">
        <v>0</v>
      </c>
      <c r="F1479" s="8">
        <v>0</v>
      </c>
      <c r="G1479" s="4">
        <v>1</v>
      </c>
      <c r="H1479" s="8">
        <v>5</v>
      </c>
      <c r="I1479" s="4">
        <v>0</v>
      </c>
    </row>
    <row r="1480" spans="1:9" x14ac:dyDescent="0.2">
      <c r="A1480" s="2">
        <v>8</v>
      </c>
      <c r="B1480" s="1" t="s">
        <v>208</v>
      </c>
      <c r="C1480" s="4">
        <v>1</v>
      </c>
      <c r="D1480" s="8">
        <v>2.2200000000000002</v>
      </c>
      <c r="E1480" s="4">
        <v>1</v>
      </c>
      <c r="F1480" s="8">
        <v>4.17</v>
      </c>
      <c r="G1480" s="4">
        <v>0</v>
      </c>
      <c r="H1480" s="8">
        <v>0</v>
      </c>
      <c r="I1480" s="4">
        <v>0</v>
      </c>
    </row>
    <row r="1481" spans="1:9" x14ac:dyDescent="0.2">
      <c r="A1481" s="2">
        <v>8</v>
      </c>
      <c r="B1481" s="1" t="s">
        <v>215</v>
      </c>
      <c r="C1481" s="4">
        <v>1</v>
      </c>
      <c r="D1481" s="8">
        <v>2.2200000000000002</v>
      </c>
      <c r="E1481" s="4">
        <v>1</v>
      </c>
      <c r="F1481" s="8">
        <v>4.17</v>
      </c>
      <c r="G1481" s="4">
        <v>0</v>
      </c>
      <c r="H1481" s="8">
        <v>0</v>
      </c>
      <c r="I1481" s="4">
        <v>0</v>
      </c>
    </row>
    <row r="1482" spans="1:9" x14ac:dyDescent="0.2">
      <c r="A1482" s="2">
        <v>8</v>
      </c>
      <c r="B1482" s="1" t="s">
        <v>170</v>
      </c>
      <c r="C1482" s="4">
        <v>1</v>
      </c>
      <c r="D1482" s="8">
        <v>2.2200000000000002</v>
      </c>
      <c r="E1482" s="4">
        <v>1</v>
      </c>
      <c r="F1482" s="8">
        <v>4.17</v>
      </c>
      <c r="G1482" s="4">
        <v>0</v>
      </c>
      <c r="H1482" s="8">
        <v>0</v>
      </c>
      <c r="I1482" s="4">
        <v>0</v>
      </c>
    </row>
    <row r="1483" spans="1:9" x14ac:dyDescent="0.2">
      <c r="A1483" s="2">
        <v>8</v>
      </c>
      <c r="B1483" s="1" t="s">
        <v>172</v>
      </c>
      <c r="C1483" s="4">
        <v>1</v>
      </c>
      <c r="D1483" s="8">
        <v>2.2200000000000002</v>
      </c>
      <c r="E1483" s="4">
        <v>1</v>
      </c>
      <c r="F1483" s="8">
        <v>4.17</v>
      </c>
      <c r="G1483" s="4">
        <v>0</v>
      </c>
      <c r="H1483" s="8">
        <v>0</v>
      </c>
      <c r="I1483" s="4">
        <v>0</v>
      </c>
    </row>
    <row r="1484" spans="1:9" x14ac:dyDescent="0.2">
      <c r="A1484" s="2">
        <v>8</v>
      </c>
      <c r="B1484" s="1" t="s">
        <v>186</v>
      </c>
      <c r="C1484" s="4">
        <v>1</v>
      </c>
      <c r="D1484" s="8">
        <v>2.2200000000000002</v>
      </c>
      <c r="E1484" s="4">
        <v>0</v>
      </c>
      <c r="F1484" s="8">
        <v>0</v>
      </c>
      <c r="G1484" s="4">
        <v>1</v>
      </c>
      <c r="H1484" s="8">
        <v>5</v>
      </c>
      <c r="I1484" s="4">
        <v>0</v>
      </c>
    </row>
    <row r="1485" spans="1:9" x14ac:dyDescent="0.2">
      <c r="A1485" s="2">
        <v>8</v>
      </c>
      <c r="B1485" s="1" t="s">
        <v>182</v>
      </c>
      <c r="C1485" s="4">
        <v>1</v>
      </c>
      <c r="D1485" s="8">
        <v>2.2200000000000002</v>
      </c>
      <c r="E1485" s="4">
        <v>0</v>
      </c>
      <c r="F1485" s="8">
        <v>0</v>
      </c>
      <c r="G1485" s="4">
        <v>1</v>
      </c>
      <c r="H1485" s="8">
        <v>5</v>
      </c>
      <c r="I1485" s="4">
        <v>0</v>
      </c>
    </row>
    <row r="1486" spans="1:9" x14ac:dyDescent="0.2">
      <c r="A1486" s="2">
        <v>8</v>
      </c>
      <c r="B1486" s="1" t="s">
        <v>173</v>
      </c>
      <c r="C1486" s="4">
        <v>1</v>
      </c>
      <c r="D1486" s="8">
        <v>2.2200000000000002</v>
      </c>
      <c r="E1486" s="4">
        <v>1</v>
      </c>
      <c r="F1486" s="8">
        <v>4.17</v>
      </c>
      <c r="G1486" s="4">
        <v>0</v>
      </c>
      <c r="H1486" s="8">
        <v>0</v>
      </c>
      <c r="I1486" s="4">
        <v>0</v>
      </c>
    </row>
    <row r="1487" spans="1:9" x14ac:dyDescent="0.2">
      <c r="A1487" s="2">
        <v>8</v>
      </c>
      <c r="B1487" s="1" t="s">
        <v>325</v>
      </c>
      <c r="C1487" s="4">
        <v>1</v>
      </c>
      <c r="D1487" s="8">
        <v>2.2200000000000002</v>
      </c>
      <c r="E1487" s="4">
        <v>0</v>
      </c>
      <c r="F1487" s="8">
        <v>0</v>
      </c>
      <c r="G1487" s="4">
        <v>1</v>
      </c>
      <c r="H1487" s="8">
        <v>5</v>
      </c>
      <c r="I1487" s="4">
        <v>0</v>
      </c>
    </row>
    <row r="1488" spans="1:9" x14ac:dyDescent="0.2">
      <c r="A1488" s="2">
        <v>8</v>
      </c>
      <c r="B1488" s="1" t="s">
        <v>326</v>
      </c>
      <c r="C1488" s="4">
        <v>1</v>
      </c>
      <c r="D1488" s="8">
        <v>2.2200000000000002</v>
      </c>
      <c r="E1488" s="4">
        <v>0</v>
      </c>
      <c r="F1488" s="8">
        <v>0</v>
      </c>
      <c r="G1488" s="4">
        <v>0</v>
      </c>
      <c r="H1488" s="8">
        <v>0</v>
      </c>
      <c r="I1488" s="4">
        <v>1</v>
      </c>
    </row>
    <row r="1489" spans="1:9" x14ac:dyDescent="0.2">
      <c r="A1489" s="2">
        <v>8</v>
      </c>
      <c r="B1489" s="1" t="s">
        <v>177</v>
      </c>
      <c r="C1489" s="4">
        <v>1</v>
      </c>
      <c r="D1489" s="8">
        <v>2.2200000000000002</v>
      </c>
      <c r="E1489" s="4">
        <v>0</v>
      </c>
      <c r="F1489" s="8">
        <v>0</v>
      </c>
      <c r="G1489" s="4">
        <v>1</v>
      </c>
      <c r="H1489" s="8">
        <v>5</v>
      </c>
      <c r="I1489" s="4">
        <v>0</v>
      </c>
    </row>
    <row r="1490" spans="1:9" x14ac:dyDescent="0.2">
      <c r="A1490" s="1"/>
      <c r="C1490" s="4"/>
      <c r="D1490" s="8"/>
      <c r="E1490" s="4"/>
      <c r="F1490" s="8"/>
      <c r="G1490" s="4"/>
      <c r="H1490" s="8"/>
      <c r="I1490" s="4"/>
    </row>
    <row r="1491" spans="1:9" x14ac:dyDescent="0.2">
      <c r="A1491" s="1" t="s">
        <v>54</v>
      </c>
      <c r="C1491" s="4"/>
      <c r="D1491" s="8"/>
      <c r="E1491" s="4"/>
      <c r="F1491" s="8"/>
      <c r="G1491" s="4"/>
      <c r="H1491" s="8"/>
      <c r="I1491" s="4"/>
    </row>
    <row r="1492" spans="1:9" x14ac:dyDescent="0.2">
      <c r="A1492" s="2">
        <v>1</v>
      </c>
      <c r="B1492" s="1" t="s">
        <v>166</v>
      </c>
      <c r="C1492" s="4">
        <v>2</v>
      </c>
      <c r="D1492" s="8">
        <v>22.22</v>
      </c>
      <c r="E1492" s="4">
        <v>0</v>
      </c>
      <c r="F1492" s="8">
        <v>0</v>
      </c>
      <c r="G1492" s="4">
        <v>2</v>
      </c>
      <c r="H1492" s="8">
        <v>40</v>
      </c>
      <c r="I1492" s="4">
        <v>0</v>
      </c>
    </row>
    <row r="1493" spans="1:9" x14ac:dyDescent="0.2">
      <c r="A1493" s="2">
        <v>2</v>
      </c>
      <c r="B1493" s="1" t="s">
        <v>158</v>
      </c>
      <c r="C1493" s="4">
        <v>1</v>
      </c>
      <c r="D1493" s="8">
        <v>11.11</v>
      </c>
      <c r="E1493" s="4">
        <v>0</v>
      </c>
      <c r="F1493" s="8">
        <v>0</v>
      </c>
      <c r="G1493" s="4">
        <v>1</v>
      </c>
      <c r="H1493" s="8">
        <v>20</v>
      </c>
      <c r="I1493" s="4">
        <v>0</v>
      </c>
    </row>
    <row r="1494" spans="1:9" x14ac:dyDescent="0.2">
      <c r="A1494" s="2">
        <v>2</v>
      </c>
      <c r="B1494" s="1" t="s">
        <v>159</v>
      </c>
      <c r="C1494" s="4">
        <v>1</v>
      </c>
      <c r="D1494" s="8">
        <v>11.11</v>
      </c>
      <c r="E1494" s="4">
        <v>0</v>
      </c>
      <c r="F1494" s="8">
        <v>0</v>
      </c>
      <c r="G1494" s="4">
        <v>1</v>
      </c>
      <c r="H1494" s="8">
        <v>20</v>
      </c>
      <c r="I1494" s="4">
        <v>0</v>
      </c>
    </row>
    <row r="1495" spans="1:9" x14ac:dyDescent="0.2">
      <c r="A1495" s="2">
        <v>2</v>
      </c>
      <c r="B1495" s="1" t="s">
        <v>280</v>
      </c>
      <c r="C1495" s="4">
        <v>1</v>
      </c>
      <c r="D1495" s="8">
        <v>11.11</v>
      </c>
      <c r="E1495" s="4">
        <v>0</v>
      </c>
      <c r="F1495" s="8">
        <v>0</v>
      </c>
      <c r="G1495" s="4">
        <v>1</v>
      </c>
      <c r="H1495" s="8">
        <v>20</v>
      </c>
      <c r="I1495" s="4">
        <v>0</v>
      </c>
    </row>
    <row r="1496" spans="1:9" x14ac:dyDescent="0.2">
      <c r="A1496" s="2">
        <v>2</v>
      </c>
      <c r="B1496" s="1" t="s">
        <v>193</v>
      </c>
      <c r="C1496" s="4">
        <v>1</v>
      </c>
      <c r="D1496" s="8">
        <v>11.11</v>
      </c>
      <c r="E1496" s="4">
        <v>1</v>
      </c>
      <c r="F1496" s="8">
        <v>33.33</v>
      </c>
      <c r="G1496" s="4">
        <v>0</v>
      </c>
      <c r="H1496" s="8">
        <v>0</v>
      </c>
      <c r="I1496" s="4">
        <v>0</v>
      </c>
    </row>
    <row r="1497" spans="1:9" x14ac:dyDescent="0.2">
      <c r="A1497" s="2">
        <v>2</v>
      </c>
      <c r="B1497" s="1" t="s">
        <v>227</v>
      </c>
      <c r="C1497" s="4">
        <v>1</v>
      </c>
      <c r="D1497" s="8">
        <v>11.11</v>
      </c>
      <c r="E1497" s="4">
        <v>1</v>
      </c>
      <c r="F1497" s="8">
        <v>33.33</v>
      </c>
      <c r="G1497" s="4">
        <v>0</v>
      </c>
      <c r="H1497" s="8">
        <v>0</v>
      </c>
      <c r="I1497" s="4">
        <v>0</v>
      </c>
    </row>
    <row r="1498" spans="1:9" x14ac:dyDescent="0.2">
      <c r="A1498" s="2">
        <v>2</v>
      </c>
      <c r="B1498" s="1" t="s">
        <v>327</v>
      </c>
      <c r="C1498" s="4">
        <v>1</v>
      </c>
      <c r="D1498" s="8">
        <v>11.11</v>
      </c>
      <c r="E1498" s="4">
        <v>1</v>
      </c>
      <c r="F1498" s="8">
        <v>33.33</v>
      </c>
      <c r="G1498" s="4">
        <v>0</v>
      </c>
      <c r="H1498" s="8">
        <v>0</v>
      </c>
      <c r="I1498" s="4">
        <v>0</v>
      </c>
    </row>
    <row r="1499" spans="1:9" x14ac:dyDescent="0.2">
      <c r="A1499" s="2">
        <v>2</v>
      </c>
      <c r="B1499" s="1" t="s">
        <v>200</v>
      </c>
      <c r="C1499" s="4">
        <v>1</v>
      </c>
      <c r="D1499" s="8">
        <v>11.11</v>
      </c>
      <c r="E1499" s="4">
        <v>0</v>
      </c>
      <c r="F1499" s="8">
        <v>0</v>
      </c>
      <c r="G1499" s="4">
        <v>0</v>
      </c>
      <c r="H1499" s="8">
        <v>0</v>
      </c>
      <c r="I1499" s="4">
        <v>0</v>
      </c>
    </row>
    <row r="1500" spans="1:9" x14ac:dyDescent="0.2">
      <c r="A1500" s="1"/>
      <c r="C1500" s="4"/>
      <c r="D1500" s="8"/>
      <c r="E1500" s="4"/>
      <c r="F1500" s="8"/>
      <c r="G1500" s="4"/>
      <c r="H1500" s="8"/>
      <c r="I1500" s="4"/>
    </row>
    <row r="1501" spans="1:9" x14ac:dyDescent="0.2">
      <c r="A1501" s="1" t="s">
        <v>55</v>
      </c>
      <c r="C1501" s="4"/>
      <c r="D1501" s="8"/>
      <c r="E1501" s="4"/>
      <c r="F1501" s="8"/>
      <c r="G1501" s="4"/>
      <c r="H1501" s="8"/>
      <c r="I1501" s="4"/>
    </row>
    <row r="1502" spans="1:9" x14ac:dyDescent="0.2">
      <c r="A1502" s="2">
        <v>1</v>
      </c>
      <c r="B1502" s="1" t="s">
        <v>159</v>
      </c>
      <c r="C1502" s="4">
        <v>1</v>
      </c>
      <c r="D1502" s="8">
        <v>33.33</v>
      </c>
      <c r="E1502" s="4">
        <v>0</v>
      </c>
      <c r="F1502" s="8"/>
      <c r="G1502" s="4">
        <v>1</v>
      </c>
      <c r="H1502" s="8">
        <v>33.33</v>
      </c>
      <c r="I1502" s="4">
        <v>0</v>
      </c>
    </row>
    <row r="1503" spans="1:9" x14ac:dyDescent="0.2">
      <c r="A1503" s="2">
        <v>1</v>
      </c>
      <c r="B1503" s="1" t="s">
        <v>196</v>
      </c>
      <c r="C1503" s="4">
        <v>1</v>
      </c>
      <c r="D1503" s="8">
        <v>33.33</v>
      </c>
      <c r="E1503" s="4">
        <v>0</v>
      </c>
      <c r="F1503" s="8"/>
      <c r="G1503" s="4">
        <v>1</v>
      </c>
      <c r="H1503" s="8">
        <v>33.33</v>
      </c>
      <c r="I1503" s="4">
        <v>0</v>
      </c>
    </row>
    <row r="1504" spans="1:9" x14ac:dyDescent="0.2">
      <c r="A1504" s="2">
        <v>1</v>
      </c>
      <c r="B1504" s="1" t="s">
        <v>203</v>
      </c>
      <c r="C1504" s="4">
        <v>1</v>
      </c>
      <c r="D1504" s="8">
        <v>33.33</v>
      </c>
      <c r="E1504" s="4">
        <v>0</v>
      </c>
      <c r="F1504" s="8"/>
      <c r="G1504" s="4">
        <v>1</v>
      </c>
      <c r="H1504" s="8">
        <v>33.33</v>
      </c>
      <c r="I1504" s="4">
        <v>0</v>
      </c>
    </row>
    <row r="1505" spans="1:9" x14ac:dyDescent="0.2">
      <c r="A1505" s="1"/>
      <c r="C1505" s="4"/>
      <c r="D1505" s="8"/>
      <c r="E1505" s="4"/>
      <c r="F1505" s="8"/>
      <c r="G1505" s="4"/>
      <c r="H1505" s="8"/>
      <c r="I1505" s="4"/>
    </row>
    <row r="1506" spans="1:9" x14ac:dyDescent="0.2">
      <c r="A1506" s="1" t="s">
        <v>56</v>
      </c>
      <c r="C1506" s="4"/>
      <c r="D1506" s="8"/>
      <c r="E1506" s="4"/>
      <c r="F1506" s="8"/>
      <c r="G1506" s="4"/>
      <c r="H1506" s="8"/>
      <c r="I1506" s="4"/>
    </row>
    <row r="1507" spans="1:9" x14ac:dyDescent="0.2">
      <c r="A1507" s="2">
        <v>1</v>
      </c>
      <c r="B1507" s="1" t="s">
        <v>170</v>
      </c>
      <c r="C1507" s="4">
        <v>5</v>
      </c>
      <c r="D1507" s="8">
        <v>11.11</v>
      </c>
      <c r="E1507" s="4">
        <v>3</v>
      </c>
      <c r="F1507" s="8">
        <v>21.43</v>
      </c>
      <c r="G1507" s="4">
        <v>2</v>
      </c>
      <c r="H1507" s="8">
        <v>6.45</v>
      </c>
      <c r="I1507" s="4">
        <v>0</v>
      </c>
    </row>
    <row r="1508" spans="1:9" x14ac:dyDescent="0.2">
      <c r="A1508" s="2">
        <v>2</v>
      </c>
      <c r="B1508" s="1" t="s">
        <v>185</v>
      </c>
      <c r="C1508" s="4">
        <v>3</v>
      </c>
      <c r="D1508" s="8">
        <v>6.67</v>
      </c>
      <c r="E1508" s="4">
        <v>1</v>
      </c>
      <c r="F1508" s="8">
        <v>7.14</v>
      </c>
      <c r="G1508" s="4">
        <v>2</v>
      </c>
      <c r="H1508" s="8">
        <v>6.45</v>
      </c>
      <c r="I1508" s="4">
        <v>0</v>
      </c>
    </row>
    <row r="1509" spans="1:9" x14ac:dyDescent="0.2">
      <c r="A1509" s="2">
        <v>2</v>
      </c>
      <c r="B1509" s="1" t="s">
        <v>177</v>
      </c>
      <c r="C1509" s="4">
        <v>3</v>
      </c>
      <c r="D1509" s="8">
        <v>6.67</v>
      </c>
      <c r="E1509" s="4">
        <v>2</v>
      </c>
      <c r="F1509" s="8">
        <v>14.29</v>
      </c>
      <c r="G1509" s="4">
        <v>1</v>
      </c>
      <c r="H1509" s="8">
        <v>3.23</v>
      </c>
      <c r="I1509" s="4">
        <v>0</v>
      </c>
    </row>
    <row r="1510" spans="1:9" x14ac:dyDescent="0.2">
      <c r="A1510" s="2">
        <v>4</v>
      </c>
      <c r="B1510" s="1" t="s">
        <v>159</v>
      </c>
      <c r="C1510" s="4">
        <v>2</v>
      </c>
      <c r="D1510" s="8">
        <v>4.4400000000000004</v>
      </c>
      <c r="E1510" s="4">
        <v>1</v>
      </c>
      <c r="F1510" s="8">
        <v>7.14</v>
      </c>
      <c r="G1510" s="4">
        <v>1</v>
      </c>
      <c r="H1510" s="8">
        <v>3.23</v>
      </c>
      <c r="I1510" s="4">
        <v>0</v>
      </c>
    </row>
    <row r="1511" spans="1:9" x14ac:dyDescent="0.2">
      <c r="A1511" s="2">
        <v>4</v>
      </c>
      <c r="B1511" s="1" t="s">
        <v>196</v>
      </c>
      <c r="C1511" s="4">
        <v>2</v>
      </c>
      <c r="D1511" s="8">
        <v>4.4400000000000004</v>
      </c>
      <c r="E1511" s="4">
        <v>0</v>
      </c>
      <c r="F1511" s="8">
        <v>0</v>
      </c>
      <c r="G1511" s="4">
        <v>2</v>
      </c>
      <c r="H1511" s="8">
        <v>6.45</v>
      </c>
      <c r="I1511" s="4">
        <v>0</v>
      </c>
    </row>
    <row r="1512" spans="1:9" x14ac:dyDescent="0.2">
      <c r="A1512" s="2">
        <v>4</v>
      </c>
      <c r="B1512" s="1" t="s">
        <v>162</v>
      </c>
      <c r="C1512" s="4">
        <v>2</v>
      </c>
      <c r="D1512" s="8">
        <v>4.4400000000000004</v>
      </c>
      <c r="E1512" s="4">
        <v>0</v>
      </c>
      <c r="F1512" s="8">
        <v>0</v>
      </c>
      <c r="G1512" s="4">
        <v>2</v>
      </c>
      <c r="H1512" s="8">
        <v>6.45</v>
      </c>
      <c r="I1512" s="4">
        <v>0</v>
      </c>
    </row>
    <row r="1513" spans="1:9" x14ac:dyDescent="0.2">
      <c r="A1513" s="2">
        <v>4</v>
      </c>
      <c r="B1513" s="1" t="s">
        <v>210</v>
      </c>
      <c r="C1513" s="4">
        <v>2</v>
      </c>
      <c r="D1513" s="8">
        <v>4.4400000000000004</v>
      </c>
      <c r="E1513" s="4">
        <v>2</v>
      </c>
      <c r="F1513" s="8">
        <v>14.29</v>
      </c>
      <c r="G1513" s="4">
        <v>0</v>
      </c>
      <c r="H1513" s="8">
        <v>0</v>
      </c>
      <c r="I1513" s="4">
        <v>0</v>
      </c>
    </row>
    <row r="1514" spans="1:9" x14ac:dyDescent="0.2">
      <c r="A1514" s="2">
        <v>8</v>
      </c>
      <c r="B1514" s="1" t="s">
        <v>158</v>
      </c>
      <c r="C1514" s="4">
        <v>1</v>
      </c>
      <c r="D1514" s="8">
        <v>2.2200000000000002</v>
      </c>
      <c r="E1514" s="4">
        <v>0</v>
      </c>
      <c r="F1514" s="8">
        <v>0</v>
      </c>
      <c r="G1514" s="4">
        <v>1</v>
      </c>
      <c r="H1514" s="8">
        <v>3.23</v>
      </c>
      <c r="I1514" s="4">
        <v>0</v>
      </c>
    </row>
    <row r="1515" spans="1:9" x14ac:dyDescent="0.2">
      <c r="A1515" s="2">
        <v>8</v>
      </c>
      <c r="B1515" s="1" t="s">
        <v>305</v>
      </c>
      <c r="C1515" s="4">
        <v>1</v>
      </c>
      <c r="D1515" s="8">
        <v>2.2200000000000002</v>
      </c>
      <c r="E1515" s="4">
        <v>0</v>
      </c>
      <c r="F1515" s="8">
        <v>0</v>
      </c>
      <c r="G1515" s="4">
        <v>1</v>
      </c>
      <c r="H1515" s="8">
        <v>3.23</v>
      </c>
      <c r="I1515" s="4">
        <v>0</v>
      </c>
    </row>
    <row r="1516" spans="1:9" x14ac:dyDescent="0.2">
      <c r="A1516" s="2">
        <v>8</v>
      </c>
      <c r="B1516" s="1" t="s">
        <v>160</v>
      </c>
      <c r="C1516" s="4">
        <v>1</v>
      </c>
      <c r="D1516" s="8">
        <v>2.2200000000000002</v>
      </c>
      <c r="E1516" s="4">
        <v>0</v>
      </c>
      <c r="F1516" s="8">
        <v>0</v>
      </c>
      <c r="G1516" s="4">
        <v>1</v>
      </c>
      <c r="H1516" s="8">
        <v>3.23</v>
      </c>
      <c r="I1516" s="4">
        <v>0</v>
      </c>
    </row>
    <row r="1517" spans="1:9" x14ac:dyDescent="0.2">
      <c r="A1517" s="2">
        <v>8</v>
      </c>
      <c r="B1517" s="1" t="s">
        <v>198</v>
      </c>
      <c r="C1517" s="4">
        <v>1</v>
      </c>
      <c r="D1517" s="8">
        <v>2.2200000000000002</v>
      </c>
      <c r="E1517" s="4">
        <v>0</v>
      </c>
      <c r="F1517" s="8">
        <v>0</v>
      </c>
      <c r="G1517" s="4">
        <v>1</v>
      </c>
      <c r="H1517" s="8">
        <v>3.23</v>
      </c>
      <c r="I1517" s="4">
        <v>0</v>
      </c>
    </row>
    <row r="1518" spans="1:9" x14ac:dyDescent="0.2">
      <c r="A1518" s="2">
        <v>8</v>
      </c>
      <c r="B1518" s="1" t="s">
        <v>288</v>
      </c>
      <c r="C1518" s="4">
        <v>1</v>
      </c>
      <c r="D1518" s="8">
        <v>2.2200000000000002</v>
      </c>
      <c r="E1518" s="4">
        <v>0</v>
      </c>
      <c r="F1518" s="8">
        <v>0</v>
      </c>
      <c r="G1518" s="4">
        <v>1</v>
      </c>
      <c r="H1518" s="8">
        <v>3.23</v>
      </c>
      <c r="I1518" s="4">
        <v>0</v>
      </c>
    </row>
    <row r="1519" spans="1:9" x14ac:dyDescent="0.2">
      <c r="A1519" s="2">
        <v>8</v>
      </c>
      <c r="B1519" s="1" t="s">
        <v>195</v>
      </c>
      <c r="C1519" s="4">
        <v>1</v>
      </c>
      <c r="D1519" s="8">
        <v>2.2200000000000002</v>
      </c>
      <c r="E1519" s="4">
        <v>0</v>
      </c>
      <c r="F1519" s="8">
        <v>0</v>
      </c>
      <c r="G1519" s="4">
        <v>1</v>
      </c>
      <c r="H1519" s="8">
        <v>3.23</v>
      </c>
      <c r="I1519" s="4">
        <v>0</v>
      </c>
    </row>
    <row r="1520" spans="1:9" x14ac:dyDescent="0.2">
      <c r="A1520" s="2">
        <v>8</v>
      </c>
      <c r="B1520" s="1" t="s">
        <v>161</v>
      </c>
      <c r="C1520" s="4">
        <v>1</v>
      </c>
      <c r="D1520" s="8">
        <v>2.2200000000000002</v>
      </c>
      <c r="E1520" s="4">
        <v>0</v>
      </c>
      <c r="F1520" s="8">
        <v>0</v>
      </c>
      <c r="G1520" s="4">
        <v>1</v>
      </c>
      <c r="H1520" s="8">
        <v>3.23</v>
      </c>
      <c r="I1520" s="4">
        <v>0</v>
      </c>
    </row>
    <row r="1521" spans="1:9" x14ac:dyDescent="0.2">
      <c r="A1521" s="2">
        <v>8</v>
      </c>
      <c r="B1521" s="1" t="s">
        <v>307</v>
      </c>
      <c r="C1521" s="4">
        <v>1</v>
      </c>
      <c r="D1521" s="8">
        <v>2.2200000000000002</v>
      </c>
      <c r="E1521" s="4">
        <v>0</v>
      </c>
      <c r="F1521" s="8">
        <v>0</v>
      </c>
      <c r="G1521" s="4">
        <v>1</v>
      </c>
      <c r="H1521" s="8">
        <v>3.23</v>
      </c>
      <c r="I1521" s="4">
        <v>0</v>
      </c>
    </row>
    <row r="1522" spans="1:9" x14ac:dyDescent="0.2">
      <c r="A1522" s="2">
        <v>8</v>
      </c>
      <c r="B1522" s="1" t="s">
        <v>245</v>
      </c>
      <c r="C1522" s="4">
        <v>1</v>
      </c>
      <c r="D1522" s="8">
        <v>2.2200000000000002</v>
      </c>
      <c r="E1522" s="4">
        <v>0</v>
      </c>
      <c r="F1522" s="8">
        <v>0</v>
      </c>
      <c r="G1522" s="4">
        <v>1</v>
      </c>
      <c r="H1522" s="8">
        <v>3.23</v>
      </c>
      <c r="I1522" s="4">
        <v>0</v>
      </c>
    </row>
    <row r="1523" spans="1:9" x14ac:dyDescent="0.2">
      <c r="A1523" s="2">
        <v>8</v>
      </c>
      <c r="B1523" s="1" t="s">
        <v>289</v>
      </c>
      <c r="C1523" s="4">
        <v>1</v>
      </c>
      <c r="D1523" s="8">
        <v>2.2200000000000002</v>
      </c>
      <c r="E1523" s="4">
        <v>0</v>
      </c>
      <c r="F1523" s="8">
        <v>0</v>
      </c>
      <c r="G1523" s="4">
        <v>1</v>
      </c>
      <c r="H1523" s="8">
        <v>3.23</v>
      </c>
      <c r="I1523" s="4">
        <v>0</v>
      </c>
    </row>
    <row r="1524" spans="1:9" x14ac:dyDescent="0.2">
      <c r="A1524" s="2">
        <v>8</v>
      </c>
      <c r="B1524" s="1" t="s">
        <v>312</v>
      </c>
      <c r="C1524" s="4">
        <v>1</v>
      </c>
      <c r="D1524" s="8">
        <v>2.2200000000000002</v>
      </c>
      <c r="E1524" s="4">
        <v>0</v>
      </c>
      <c r="F1524" s="8">
        <v>0</v>
      </c>
      <c r="G1524" s="4">
        <v>1</v>
      </c>
      <c r="H1524" s="8">
        <v>3.23</v>
      </c>
      <c r="I1524" s="4">
        <v>0</v>
      </c>
    </row>
    <row r="1525" spans="1:9" x14ac:dyDescent="0.2">
      <c r="A1525" s="2">
        <v>8</v>
      </c>
      <c r="B1525" s="1" t="s">
        <v>283</v>
      </c>
      <c r="C1525" s="4">
        <v>1</v>
      </c>
      <c r="D1525" s="8">
        <v>2.2200000000000002</v>
      </c>
      <c r="E1525" s="4">
        <v>0</v>
      </c>
      <c r="F1525" s="8">
        <v>0</v>
      </c>
      <c r="G1525" s="4">
        <v>1</v>
      </c>
      <c r="H1525" s="8">
        <v>3.23</v>
      </c>
      <c r="I1525" s="4">
        <v>0</v>
      </c>
    </row>
    <row r="1526" spans="1:9" x14ac:dyDescent="0.2">
      <c r="A1526" s="2">
        <v>8</v>
      </c>
      <c r="B1526" s="1" t="s">
        <v>328</v>
      </c>
      <c r="C1526" s="4">
        <v>1</v>
      </c>
      <c r="D1526" s="8">
        <v>2.2200000000000002</v>
      </c>
      <c r="E1526" s="4">
        <v>0</v>
      </c>
      <c r="F1526" s="8">
        <v>0</v>
      </c>
      <c r="G1526" s="4">
        <v>1</v>
      </c>
      <c r="H1526" s="8">
        <v>3.23</v>
      </c>
      <c r="I1526" s="4">
        <v>0</v>
      </c>
    </row>
    <row r="1527" spans="1:9" x14ac:dyDescent="0.2">
      <c r="A1527" s="2">
        <v>8</v>
      </c>
      <c r="B1527" s="1" t="s">
        <v>313</v>
      </c>
      <c r="C1527" s="4">
        <v>1</v>
      </c>
      <c r="D1527" s="8">
        <v>2.2200000000000002</v>
      </c>
      <c r="E1527" s="4">
        <v>0</v>
      </c>
      <c r="F1527" s="8">
        <v>0</v>
      </c>
      <c r="G1527" s="4">
        <v>1</v>
      </c>
      <c r="H1527" s="8">
        <v>3.23</v>
      </c>
      <c r="I1527" s="4">
        <v>0</v>
      </c>
    </row>
    <row r="1528" spans="1:9" x14ac:dyDescent="0.2">
      <c r="A1528" s="2">
        <v>8</v>
      </c>
      <c r="B1528" s="1" t="s">
        <v>314</v>
      </c>
      <c r="C1528" s="4">
        <v>1</v>
      </c>
      <c r="D1528" s="8">
        <v>2.2200000000000002</v>
      </c>
      <c r="E1528" s="4">
        <v>0</v>
      </c>
      <c r="F1528" s="8">
        <v>0</v>
      </c>
      <c r="G1528" s="4">
        <v>1</v>
      </c>
      <c r="H1528" s="8">
        <v>3.23</v>
      </c>
      <c r="I1528" s="4">
        <v>0</v>
      </c>
    </row>
    <row r="1529" spans="1:9" x14ac:dyDescent="0.2">
      <c r="A1529" s="2">
        <v>8</v>
      </c>
      <c r="B1529" s="1" t="s">
        <v>191</v>
      </c>
      <c r="C1529" s="4">
        <v>1</v>
      </c>
      <c r="D1529" s="8">
        <v>2.2200000000000002</v>
      </c>
      <c r="E1529" s="4">
        <v>0</v>
      </c>
      <c r="F1529" s="8">
        <v>0</v>
      </c>
      <c r="G1529" s="4">
        <v>1</v>
      </c>
      <c r="H1529" s="8">
        <v>3.23</v>
      </c>
      <c r="I1529" s="4">
        <v>0</v>
      </c>
    </row>
    <row r="1530" spans="1:9" x14ac:dyDescent="0.2">
      <c r="A1530" s="2">
        <v>8</v>
      </c>
      <c r="B1530" s="1" t="s">
        <v>164</v>
      </c>
      <c r="C1530" s="4">
        <v>1</v>
      </c>
      <c r="D1530" s="8">
        <v>2.2200000000000002</v>
      </c>
      <c r="E1530" s="4">
        <v>1</v>
      </c>
      <c r="F1530" s="8">
        <v>7.14</v>
      </c>
      <c r="G1530" s="4">
        <v>0</v>
      </c>
      <c r="H1530" s="8">
        <v>0</v>
      </c>
      <c r="I1530" s="4">
        <v>0</v>
      </c>
    </row>
    <row r="1531" spans="1:9" x14ac:dyDescent="0.2">
      <c r="A1531" s="2">
        <v>8</v>
      </c>
      <c r="B1531" s="1" t="s">
        <v>168</v>
      </c>
      <c r="C1531" s="4">
        <v>1</v>
      </c>
      <c r="D1531" s="8">
        <v>2.2200000000000002</v>
      </c>
      <c r="E1531" s="4">
        <v>0</v>
      </c>
      <c r="F1531" s="8">
        <v>0</v>
      </c>
      <c r="G1531" s="4">
        <v>1</v>
      </c>
      <c r="H1531" s="8">
        <v>3.23</v>
      </c>
      <c r="I1531" s="4">
        <v>0</v>
      </c>
    </row>
    <row r="1532" spans="1:9" x14ac:dyDescent="0.2">
      <c r="A1532" s="2">
        <v>8</v>
      </c>
      <c r="B1532" s="1" t="s">
        <v>169</v>
      </c>
      <c r="C1532" s="4">
        <v>1</v>
      </c>
      <c r="D1532" s="8">
        <v>2.2200000000000002</v>
      </c>
      <c r="E1532" s="4">
        <v>0</v>
      </c>
      <c r="F1532" s="8">
        <v>0</v>
      </c>
      <c r="G1532" s="4">
        <v>1</v>
      </c>
      <c r="H1532" s="8">
        <v>3.23</v>
      </c>
      <c r="I1532" s="4">
        <v>0</v>
      </c>
    </row>
    <row r="1533" spans="1:9" x14ac:dyDescent="0.2">
      <c r="A1533" s="2">
        <v>8</v>
      </c>
      <c r="B1533" s="1" t="s">
        <v>181</v>
      </c>
      <c r="C1533" s="4">
        <v>1</v>
      </c>
      <c r="D1533" s="8">
        <v>2.2200000000000002</v>
      </c>
      <c r="E1533" s="4">
        <v>1</v>
      </c>
      <c r="F1533" s="8">
        <v>7.14</v>
      </c>
      <c r="G1533" s="4">
        <v>0</v>
      </c>
      <c r="H1533" s="8">
        <v>0</v>
      </c>
      <c r="I1533" s="4">
        <v>0</v>
      </c>
    </row>
    <row r="1534" spans="1:9" x14ac:dyDescent="0.2">
      <c r="A1534" s="2">
        <v>8</v>
      </c>
      <c r="B1534" s="1" t="s">
        <v>171</v>
      </c>
      <c r="C1534" s="4">
        <v>1</v>
      </c>
      <c r="D1534" s="8">
        <v>2.2200000000000002</v>
      </c>
      <c r="E1534" s="4">
        <v>1</v>
      </c>
      <c r="F1534" s="8">
        <v>7.14</v>
      </c>
      <c r="G1534" s="4">
        <v>0</v>
      </c>
      <c r="H1534" s="8">
        <v>0</v>
      </c>
      <c r="I1534" s="4">
        <v>0</v>
      </c>
    </row>
    <row r="1535" spans="1:9" x14ac:dyDescent="0.2">
      <c r="A1535" s="2">
        <v>8</v>
      </c>
      <c r="B1535" s="1" t="s">
        <v>282</v>
      </c>
      <c r="C1535" s="4">
        <v>1</v>
      </c>
      <c r="D1535" s="8">
        <v>2.2200000000000002</v>
      </c>
      <c r="E1535" s="4">
        <v>1</v>
      </c>
      <c r="F1535" s="8">
        <v>7.14</v>
      </c>
      <c r="G1535" s="4">
        <v>0</v>
      </c>
      <c r="H1535" s="8">
        <v>0</v>
      </c>
      <c r="I1535" s="4">
        <v>0</v>
      </c>
    </row>
    <row r="1536" spans="1:9" x14ac:dyDescent="0.2">
      <c r="A1536" s="2">
        <v>8</v>
      </c>
      <c r="B1536" s="1" t="s">
        <v>268</v>
      </c>
      <c r="C1536" s="4">
        <v>1</v>
      </c>
      <c r="D1536" s="8">
        <v>2.2200000000000002</v>
      </c>
      <c r="E1536" s="4">
        <v>0</v>
      </c>
      <c r="F1536" s="8">
        <v>0</v>
      </c>
      <c r="G1536" s="4">
        <v>1</v>
      </c>
      <c r="H1536" s="8">
        <v>3.23</v>
      </c>
      <c r="I1536" s="4">
        <v>0</v>
      </c>
    </row>
    <row r="1537" spans="1:9" x14ac:dyDescent="0.2">
      <c r="A1537" s="2">
        <v>8</v>
      </c>
      <c r="B1537" s="1" t="s">
        <v>286</v>
      </c>
      <c r="C1537" s="4">
        <v>1</v>
      </c>
      <c r="D1537" s="8">
        <v>2.2200000000000002</v>
      </c>
      <c r="E1537" s="4">
        <v>1</v>
      </c>
      <c r="F1537" s="8">
        <v>7.14</v>
      </c>
      <c r="G1537" s="4">
        <v>0</v>
      </c>
      <c r="H1537" s="8">
        <v>0</v>
      </c>
      <c r="I1537" s="4">
        <v>0</v>
      </c>
    </row>
    <row r="1538" spans="1:9" x14ac:dyDescent="0.2">
      <c r="A1538" s="2">
        <v>8</v>
      </c>
      <c r="B1538" s="1" t="s">
        <v>326</v>
      </c>
      <c r="C1538" s="4">
        <v>1</v>
      </c>
      <c r="D1538" s="8">
        <v>2.2200000000000002</v>
      </c>
      <c r="E1538" s="4">
        <v>0</v>
      </c>
      <c r="F1538" s="8">
        <v>0</v>
      </c>
      <c r="G1538" s="4">
        <v>1</v>
      </c>
      <c r="H1538" s="8">
        <v>3.23</v>
      </c>
      <c r="I1538" s="4">
        <v>0</v>
      </c>
    </row>
    <row r="1539" spans="1:9" x14ac:dyDescent="0.2">
      <c r="A1539" s="2">
        <v>8</v>
      </c>
      <c r="B1539" s="1" t="s">
        <v>322</v>
      </c>
      <c r="C1539" s="4">
        <v>1</v>
      </c>
      <c r="D1539" s="8">
        <v>2.2200000000000002</v>
      </c>
      <c r="E1539" s="4">
        <v>0</v>
      </c>
      <c r="F1539" s="8">
        <v>0</v>
      </c>
      <c r="G1539" s="4">
        <v>1</v>
      </c>
      <c r="H1539" s="8">
        <v>3.23</v>
      </c>
      <c r="I1539" s="4">
        <v>0</v>
      </c>
    </row>
    <row r="1540" spans="1:9" x14ac:dyDescent="0.2">
      <c r="A1540" s="1"/>
      <c r="C1540" s="4"/>
      <c r="D1540" s="8"/>
      <c r="E1540" s="4"/>
      <c r="F1540" s="8"/>
      <c r="G1540" s="4"/>
      <c r="H1540" s="8"/>
      <c r="I1540" s="4"/>
    </row>
    <row r="1541" spans="1:9" x14ac:dyDescent="0.2">
      <c r="A1541" s="1" t="s">
        <v>57</v>
      </c>
      <c r="C1541" s="4"/>
      <c r="D1541" s="8"/>
      <c r="E1541" s="4"/>
      <c r="F1541" s="8"/>
      <c r="G1541" s="4"/>
      <c r="H1541" s="8"/>
      <c r="I1541" s="4"/>
    </row>
    <row r="1542" spans="1:9" x14ac:dyDescent="0.2">
      <c r="A1542" s="2">
        <v>1</v>
      </c>
      <c r="B1542" s="1" t="s">
        <v>185</v>
      </c>
      <c r="C1542" s="4">
        <v>2</v>
      </c>
      <c r="D1542" s="8">
        <v>16.670000000000002</v>
      </c>
      <c r="E1542" s="4">
        <v>2</v>
      </c>
      <c r="F1542" s="8">
        <v>66.67</v>
      </c>
      <c r="G1542" s="4">
        <v>0</v>
      </c>
      <c r="H1542" s="8">
        <v>0</v>
      </c>
      <c r="I1542" s="4">
        <v>0</v>
      </c>
    </row>
    <row r="1543" spans="1:9" x14ac:dyDescent="0.2">
      <c r="A1543" s="2">
        <v>2</v>
      </c>
      <c r="B1543" s="1" t="s">
        <v>287</v>
      </c>
      <c r="C1543" s="4">
        <v>1</v>
      </c>
      <c r="D1543" s="8">
        <v>8.33</v>
      </c>
      <c r="E1543" s="4">
        <v>0</v>
      </c>
      <c r="F1543" s="8">
        <v>0</v>
      </c>
      <c r="G1543" s="4">
        <v>1</v>
      </c>
      <c r="H1543" s="8">
        <v>12.5</v>
      </c>
      <c r="I1543" s="4">
        <v>0</v>
      </c>
    </row>
    <row r="1544" spans="1:9" x14ac:dyDescent="0.2">
      <c r="A1544" s="2">
        <v>2</v>
      </c>
      <c r="B1544" s="1" t="s">
        <v>158</v>
      </c>
      <c r="C1544" s="4">
        <v>1</v>
      </c>
      <c r="D1544" s="8">
        <v>8.33</v>
      </c>
      <c r="E1544" s="4">
        <v>0</v>
      </c>
      <c r="F1544" s="8">
        <v>0</v>
      </c>
      <c r="G1544" s="4">
        <v>1</v>
      </c>
      <c r="H1544" s="8">
        <v>12.5</v>
      </c>
      <c r="I1544" s="4">
        <v>0</v>
      </c>
    </row>
    <row r="1545" spans="1:9" x14ac:dyDescent="0.2">
      <c r="A1545" s="2">
        <v>2</v>
      </c>
      <c r="B1545" s="1" t="s">
        <v>196</v>
      </c>
      <c r="C1545" s="4">
        <v>1</v>
      </c>
      <c r="D1545" s="8">
        <v>8.33</v>
      </c>
      <c r="E1545" s="4">
        <v>0</v>
      </c>
      <c r="F1545" s="8">
        <v>0</v>
      </c>
      <c r="G1545" s="4">
        <v>1</v>
      </c>
      <c r="H1545" s="8">
        <v>12.5</v>
      </c>
      <c r="I1545" s="4">
        <v>0</v>
      </c>
    </row>
    <row r="1546" spans="1:9" x14ac:dyDescent="0.2">
      <c r="A1546" s="2">
        <v>2</v>
      </c>
      <c r="B1546" s="1" t="s">
        <v>187</v>
      </c>
      <c r="C1546" s="4">
        <v>1</v>
      </c>
      <c r="D1546" s="8">
        <v>8.33</v>
      </c>
      <c r="E1546" s="4">
        <v>0</v>
      </c>
      <c r="F1546" s="8">
        <v>0</v>
      </c>
      <c r="G1546" s="4">
        <v>1</v>
      </c>
      <c r="H1546" s="8">
        <v>12.5</v>
      </c>
      <c r="I1546" s="4">
        <v>0</v>
      </c>
    </row>
    <row r="1547" spans="1:9" x14ac:dyDescent="0.2">
      <c r="A1547" s="2">
        <v>2</v>
      </c>
      <c r="B1547" s="1" t="s">
        <v>244</v>
      </c>
      <c r="C1547" s="4">
        <v>1</v>
      </c>
      <c r="D1547" s="8">
        <v>8.33</v>
      </c>
      <c r="E1547" s="4">
        <v>0</v>
      </c>
      <c r="F1547" s="8">
        <v>0</v>
      </c>
      <c r="G1547" s="4">
        <v>1</v>
      </c>
      <c r="H1547" s="8">
        <v>12.5</v>
      </c>
      <c r="I1547" s="4">
        <v>0</v>
      </c>
    </row>
    <row r="1548" spans="1:9" x14ac:dyDescent="0.2">
      <c r="A1548" s="2">
        <v>2</v>
      </c>
      <c r="B1548" s="1" t="s">
        <v>329</v>
      </c>
      <c r="C1548" s="4">
        <v>1</v>
      </c>
      <c r="D1548" s="8">
        <v>8.33</v>
      </c>
      <c r="E1548" s="4">
        <v>0</v>
      </c>
      <c r="F1548" s="8">
        <v>0</v>
      </c>
      <c r="G1548" s="4">
        <v>1</v>
      </c>
      <c r="H1548" s="8">
        <v>12.5</v>
      </c>
      <c r="I1548" s="4">
        <v>0</v>
      </c>
    </row>
    <row r="1549" spans="1:9" x14ac:dyDescent="0.2">
      <c r="A1549" s="2">
        <v>2</v>
      </c>
      <c r="B1549" s="1" t="s">
        <v>330</v>
      </c>
      <c r="C1549" s="4">
        <v>1</v>
      </c>
      <c r="D1549" s="8">
        <v>8.33</v>
      </c>
      <c r="E1549" s="4">
        <v>0</v>
      </c>
      <c r="F1549" s="8">
        <v>0</v>
      </c>
      <c r="G1549" s="4">
        <v>1</v>
      </c>
      <c r="H1549" s="8">
        <v>12.5</v>
      </c>
      <c r="I1549" s="4">
        <v>0</v>
      </c>
    </row>
    <row r="1550" spans="1:9" x14ac:dyDescent="0.2">
      <c r="A1550" s="2">
        <v>2</v>
      </c>
      <c r="B1550" s="1" t="s">
        <v>331</v>
      </c>
      <c r="C1550" s="4">
        <v>1</v>
      </c>
      <c r="D1550" s="8">
        <v>8.33</v>
      </c>
      <c r="E1550" s="4">
        <v>0</v>
      </c>
      <c r="F1550" s="8">
        <v>0</v>
      </c>
      <c r="G1550" s="4">
        <v>1</v>
      </c>
      <c r="H1550" s="8">
        <v>12.5</v>
      </c>
      <c r="I1550" s="4">
        <v>0</v>
      </c>
    </row>
    <row r="1551" spans="1:9" x14ac:dyDescent="0.2">
      <c r="A1551" s="2">
        <v>2</v>
      </c>
      <c r="B1551" s="1" t="s">
        <v>236</v>
      </c>
      <c r="C1551" s="4">
        <v>1</v>
      </c>
      <c r="D1551" s="8">
        <v>8.33</v>
      </c>
      <c r="E1551" s="4">
        <v>0</v>
      </c>
      <c r="F1551" s="8">
        <v>0</v>
      </c>
      <c r="G1551" s="4">
        <v>0</v>
      </c>
      <c r="H1551" s="8">
        <v>0</v>
      </c>
      <c r="I1551" s="4">
        <v>0</v>
      </c>
    </row>
    <row r="1552" spans="1:9" x14ac:dyDescent="0.2">
      <c r="A1552" s="2">
        <v>2</v>
      </c>
      <c r="B1552" s="1" t="s">
        <v>286</v>
      </c>
      <c r="C1552" s="4">
        <v>1</v>
      </c>
      <c r="D1552" s="8">
        <v>8.33</v>
      </c>
      <c r="E1552" s="4">
        <v>1</v>
      </c>
      <c r="F1552" s="8">
        <v>33.33</v>
      </c>
      <c r="G1552" s="4">
        <v>0</v>
      </c>
      <c r="H1552" s="8">
        <v>0</v>
      </c>
      <c r="I1552" s="4">
        <v>0</v>
      </c>
    </row>
    <row r="1553" spans="1:9" x14ac:dyDescent="0.2">
      <c r="A1553" s="1"/>
      <c r="C1553" s="4"/>
      <c r="D1553" s="8"/>
      <c r="E1553" s="4"/>
      <c r="F1553" s="8"/>
      <c r="G1553" s="4"/>
      <c r="H1553" s="8"/>
      <c r="I1553" s="4"/>
    </row>
    <row r="1554" spans="1:9" x14ac:dyDescent="0.2">
      <c r="A1554" s="1" t="s">
        <v>58</v>
      </c>
      <c r="C1554" s="4"/>
      <c r="D1554" s="8"/>
      <c r="E1554" s="4"/>
      <c r="F1554" s="8"/>
      <c r="G1554" s="4"/>
      <c r="H1554" s="8"/>
      <c r="I1554" s="4"/>
    </row>
    <row r="1555" spans="1:9" x14ac:dyDescent="0.2">
      <c r="A1555" s="2">
        <v>1</v>
      </c>
      <c r="B1555" s="1" t="s">
        <v>158</v>
      </c>
      <c r="C1555" s="4">
        <v>13</v>
      </c>
      <c r="D1555" s="8">
        <v>6.99</v>
      </c>
      <c r="E1555" s="4">
        <v>1</v>
      </c>
      <c r="F1555" s="8">
        <v>1.06</v>
      </c>
      <c r="G1555" s="4">
        <v>12</v>
      </c>
      <c r="H1555" s="8">
        <v>14.12</v>
      </c>
      <c r="I1555" s="4">
        <v>0</v>
      </c>
    </row>
    <row r="1556" spans="1:9" x14ac:dyDescent="0.2">
      <c r="A1556" s="2">
        <v>2</v>
      </c>
      <c r="B1556" s="1" t="s">
        <v>174</v>
      </c>
      <c r="C1556" s="4">
        <v>12</v>
      </c>
      <c r="D1556" s="8">
        <v>6.45</v>
      </c>
      <c r="E1556" s="4">
        <v>12</v>
      </c>
      <c r="F1556" s="8">
        <v>12.77</v>
      </c>
      <c r="G1556" s="4">
        <v>0</v>
      </c>
      <c r="H1556" s="8">
        <v>0</v>
      </c>
      <c r="I1556" s="4">
        <v>0</v>
      </c>
    </row>
    <row r="1557" spans="1:9" x14ac:dyDescent="0.2">
      <c r="A1557" s="2">
        <v>3</v>
      </c>
      <c r="B1557" s="1" t="s">
        <v>173</v>
      </c>
      <c r="C1557" s="4">
        <v>11</v>
      </c>
      <c r="D1557" s="8">
        <v>5.91</v>
      </c>
      <c r="E1557" s="4">
        <v>11</v>
      </c>
      <c r="F1557" s="8">
        <v>11.7</v>
      </c>
      <c r="G1557" s="4">
        <v>0</v>
      </c>
      <c r="H1557" s="8">
        <v>0</v>
      </c>
      <c r="I1557" s="4">
        <v>0</v>
      </c>
    </row>
    <row r="1558" spans="1:9" x14ac:dyDescent="0.2">
      <c r="A1558" s="2">
        <v>4</v>
      </c>
      <c r="B1558" s="1" t="s">
        <v>307</v>
      </c>
      <c r="C1558" s="4">
        <v>6</v>
      </c>
      <c r="D1558" s="8">
        <v>3.23</v>
      </c>
      <c r="E1558" s="4">
        <v>0</v>
      </c>
      <c r="F1558" s="8">
        <v>0</v>
      </c>
      <c r="G1558" s="4">
        <v>6</v>
      </c>
      <c r="H1558" s="8">
        <v>7.06</v>
      </c>
      <c r="I1558" s="4">
        <v>0</v>
      </c>
    </row>
    <row r="1559" spans="1:9" x14ac:dyDescent="0.2">
      <c r="A1559" s="2">
        <v>5</v>
      </c>
      <c r="B1559" s="1" t="s">
        <v>251</v>
      </c>
      <c r="C1559" s="4">
        <v>5</v>
      </c>
      <c r="D1559" s="8">
        <v>2.69</v>
      </c>
      <c r="E1559" s="4">
        <v>1</v>
      </c>
      <c r="F1559" s="8">
        <v>1.06</v>
      </c>
      <c r="G1559" s="4">
        <v>4</v>
      </c>
      <c r="H1559" s="8">
        <v>4.71</v>
      </c>
      <c r="I1559" s="4">
        <v>0</v>
      </c>
    </row>
    <row r="1560" spans="1:9" x14ac:dyDescent="0.2">
      <c r="A1560" s="2">
        <v>5</v>
      </c>
      <c r="B1560" s="1" t="s">
        <v>177</v>
      </c>
      <c r="C1560" s="4">
        <v>5</v>
      </c>
      <c r="D1560" s="8">
        <v>2.69</v>
      </c>
      <c r="E1560" s="4">
        <v>5</v>
      </c>
      <c r="F1560" s="8">
        <v>5.32</v>
      </c>
      <c r="G1560" s="4">
        <v>0</v>
      </c>
      <c r="H1560" s="8">
        <v>0</v>
      </c>
      <c r="I1560" s="4">
        <v>0</v>
      </c>
    </row>
    <row r="1561" spans="1:9" x14ac:dyDescent="0.2">
      <c r="A1561" s="2">
        <v>7</v>
      </c>
      <c r="B1561" s="1" t="s">
        <v>160</v>
      </c>
      <c r="C1561" s="4">
        <v>4</v>
      </c>
      <c r="D1561" s="8">
        <v>2.15</v>
      </c>
      <c r="E1561" s="4">
        <v>3</v>
      </c>
      <c r="F1561" s="8">
        <v>3.19</v>
      </c>
      <c r="G1561" s="4">
        <v>1</v>
      </c>
      <c r="H1561" s="8">
        <v>1.18</v>
      </c>
      <c r="I1561" s="4">
        <v>0</v>
      </c>
    </row>
    <row r="1562" spans="1:9" x14ac:dyDescent="0.2">
      <c r="A1562" s="2">
        <v>7</v>
      </c>
      <c r="B1562" s="1" t="s">
        <v>161</v>
      </c>
      <c r="C1562" s="4">
        <v>4</v>
      </c>
      <c r="D1562" s="8">
        <v>2.15</v>
      </c>
      <c r="E1562" s="4">
        <v>2</v>
      </c>
      <c r="F1562" s="8">
        <v>2.13</v>
      </c>
      <c r="G1562" s="4">
        <v>2</v>
      </c>
      <c r="H1562" s="8">
        <v>2.35</v>
      </c>
      <c r="I1562" s="4">
        <v>0</v>
      </c>
    </row>
    <row r="1563" spans="1:9" x14ac:dyDescent="0.2">
      <c r="A1563" s="2">
        <v>7</v>
      </c>
      <c r="B1563" s="1" t="s">
        <v>264</v>
      </c>
      <c r="C1563" s="4">
        <v>4</v>
      </c>
      <c r="D1563" s="8">
        <v>2.15</v>
      </c>
      <c r="E1563" s="4">
        <v>0</v>
      </c>
      <c r="F1563" s="8">
        <v>0</v>
      </c>
      <c r="G1563" s="4">
        <v>4</v>
      </c>
      <c r="H1563" s="8">
        <v>4.71</v>
      </c>
      <c r="I1563" s="4">
        <v>0</v>
      </c>
    </row>
    <row r="1564" spans="1:9" x14ac:dyDescent="0.2">
      <c r="A1564" s="2">
        <v>7</v>
      </c>
      <c r="B1564" s="1" t="s">
        <v>164</v>
      </c>
      <c r="C1564" s="4">
        <v>4</v>
      </c>
      <c r="D1564" s="8">
        <v>2.15</v>
      </c>
      <c r="E1564" s="4">
        <v>1</v>
      </c>
      <c r="F1564" s="8">
        <v>1.06</v>
      </c>
      <c r="G1564" s="4">
        <v>3</v>
      </c>
      <c r="H1564" s="8">
        <v>3.53</v>
      </c>
      <c r="I1564" s="4">
        <v>0</v>
      </c>
    </row>
    <row r="1565" spans="1:9" x14ac:dyDescent="0.2">
      <c r="A1565" s="2">
        <v>7</v>
      </c>
      <c r="B1565" s="1" t="s">
        <v>170</v>
      </c>
      <c r="C1565" s="4">
        <v>4</v>
      </c>
      <c r="D1565" s="8">
        <v>2.15</v>
      </c>
      <c r="E1565" s="4">
        <v>3</v>
      </c>
      <c r="F1565" s="8">
        <v>3.19</v>
      </c>
      <c r="G1565" s="4">
        <v>1</v>
      </c>
      <c r="H1565" s="8">
        <v>1.18</v>
      </c>
      <c r="I1565" s="4">
        <v>0</v>
      </c>
    </row>
    <row r="1566" spans="1:9" x14ac:dyDescent="0.2">
      <c r="A1566" s="2">
        <v>12</v>
      </c>
      <c r="B1566" s="1" t="s">
        <v>159</v>
      </c>
      <c r="C1566" s="4">
        <v>3</v>
      </c>
      <c r="D1566" s="8">
        <v>1.61</v>
      </c>
      <c r="E1566" s="4">
        <v>0</v>
      </c>
      <c r="F1566" s="8">
        <v>0</v>
      </c>
      <c r="G1566" s="4">
        <v>3</v>
      </c>
      <c r="H1566" s="8">
        <v>3.53</v>
      </c>
      <c r="I1566" s="4">
        <v>0</v>
      </c>
    </row>
    <row r="1567" spans="1:9" x14ac:dyDescent="0.2">
      <c r="A1567" s="2">
        <v>12</v>
      </c>
      <c r="B1567" s="1" t="s">
        <v>288</v>
      </c>
      <c r="C1567" s="4">
        <v>3</v>
      </c>
      <c r="D1567" s="8">
        <v>1.61</v>
      </c>
      <c r="E1567" s="4">
        <v>1</v>
      </c>
      <c r="F1567" s="8">
        <v>1.06</v>
      </c>
      <c r="G1567" s="4">
        <v>2</v>
      </c>
      <c r="H1567" s="8">
        <v>2.35</v>
      </c>
      <c r="I1567" s="4">
        <v>0</v>
      </c>
    </row>
    <row r="1568" spans="1:9" x14ac:dyDescent="0.2">
      <c r="A1568" s="2">
        <v>12</v>
      </c>
      <c r="B1568" s="1" t="s">
        <v>190</v>
      </c>
      <c r="C1568" s="4">
        <v>3</v>
      </c>
      <c r="D1568" s="8">
        <v>1.61</v>
      </c>
      <c r="E1568" s="4">
        <v>3</v>
      </c>
      <c r="F1568" s="8">
        <v>3.19</v>
      </c>
      <c r="G1568" s="4">
        <v>0</v>
      </c>
      <c r="H1568" s="8">
        <v>0</v>
      </c>
      <c r="I1568" s="4">
        <v>0</v>
      </c>
    </row>
    <row r="1569" spans="1:9" x14ac:dyDescent="0.2">
      <c r="A1569" s="2">
        <v>12</v>
      </c>
      <c r="B1569" s="1" t="s">
        <v>178</v>
      </c>
      <c r="C1569" s="4">
        <v>3</v>
      </c>
      <c r="D1569" s="8">
        <v>1.61</v>
      </c>
      <c r="E1569" s="4">
        <v>3</v>
      </c>
      <c r="F1569" s="8">
        <v>3.19</v>
      </c>
      <c r="G1569" s="4">
        <v>0</v>
      </c>
      <c r="H1569" s="8">
        <v>0</v>
      </c>
      <c r="I1569" s="4">
        <v>0</v>
      </c>
    </row>
    <row r="1570" spans="1:9" x14ac:dyDescent="0.2">
      <c r="A1570" s="2">
        <v>12</v>
      </c>
      <c r="B1570" s="1" t="s">
        <v>163</v>
      </c>
      <c r="C1570" s="4">
        <v>3</v>
      </c>
      <c r="D1570" s="8">
        <v>1.61</v>
      </c>
      <c r="E1570" s="4">
        <v>2</v>
      </c>
      <c r="F1570" s="8">
        <v>2.13</v>
      </c>
      <c r="G1570" s="4">
        <v>1</v>
      </c>
      <c r="H1570" s="8">
        <v>1.18</v>
      </c>
      <c r="I1570" s="4">
        <v>0</v>
      </c>
    </row>
    <row r="1571" spans="1:9" x14ac:dyDescent="0.2">
      <c r="A1571" s="2">
        <v>12</v>
      </c>
      <c r="B1571" s="1" t="s">
        <v>234</v>
      </c>
      <c r="C1571" s="4">
        <v>3</v>
      </c>
      <c r="D1571" s="8">
        <v>1.61</v>
      </c>
      <c r="E1571" s="4">
        <v>0</v>
      </c>
      <c r="F1571" s="8">
        <v>0</v>
      </c>
      <c r="G1571" s="4">
        <v>2</v>
      </c>
      <c r="H1571" s="8">
        <v>2.35</v>
      </c>
      <c r="I1571" s="4">
        <v>0</v>
      </c>
    </row>
    <row r="1572" spans="1:9" x14ac:dyDescent="0.2">
      <c r="A1572" s="2">
        <v>12</v>
      </c>
      <c r="B1572" s="1" t="s">
        <v>176</v>
      </c>
      <c r="C1572" s="4">
        <v>3</v>
      </c>
      <c r="D1572" s="8">
        <v>1.61</v>
      </c>
      <c r="E1572" s="4">
        <v>3</v>
      </c>
      <c r="F1572" s="8">
        <v>3.19</v>
      </c>
      <c r="G1572" s="4">
        <v>0</v>
      </c>
      <c r="H1572" s="8">
        <v>0</v>
      </c>
      <c r="I1572" s="4">
        <v>0</v>
      </c>
    </row>
    <row r="1573" spans="1:9" x14ac:dyDescent="0.2">
      <c r="A1573" s="2">
        <v>19</v>
      </c>
      <c r="B1573" s="1" t="s">
        <v>202</v>
      </c>
      <c r="C1573" s="4">
        <v>2</v>
      </c>
      <c r="D1573" s="8">
        <v>1.08</v>
      </c>
      <c r="E1573" s="4">
        <v>0</v>
      </c>
      <c r="F1573" s="8">
        <v>0</v>
      </c>
      <c r="G1573" s="4">
        <v>2</v>
      </c>
      <c r="H1573" s="8">
        <v>2.35</v>
      </c>
      <c r="I1573" s="4">
        <v>0</v>
      </c>
    </row>
    <row r="1574" spans="1:9" x14ac:dyDescent="0.2">
      <c r="A1574" s="2">
        <v>19</v>
      </c>
      <c r="B1574" s="1" t="s">
        <v>195</v>
      </c>
      <c r="C1574" s="4">
        <v>2</v>
      </c>
      <c r="D1574" s="8">
        <v>1.08</v>
      </c>
      <c r="E1574" s="4">
        <v>1</v>
      </c>
      <c r="F1574" s="8">
        <v>1.06</v>
      </c>
      <c r="G1574" s="4">
        <v>1</v>
      </c>
      <c r="H1574" s="8">
        <v>1.18</v>
      </c>
      <c r="I1574" s="4">
        <v>0</v>
      </c>
    </row>
    <row r="1575" spans="1:9" x14ac:dyDescent="0.2">
      <c r="A1575" s="2">
        <v>19</v>
      </c>
      <c r="B1575" s="1" t="s">
        <v>162</v>
      </c>
      <c r="C1575" s="4">
        <v>2</v>
      </c>
      <c r="D1575" s="8">
        <v>1.08</v>
      </c>
      <c r="E1575" s="4">
        <v>2</v>
      </c>
      <c r="F1575" s="8">
        <v>2.13</v>
      </c>
      <c r="G1575" s="4">
        <v>0</v>
      </c>
      <c r="H1575" s="8">
        <v>0</v>
      </c>
      <c r="I1575" s="4">
        <v>0</v>
      </c>
    </row>
    <row r="1576" spans="1:9" x14ac:dyDescent="0.2">
      <c r="A1576" s="2">
        <v>19</v>
      </c>
      <c r="B1576" s="1" t="s">
        <v>244</v>
      </c>
      <c r="C1576" s="4">
        <v>2</v>
      </c>
      <c r="D1576" s="8">
        <v>1.08</v>
      </c>
      <c r="E1576" s="4">
        <v>2</v>
      </c>
      <c r="F1576" s="8">
        <v>2.13</v>
      </c>
      <c r="G1576" s="4">
        <v>0</v>
      </c>
      <c r="H1576" s="8">
        <v>0</v>
      </c>
      <c r="I1576" s="4">
        <v>0</v>
      </c>
    </row>
    <row r="1577" spans="1:9" x14ac:dyDescent="0.2">
      <c r="A1577" s="2">
        <v>19</v>
      </c>
      <c r="B1577" s="1" t="s">
        <v>293</v>
      </c>
      <c r="C1577" s="4">
        <v>2</v>
      </c>
      <c r="D1577" s="8">
        <v>1.08</v>
      </c>
      <c r="E1577" s="4">
        <v>1</v>
      </c>
      <c r="F1577" s="8">
        <v>1.06</v>
      </c>
      <c r="G1577" s="4">
        <v>1</v>
      </c>
      <c r="H1577" s="8">
        <v>1.18</v>
      </c>
      <c r="I1577" s="4">
        <v>0</v>
      </c>
    </row>
    <row r="1578" spans="1:9" x14ac:dyDescent="0.2">
      <c r="A1578" s="2">
        <v>19</v>
      </c>
      <c r="B1578" s="1" t="s">
        <v>252</v>
      </c>
      <c r="C1578" s="4">
        <v>2</v>
      </c>
      <c r="D1578" s="8">
        <v>1.08</v>
      </c>
      <c r="E1578" s="4">
        <v>1</v>
      </c>
      <c r="F1578" s="8">
        <v>1.06</v>
      </c>
      <c r="G1578" s="4">
        <v>1</v>
      </c>
      <c r="H1578" s="8">
        <v>1.18</v>
      </c>
      <c r="I1578" s="4">
        <v>0</v>
      </c>
    </row>
    <row r="1579" spans="1:9" x14ac:dyDescent="0.2">
      <c r="A1579" s="2">
        <v>19</v>
      </c>
      <c r="B1579" s="1" t="s">
        <v>332</v>
      </c>
      <c r="C1579" s="4">
        <v>2</v>
      </c>
      <c r="D1579" s="8">
        <v>1.08</v>
      </c>
      <c r="E1579" s="4">
        <v>0</v>
      </c>
      <c r="F1579" s="8">
        <v>0</v>
      </c>
      <c r="G1579" s="4">
        <v>1</v>
      </c>
      <c r="H1579" s="8">
        <v>1.18</v>
      </c>
      <c r="I1579" s="4">
        <v>0</v>
      </c>
    </row>
    <row r="1580" spans="1:9" x14ac:dyDescent="0.2">
      <c r="A1580" s="2">
        <v>19</v>
      </c>
      <c r="B1580" s="1" t="s">
        <v>188</v>
      </c>
      <c r="C1580" s="4">
        <v>2</v>
      </c>
      <c r="D1580" s="8">
        <v>1.08</v>
      </c>
      <c r="E1580" s="4">
        <v>0</v>
      </c>
      <c r="F1580" s="8">
        <v>0</v>
      </c>
      <c r="G1580" s="4">
        <v>2</v>
      </c>
      <c r="H1580" s="8">
        <v>2.35</v>
      </c>
      <c r="I1580" s="4">
        <v>0</v>
      </c>
    </row>
    <row r="1581" spans="1:9" x14ac:dyDescent="0.2">
      <c r="A1581" s="2">
        <v>19</v>
      </c>
      <c r="B1581" s="1" t="s">
        <v>191</v>
      </c>
      <c r="C1581" s="4">
        <v>2</v>
      </c>
      <c r="D1581" s="8">
        <v>1.08</v>
      </c>
      <c r="E1581" s="4">
        <v>2</v>
      </c>
      <c r="F1581" s="8">
        <v>2.13</v>
      </c>
      <c r="G1581" s="4">
        <v>0</v>
      </c>
      <c r="H1581" s="8">
        <v>0</v>
      </c>
      <c r="I1581" s="4">
        <v>0</v>
      </c>
    </row>
    <row r="1582" spans="1:9" x14ac:dyDescent="0.2">
      <c r="A1582" s="2">
        <v>19</v>
      </c>
      <c r="B1582" s="1" t="s">
        <v>210</v>
      </c>
      <c r="C1582" s="4">
        <v>2</v>
      </c>
      <c r="D1582" s="8">
        <v>1.08</v>
      </c>
      <c r="E1582" s="4">
        <v>1</v>
      </c>
      <c r="F1582" s="8">
        <v>1.06</v>
      </c>
      <c r="G1582" s="4">
        <v>1</v>
      </c>
      <c r="H1582" s="8">
        <v>1.18</v>
      </c>
      <c r="I1582" s="4">
        <v>0</v>
      </c>
    </row>
    <row r="1583" spans="1:9" x14ac:dyDescent="0.2">
      <c r="A1583" s="2">
        <v>19</v>
      </c>
      <c r="B1583" s="1" t="s">
        <v>169</v>
      </c>
      <c r="C1583" s="4">
        <v>2</v>
      </c>
      <c r="D1583" s="8">
        <v>1.08</v>
      </c>
      <c r="E1583" s="4">
        <v>0</v>
      </c>
      <c r="F1583" s="8">
        <v>0</v>
      </c>
      <c r="G1583" s="4">
        <v>2</v>
      </c>
      <c r="H1583" s="8">
        <v>2.35</v>
      </c>
      <c r="I1583" s="4">
        <v>0</v>
      </c>
    </row>
    <row r="1584" spans="1:9" x14ac:dyDescent="0.2">
      <c r="A1584" s="2">
        <v>19</v>
      </c>
      <c r="B1584" s="1" t="s">
        <v>233</v>
      </c>
      <c r="C1584" s="4">
        <v>2</v>
      </c>
      <c r="D1584" s="8">
        <v>1.08</v>
      </c>
      <c r="E1584" s="4">
        <v>0</v>
      </c>
      <c r="F1584" s="8">
        <v>0</v>
      </c>
      <c r="G1584" s="4">
        <v>2</v>
      </c>
      <c r="H1584" s="8">
        <v>2.35</v>
      </c>
      <c r="I1584" s="4">
        <v>0</v>
      </c>
    </row>
    <row r="1585" spans="1:9" x14ac:dyDescent="0.2">
      <c r="A1585" s="2">
        <v>19</v>
      </c>
      <c r="B1585" s="1" t="s">
        <v>181</v>
      </c>
      <c r="C1585" s="4">
        <v>2</v>
      </c>
      <c r="D1585" s="8">
        <v>1.08</v>
      </c>
      <c r="E1585" s="4">
        <v>2</v>
      </c>
      <c r="F1585" s="8">
        <v>2.13</v>
      </c>
      <c r="G1585" s="4">
        <v>0</v>
      </c>
      <c r="H1585" s="8">
        <v>0</v>
      </c>
      <c r="I1585" s="4">
        <v>0</v>
      </c>
    </row>
    <row r="1586" spans="1:9" x14ac:dyDescent="0.2">
      <c r="A1586" s="2">
        <v>19</v>
      </c>
      <c r="B1586" s="1" t="s">
        <v>171</v>
      </c>
      <c r="C1586" s="4">
        <v>2</v>
      </c>
      <c r="D1586" s="8">
        <v>1.08</v>
      </c>
      <c r="E1586" s="4">
        <v>2</v>
      </c>
      <c r="F1586" s="8">
        <v>2.13</v>
      </c>
      <c r="G1586" s="4">
        <v>0</v>
      </c>
      <c r="H1586" s="8">
        <v>0</v>
      </c>
      <c r="I1586" s="4">
        <v>0</v>
      </c>
    </row>
    <row r="1587" spans="1:9" x14ac:dyDescent="0.2">
      <c r="A1587" s="2">
        <v>19</v>
      </c>
      <c r="B1587" s="1" t="s">
        <v>227</v>
      </c>
      <c r="C1587" s="4">
        <v>2</v>
      </c>
      <c r="D1587" s="8">
        <v>1.08</v>
      </c>
      <c r="E1587" s="4">
        <v>2</v>
      </c>
      <c r="F1587" s="8">
        <v>2.13</v>
      </c>
      <c r="G1587" s="4">
        <v>0</v>
      </c>
      <c r="H1587" s="8">
        <v>0</v>
      </c>
      <c r="I1587" s="4">
        <v>0</v>
      </c>
    </row>
    <row r="1588" spans="1:9" x14ac:dyDescent="0.2">
      <c r="A1588" s="2">
        <v>19</v>
      </c>
      <c r="B1588" s="1" t="s">
        <v>236</v>
      </c>
      <c r="C1588" s="4">
        <v>2</v>
      </c>
      <c r="D1588" s="8">
        <v>1.08</v>
      </c>
      <c r="E1588" s="4">
        <v>0</v>
      </c>
      <c r="F1588" s="8">
        <v>0</v>
      </c>
      <c r="G1588" s="4">
        <v>0</v>
      </c>
      <c r="H1588" s="8">
        <v>0</v>
      </c>
      <c r="I1588" s="4">
        <v>0</v>
      </c>
    </row>
    <row r="1589" spans="1:9" x14ac:dyDescent="0.2">
      <c r="A1589" s="2">
        <v>19</v>
      </c>
      <c r="B1589" s="1" t="s">
        <v>175</v>
      </c>
      <c r="C1589" s="4">
        <v>2</v>
      </c>
      <c r="D1589" s="8">
        <v>1.08</v>
      </c>
      <c r="E1589" s="4">
        <v>2</v>
      </c>
      <c r="F1589" s="8">
        <v>2.13</v>
      </c>
      <c r="G1589" s="4">
        <v>0</v>
      </c>
      <c r="H1589" s="8">
        <v>0</v>
      </c>
      <c r="I1589" s="4">
        <v>0</v>
      </c>
    </row>
    <row r="1590" spans="1:9" x14ac:dyDescent="0.2">
      <c r="A1590" s="2">
        <v>19</v>
      </c>
      <c r="B1590" s="1" t="s">
        <v>200</v>
      </c>
      <c r="C1590" s="4">
        <v>2</v>
      </c>
      <c r="D1590" s="8">
        <v>1.08</v>
      </c>
      <c r="E1590" s="4">
        <v>0</v>
      </c>
      <c r="F1590" s="8">
        <v>0</v>
      </c>
      <c r="G1590" s="4">
        <v>2</v>
      </c>
      <c r="H1590" s="8">
        <v>2.35</v>
      </c>
      <c r="I1590" s="4">
        <v>0</v>
      </c>
    </row>
    <row r="1591" spans="1:9" x14ac:dyDescent="0.2">
      <c r="A1591" s="2">
        <v>19</v>
      </c>
      <c r="B1591" s="1" t="s">
        <v>206</v>
      </c>
      <c r="C1591" s="4">
        <v>2</v>
      </c>
      <c r="D1591" s="8">
        <v>1.08</v>
      </c>
      <c r="E1591" s="4">
        <v>0</v>
      </c>
      <c r="F1591" s="8">
        <v>0</v>
      </c>
      <c r="G1591" s="4">
        <v>1</v>
      </c>
      <c r="H1591" s="8">
        <v>1.18</v>
      </c>
      <c r="I1591" s="4">
        <v>0</v>
      </c>
    </row>
    <row r="1592" spans="1:9" x14ac:dyDescent="0.2">
      <c r="A1592" s="2">
        <v>19</v>
      </c>
      <c r="B1592" s="1" t="s">
        <v>211</v>
      </c>
      <c r="C1592" s="4">
        <v>2</v>
      </c>
      <c r="D1592" s="8">
        <v>1.08</v>
      </c>
      <c r="E1592" s="4">
        <v>0</v>
      </c>
      <c r="F1592" s="8">
        <v>0</v>
      </c>
      <c r="G1592" s="4">
        <v>2</v>
      </c>
      <c r="H1592" s="8">
        <v>2.35</v>
      </c>
      <c r="I1592" s="4">
        <v>0</v>
      </c>
    </row>
    <row r="1593" spans="1:9" x14ac:dyDescent="0.2">
      <c r="A1593" s="1"/>
      <c r="C1593" s="4"/>
      <c r="D1593" s="8"/>
      <c r="E1593" s="4"/>
      <c r="F1593" s="8"/>
      <c r="G1593" s="4"/>
      <c r="H1593" s="8"/>
      <c r="I1593" s="4"/>
    </row>
    <row r="1594" spans="1:9" x14ac:dyDescent="0.2">
      <c r="A1594" s="1" t="s">
        <v>59</v>
      </c>
      <c r="C1594" s="4"/>
      <c r="D1594" s="8"/>
      <c r="E1594" s="4"/>
      <c r="F1594" s="8"/>
      <c r="G1594" s="4"/>
      <c r="H1594" s="8"/>
      <c r="I1594" s="4"/>
    </row>
    <row r="1595" spans="1:9" x14ac:dyDescent="0.2">
      <c r="A1595" s="2">
        <v>1</v>
      </c>
      <c r="B1595" s="1" t="s">
        <v>164</v>
      </c>
      <c r="C1595" s="4">
        <v>3</v>
      </c>
      <c r="D1595" s="8">
        <v>10</v>
      </c>
      <c r="E1595" s="4">
        <v>1</v>
      </c>
      <c r="F1595" s="8">
        <v>7.69</v>
      </c>
      <c r="G1595" s="4">
        <v>2</v>
      </c>
      <c r="H1595" s="8">
        <v>12.5</v>
      </c>
      <c r="I1595" s="4">
        <v>0</v>
      </c>
    </row>
    <row r="1596" spans="1:9" x14ac:dyDescent="0.2">
      <c r="A1596" s="2">
        <v>2</v>
      </c>
      <c r="B1596" s="1" t="s">
        <v>158</v>
      </c>
      <c r="C1596" s="4">
        <v>2</v>
      </c>
      <c r="D1596" s="8">
        <v>6.67</v>
      </c>
      <c r="E1596" s="4">
        <v>0</v>
      </c>
      <c r="F1596" s="8">
        <v>0</v>
      </c>
      <c r="G1596" s="4">
        <v>2</v>
      </c>
      <c r="H1596" s="8">
        <v>12.5</v>
      </c>
      <c r="I1596" s="4">
        <v>0</v>
      </c>
    </row>
    <row r="1597" spans="1:9" x14ac:dyDescent="0.2">
      <c r="A1597" s="2">
        <v>2</v>
      </c>
      <c r="B1597" s="1" t="s">
        <v>194</v>
      </c>
      <c r="C1597" s="4">
        <v>2</v>
      </c>
      <c r="D1597" s="8">
        <v>6.67</v>
      </c>
      <c r="E1597" s="4">
        <v>1</v>
      </c>
      <c r="F1597" s="8">
        <v>7.69</v>
      </c>
      <c r="G1597" s="4">
        <v>1</v>
      </c>
      <c r="H1597" s="8">
        <v>6.25</v>
      </c>
      <c r="I1597" s="4">
        <v>0</v>
      </c>
    </row>
    <row r="1598" spans="1:9" x14ac:dyDescent="0.2">
      <c r="A1598" s="2">
        <v>2</v>
      </c>
      <c r="B1598" s="1" t="s">
        <v>323</v>
      </c>
      <c r="C1598" s="4">
        <v>2</v>
      </c>
      <c r="D1598" s="8">
        <v>6.67</v>
      </c>
      <c r="E1598" s="4">
        <v>2</v>
      </c>
      <c r="F1598" s="8">
        <v>15.38</v>
      </c>
      <c r="G1598" s="4">
        <v>0</v>
      </c>
      <c r="H1598" s="8">
        <v>0</v>
      </c>
      <c r="I1598" s="4">
        <v>0</v>
      </c>
    </row>
    <row r="1599" spans="1:9" x14ac:dyDescent="0.2">
      <c r="A1599" s="2">
        <v>2</v>
      </c>
      <c r="B1599" s="1" t="s">
        <v>201</v>
      </c>
      <c r="C1599" s="4">
        <v>2</v>
      </c>
      <c r="D1599" s="8">
        <v>6.67</v>
      </c>
      <c r="E1599" s="4">
        <v>2</v>
      </c>
      <c r="F1599" s="8">
        <v>15.38</v>
      </c>
      <c r="G1599" s="4">
        <v>0</v>
      </c>
      <c r="H1599" s="8">
        <v>0</v>
      </c>
      <c r="I1599" s="4">
        <v>0</v>
      </c>
    </row>
    <row r="1600" spans="1:9" x14ac:dyDescent="0.2">
      <c r="A1600" s="2">
        <v>2</v>
      </c>
      <c r="B1600" s="1" t="s">
        <v>202</v>
      </c>
      <c r="C1600" s="4">
        <v>2</v>
      </c>
      <c r="D1600" s="8">
        <v>6.67</v>
      </c>
      <c r="E1600" s="4">
        <v>1</v>
      </c>
      <c r="F1600" s="8">
        <v>7.69</v>
      </c>
      <c r="G1600" s="4">
        <v>1</v>
      </c>
      <c r="H1600" s="8">
        <v>6.25</v>
      </c>
      <c r="I1600" s="4">
        <v>0</v>
      </c>
    </row>
    <row r="1601" spans="1:9" x14ac:dyDescent="0.2">
      <c r="A1601" s="2">
        <v>2</v>
      </c>
      <c r="B1601" s="1" t="s">
        <v>161</v>
      </c>
      <c r="C1601" s="4">
        <v>2</v>
      </c>
      <c r="D1601" s="8">
        <v>6.67</v>
      </c>
      <c r="E1601" s="4">
        <v>0</v>
      </c>
      <c r="F1601" s="8">
        <v>0</v>
      </c>
      <c r="G1601" s="4">
        <v>2</v>
      </c>
      <c r="H1601" s="8">
        <v>12.5</v>
      </c>
      <c r="I1601" s="4">
        <v>0</v>
      </c>
    </row>
    <row r="1602" spans="1:9" x14ac:dyDescent="0.2">
      <c r="A1602" s="2">
        <v>2</v>
      </c>
      <c r="B1602" s="1" t="s">
        <v>280</v>
      </c>
      <c r="C1602" s="4">
        <v>2</v>
      </c>
      <c r="D1602" s="8">
        <v>6.67</v>
      </c>
      <c r="E1602" s="4">
        <v>0</v>
      </c>
      <c r="F1602" s="8">
        <v>0</v>
      </c>
      <c r="G1602" s="4">
        <v>2</v>
      </c>
      <c r="H1602" s="8">
        <v>12.5</v>
      </c>
      <c r="I1602" s="4">
        <v>0</v>
      </c>
    </row>
    <row r="1603" spans="1:9" x14ac:dyDescent="0.2">
      <c r="A1603" s="2">
        <v>2</v>
      </c>
      <c r="B1603" s="1" t="s">
        <v>185</v>
      </c>
      <c r="C1603" s="4">
        <v>2</v>
      </c>
      <c r="D1603" s="8">
        <v>6.67</v>
      </c>
      <c r="E1603" s="4">
        <v>0</v>
      </c>
      <c r="F1603" s="8">
        <v>0</v>
      </c>
      <c r="G1603" s="4">
        <v>2</v>
      </c>
      <c r="H1603" s="8">
        <v>12.5</v>
      </c>
      <c r="I1603" s="4">
        <v>0</v>
      </c>
    </row>
    <row r="1604" spans="1:9" x14ac:dyDescent="0.2">
      <c r="A1604" s="2">
        <v>10</v>
      </c>
      <c r="B1604" s="1" t="s">
        <v>187</v>
      </c>
      <c r="C1604" s="4">
        <v>1</v>
      </c>
      <c r="D1604" s="8">
        <v>3.33</v>
      </c>
      <c r="E1604" s="4">
        <v>1</v>
      </c>
      <c r="F1604" s="8">
        <v>7.69</v>
      </c>
      <c r="G1604" s="4">
        <v>0</v>
      </c>
      <c r="H1604" s="8">
        <v>0</v>
      </c>
      <c r="I1604" s="4">
        <v>0</v>
      </c>
    </row>
    <row r="1605" spans="1:9" x14ac:dyDescent="0.2">
      <c r="A1605" s="2">
        <v>10</v>
      </c>
      <c r="B1605" s="1" t="s">
        <v>221</v>
      </c>
      <c r="C1605" s="4">
        <v>1</v>
      </c>
      <c r="D1605" s="8">
        <v>3.33</v>
      </c>
      <c r="E1605" s="4">
        <v>1</v>
      </c>
      <c r="F1605" s="8">
        <v>7.69</v>
      </c>
      <c r="G1605" s="4">
        <v>0</v>
      </c>
      <c r="H1605" s="8">
        <v>0</v>
      </c>
      <c r="I1605" s="4">
        <v>0</v>
      </c>
    </row>
    <row r="1606" spans="1:9" x14ac:dyDescent="0.2">
      <c r="A1606" s="2">
        <v>10</v>
      </c>
      <c r="B1606" s="1" t="s">
        <v>251</v>
      </c>
      <c r="C1606" s="4">
        <v>1</v>
      </c>
      <c r="D1606" s="8">
        <v>3.33</v>
      </c>
      <c r="E1606" s="4">
        <v>0</v>
      </c>
      <c r="F1606" s="8">
        <v>0</v>
      </c>
      <c r="G1606" s="4">
        <v>1</v>
      </c>
      <c r="H1606" s="8">
        <v>6.25</v>
      </c>
      <c r="I1606" s="4">
        <v>0</v>
      </c>
    </row>
    <row r="1607" spans="1:9" x14ac:dyDescent="0.2">
      <c r="A1607" s="2">
        <v>10</v>
      </c>
      <c r="B1607" s="1" t="s">
        <v>333</v>
      </c>
      <c r="C1607" s="4">
        <v>1</v>
      </c>
      <c r="D1607" s="8">
        <v>3.33</v>
      </c>
      <c r="E1607" s="4">
        <v>0</v>
      </c>
      <c r="F1607" s="8">
        <v>0</v>
      </c>
      <c r="G1607" s="4">
        <v>1</v>
      </c>
      <c r="H1607" s="8">
        <v>6.25</v>
      </c>
      <c r="I1607" s="4">
        <v>0</v>
      </c>
    </row>
    <row r="1608" spans="1:9" x14ac:dyDescent="0.2">
      <c r="A1608" s="2">
        <v>10</v>
      </c>
      <c r="B1608" s="1" t="s">
        <v>188</v>
      </c>
      <c r="C1608" s="4">
        <v>1</v>
      </c>
      <c r="D1608" s="8">
        <v>3.33</v>
      </c>
      <c r="E1608" s="4">
        <v>0</v>
      </c>
      <c r="F1608" s="8">
        <v>0</v>
      </c>
      <c r="G1608" s="4">
        <v>1</v>
      </c>
      <c r="H1608" s="8">
        <v>6.25</v>
      </c>
      <c r="I1608" s="4">
        <v>0</v>
      </c>
    </row>
    <row r="1609" spans="1:9" x14ac:dyDescent="0.2">
      <c r="A1609" s="2">
        <v>10</v>
      </c>
      <c r="B1609" s="1" t="s">
        <v>166</v>
      </c>
      <c r="C1609" s="4">
        <v>1</v>
      </c>
      <c r="D1609" s="8">
        <v>3.33</v>
      </c>
      <c r="E1609" s="4">
        <v>1</v>
      </c>
      <c r="F1609" s="8">
        <v>7.69</v>
      </c>
      <c r="G1609" s="4">
        <v>0</v>
      </c>
      <c r="H1609" s="8">
        <v>0</v>
      </c>
      <c r="I1609" s="4">
        <v>0</v>
      </c>
    </row>
    <row r="1610" spans="1:9" x14ac:dyDescent="0.2">
      <c r="A1610" s="2">
        <v>10</v>
      </c>
      <c r="B1610" s="1" t="s">
        <v>173</v>
      </c>
      <c r="C1610" s="4">
        <v>1</v>
      </c>
      <c r="D1610" s="8">
        <v>3.33</v>
      </c>
      <c r="E1610" s="4">
        <v>1</v>
      </c>
      <c r="F1610" s="8">
        <v>7.69</v>
      </c>
      <c r="G1610" s="4">
        <v>0</v>
      </c>
      <c r="H1610" s="8">
        <v>0</v>
      </c>
      <c r="I1610" s="4">
        <v>0</v>
      </c>
    </row>
    <row r="1611" spans="1:9" x14ac:dyDescent="0.2">
      <c r="A1611" s="2">
        <v>10</v>
      </c>
      <c r="B1611" s="1" t="s">
        <v>176</v>
      </c>
      <c r="C1611" s="4">
        <v>1</v>
      </c>
      <c r="D1611" s="8">
        <v>3.33</v>
      </c>
      <c r="E1611" s="4">
        <v>1</v>
      </c>
      <c r="F1611" s="8">
        <v>7.69</v>
      </c>
      <c r="G1611" s="4">
        <v>0</v>
      </c>
      <c r="H1611" s="8">
        <v>0</v>
      </c>
      <c r="I1611" s="4">
        <v>0</v>
      </c>
    </row>
    <row r="1612" spans="1:9" x14ac:dyDescent="0.2">
      <c r="A1612" s="2">
        <v>10</v>
      </c>
      <c r="B1612" s="1" t="s">
        <v>197</v>
      </c>
      <c r="C1612" s="4">
        <v>1</v>
      </c>
      <c r="D1612" s="8">
        <v>3.33</v>
      </c>
      <c r="E1612" s="4">
        <v>0</v>
      </c>
      <c r="F1612" s="8">
        <v>0</v>
      </c>
      <c r="G1612" s="4">
        <v>0</v>
      </c>
      <c r="H1612" s="8">
        <v>0</v>
      </c>
      <c r="I1612" s="4">
        <v>0</v>
      </c>
    </row>
    <row r="1613" spans="1:9" x14ac:dyDescent="0.2">
      <c r="A1613" s="2">
        <v>10</v>
      </c>
      <c r="B1613" s="1" t="s">
        <v>302</v>
      </c>
      <c r="C1613" s="4">
        <v>1</v>
      </c>
      <c r="D1613" s="8">
        <v>3.33</v>
      </c>
      <c r="E1613" s="4">
        <v>1</v>
      </c>
      <c r="F1613" s="8">
        <v>7.69</v>
      </c>
      <c r="G1613" s="4">
        <v>0</v>
      </c>
      <c r="H1613" s="8">
        <v>0</v>
      </c>
      <c r="I1613" s="4">
        <v>0</v>
      </c>
    </row>
    <row r="1614" spans="1:9" x14ac:dyDescent="0.2">
      <c r="A1614" s="2">
        <v>10</v>
      </c>
      <c r="B1614" s="1" t="s">
        <v>322</v>
      </c>
      <c r="C1614" s="4">
        <v>1</v>
      </c>
      <c r="D1614" s="8">
        <v>3.33</v>
      </c>
      <c r="E1614" s="4">
        <v>0</v>
      </c>
      <c r="F1614" s="8">
        <v>0</v>
      </c>
      <c r="G1614" s="4">
        <v>1</v>
      </c>
      <c r="H1614" s="8">
        <v>6.25</v>
      </c>
      <c r="I1614" s="4">
        <v>0</v>
      </c>
    </row>
    <row r="1615" spans="1:9" x14ac:dyDescent="0.2">
      <c r="A1615" s="1"/>
      <c r="C1615" s="4"/>
      <c r="D1615" s="8"/>
      <c r="E1615" s="4"/>
      <c r="F1615" s="8"/>
      <c r="G1615" s="4"/>
      <c r="H1615" s="8"/>
      <c r="I161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C59E-D356-4E54-B79F-8EF21503E05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79</v>
      </c>
      <c r="D6" s="8">
        <v>19.7</v>
      </c>
      <c r="E6" s="12">
        <v>28</v>
      </c>
      <c r="F6" s="8">
        <v>14.29</v>
      </c>
      <c r="G6" s="12">
        <v>51</v>
      </c>
      <c r="H6" s="8">
        <v>25.63</v>
      </c>
      <c r="I6" s="12">
        <v>0</v>
      </c>
    </row>
    <row r="7" spans="2:9" ht="15" customHeight="1" x14ac:dyDescent="0.2">
      <c r="B7" t="s">
        <v>62</v>
      </c>
      <c r="C7" s="12">
        <v>39</v>
      </c>
      <c r="D7" s="8">
        <v>9.73</v>
      </c>
      <c r="E7" s="12">
        <v>13</v>
      </c>
      <c r="F7" s="8">
        <v>6.63</v>
      </c>
      <c r="G7" s="12">
        <v>26</v>
      </c>
      <c r="H7" s="8">
        <v>13.07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0.25</v>
      </c>
      <c r="E9" s="12">
        <v>0</v>
      </c>
      <c r="F9" s="8">
        <v>0</v>
      </c>
      <c r="G9" s="12">
        <v>1</v>
      </c>
      <c r="H9" s="8">
        <v>0.5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0.75</v>
      </c>
      <c r="E10" s="12">
        <v>2</v>
      </c>
      <c r="F10" s="8">
        <v>1.02</v>
      </c>
      <c r="G10" s="12">
        <v>1</v>
      </c>
      <c r="H10" s="8">
        <v>0.5</v>
      </c>
      <c r="I10" s="12">
        <v>0</v>
      </c>
    </row>
    <row r="11" spans="2:9" ht="15" customHeight="1" x14ac:dyDescent="0.2">
      <c r="B11" t="s">
        <v>66</v>
      </c>
      <c r="C11" s="12">
        <v>62</v>
      </c>
      <c r="D11" s="8">
        <v>15.46</v>
      </c>
      <c r="E11" s="12">
        <v>24</v>
      </c>
      <c r="F11" s="8">
        <v>12.24</v>
      </c>
      <c r="G11" s="12">
        <v>38</v>
      </c>
      <c r="H11" s="8">
        <v>19.100000000000001</v>
      </c>
      <c r="I11" s="12">
        <v>0</v>
      </c>
    </row>
    <row r="12" spans="2:9" ht="15" customHeight="1" x14ac:dyDescent="0.2">
      <c r="B12" t="s">
        <v>67</v>
      </c>
      <c r="C12" s="12">
        <v>5</v>
      </c>
      <c r="D12" s="8">
        <v>1.25</v>
      </c>
      <c r="E12" s="12">
        <v>0</v>
      </c>
      <c r="F12" s="8">
        <v>0</v>
      </c>
      <c r="G12" s="12">
        <v>5</v>
      </c>
      <c r="H12" s="8">
        <v>2.5099999999999998</v>
      </c>
      <c r="I12" s="12">
        <v>0</v>
      </c>
    </row>
    <row r="13" spans="2:9" ht="15" customHeight="1" x14ac:dyDescent="0.2">
      <c r="B13" t="s">
        <v>68</v>
      </c>
      <c r="C13" s="12">
        <v>37</v>
      </c>
      <c r="D13" s="8">
        <v>9.23</v>
      </c>
      <c r="E13" s="12">
        <v>18</v>
      </c>
      <c r="F13" s="8">
        <v>9.18</v>
      </c>
      <c r="G13" s="12">
        <v>19</v>
      </c>
      <c r="H13" s="8">
        <v>9.5500000000000007</v>
      </c>
      <c r="I13" s="12">
        <v>0</v>
      </c>
    </row>
    <row r="14" spans="2:9" ht="15" customHeight="1" x14ac:dyDescent="0.2">
      <c r="B14" t="s">
        <v>69</v>
      </c>
      <c r="C14" s="12">
        <v>19</v>
      </c>
      <c r="D14" s="8">
        <v>4.74</v>
      </c>
      <c r="E14" s="12">
        <v>8</v>
      </c>
      <c r="F14" s="8">
        <v>4.08</v>
      </c>
      <c r="G14" s="12">
        <v>11</v>
      </c>
      <c r="H14" s="8">
        <v>5.53</v>
      </c>
      <c r="I14" s="12">
        <v>0</v>
      </c>
    </row>
    <row r="15" spans="2:9" ht="15" customHeight="1" x14ac:dyDescent="0.2">
      <c r="B15" t="s">
        <v>70</v>
      </c>
      <c r="C15" s="12">
        <v>48</v>
      </c>
      <c r="D15" s="8">
        <v>11.97</v>
      </c>
      <c r="E15" s="12">
        <v>32</v>
      </c>
      <c r="F15" s="8">
        <v>16.329999999999998</v>
      </c>
      <c r="G15" s="12">
        <v>14</v>
      </c>
      <c r="H15" s="8">
        <v>7.04</v>
      </c>
      <c r="I15" s="12">
        <v>1</v>
      </c>
    </row>
    <row r="16" spans="2:9" ht="15" customHeight="1" x14ac:dyDescent="0.2">
      <c r="B16" t="s">
        <v>71</v>
      </c>
      <c r="C16" s="12">
        <v>49</v>
      </c>
      <c r="D16" s="8">
        <v>12.22</v>
      </c>
      <c r="E16" s="12">
        <v>40</v>
      </c>
      <c r="F16" s="8">
        <v>20.41</v>
      </c>
      <c r="G16" s="12">
        <v>9</v>
      </c>
      <c r="H16" s="8">
        <v>4.5199999999999996</v>
      </c>
      <c r="I16" s="12">
        <v>0</v>
      </c>
    </row>
    <row r="17" spans="2:9" ht="15" customHeight="1" x14ac:dyDescent="0.2">
      <c r="B17" t="s">
        <v>72</v>
      </c>
      <c r="C17" s="12">
        <v>16</v>
      </c>
      <c r="D17" s="8">
        <v>3.99</v>
      </c>
      <c r="E17" s="12">
        <v>11</v>
      </c>
      <c r="F17" s="8">
        <v>5.61</v>
      </c>
      <c r="G17" s="12">
        <v>4</v>
      </c>
      <c r="H17" s="8">
        <v>2.0099999999999998</v>
      </c>
      <c r="I17" s="12">
        <v>1</v>
      </c>
    </row>
    <row r="18" spans="2:9" ht="15" customHeight="1" x14ac:dyDescent="0.2">
      <c r="B18" t="s">
        <v>73</v>
      </c>
      <c r="C18" s="12">
        <v>27</v>
      </c>
      <c r="D18" s="8">
        <v>6.73</v>
      </c>
      <c r="E18" s="12">
        <v>13</v>
      </c>
      <c r="F18" s="8">
        <v>6.63</v>
      </c>
      <c r="G18" s="12">
        <v>12</v>
      </c>
      <c r="H18" s="8">
        <v>6.03</v>
      </c>
      <c r="I18" s="12">
        <v>0</v>
      </c>
    </row>
    <row r="19" spans="2:9" ht="15" customHeight="1" x14ac:dyDescent="0.2">
      <c r="B19" t="s">
        <v>74</v>
      </c>
      <c r="C19" s="12">
        <v>16</v>
      </c>
      <c r="D19" s="8">
        <v>3.99</v>
      </c>
      <c r="E19" s="12">
        <v>7</v>
      </c>
      <c r="F19" s="8">
        <v>3.57</v>
      </c>
      <c r="G19" s="12">
        <v>8</v>
      </c>
      <c r="H19" s="8">
        <v>4.0199999999999996</v>
      </c>
      <c r="I19" s="12">
        <v>0</v>
      </c>
    </row>
    <row r="20" spans="2:9" ht="15" customHeight="1" x14ac:dyDescent="0.2">
      <c r="B20" s="9" t="s">
        <v>337</v>
      </c>
      <c r="C20" s="12">
        <f>SUM(LTBL_07461[総数／事業所数])</f>
        <v>401</v>
      </c>
      <c r="E20" s="12">
        <f>SUBTOTAL(109,LTBL_07461[個人／事業所数])</f>
        <v>196</v>
      </c>
      <c r="G20" s="12">
        <f>SUBTOTAL(109,LTBL_07461[法人／事業所数])</f>
        <v>199</v>
      </c>
      <c r="I20" s="12">
        <f>SUBTOTAL(109,LTBL_07461[法人以外の団体／事業所数])</f>
        <v>2</v>
      </c>
    </row>
    <row r="21" spans="2:9" ht="15" customHeight="1" x14ac:dyDescent="0.2">
      <c r="E21" s="11">
        <f>LTBL_07461[[#Totals],[個人／事業所数]]/LTBL_07461[[#Totals],[総数／事業所数]]</f>
        <v>0.48877805486284287</v>
      </c>
      <c r="G21" s="11">
        <f>LTBL_07461[[#Totals],[法人／事業所数]]/LTBL_07461[[#Totals],[総数／事業所数]]</f>
        <v>0.49625935162094764</v>
      </c>
      <c r="I21" s="11">
        <f>LTBL_07461[[#Totals],[法人以外の団体／事業所数]]/LTBL_07461[[#Totals],[総数／事業所数]]</f>
        <v>4.9875311720698253E-3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37</v>
      </c>
      <c r="D24" s="8">
        <v>9.23</v>
      </c>
      <c r="E24" s="12">
        <v>35</v>
      </c>
      <c r="F24" s="8">
        <v>17.86</v>
      </c>
      <c r="G24" s="12">
        <v>2</v>
      </c>
      <c r="H24" s="8">
        <v>1.01</v>
      </c>
      <c r="I24" s="12">
        <v>0</v>
      </c>
    </row>
    <row r="25" spans="2:9" ht="15" customHeight="1" x14ac:dyDescent="0.2">
      <c r="B25" t="s">
        <v>96</v>
      </c>
      <c r="C25" s="12">
        <v>33</v>
      </c>
      <c r="D25" s="8">
        <v>8.23</v>
      </c>
      <c r="E25" s="12">
        <v>27</v>
      </c>
      <c r="F25" s="8">
        <v>13.78</v>
      </c>
      <c r="G25" s="12">
        <v>5</v>
      </c>
      <c r="H25" s="8">
        <v>2.5099999999999998</v>
      </c>
      <c r="I25" s="12">
        <v>1</v>
      </c>
    </row>
    <row r="26" spans="2:9" ht="15" customHeight="1" x14ac:dyDescent="0.2">
      <c r="B26" t="s">
        <v>83</v>
      </c>
      <c r="C26" s="12">
        <v>31</v>
      </c>
      <c r="D26" s="8">
        <v>7.73</v>
      </c>
      <c r="E26" s="12">
        <v>11</v>
      </c>
      <c r="F26" s="8">
        <v>5.61</v>
      </c>
      <c r="G26" s="12">
        <v>20</v>
      </c>
      <c r="H26" s="8">
        <v>10.050000000000001</v>
      </c>
      <c r="I26" s="12">
        <v>0</v>
      </c>
    </row>
    <row r="27" spans="2:9" ht="15" customHeight="1" x14ac:dyDescent="0.2">
      <c r="B27" t="s">
        <v>92</v>
      </c>
      <c r="C27" s="12">
        <v>30</v>
      </c>
      <c r="D27" s="8">
        <v>7.48</v>
      </c>
      <c r="E27" s="12">
        <v>18</v>
      </c>
      <c r="F27" s="8">
        <v>9.18</v>
      </c>
      <c r="G27" s="12">
        <v>12</v>
      </c>
      <c r="H27" s="8">
        <v>6.03</v>
      </c>
      <c r="I27" s="12">
        <v>0</v>
      </c>
    </row>
    <row r="28" spans="2:9" ht="15" customHeight="1" x14ac:dyDescent="0.2">
      <c r="B28" t="s">
        <v>85</v>
      </c>
      <c r="C28" s="12">
        <v>25</v>
      </c>
      <c r="D28" s="8">
        <v>6.23</v>
      </c>
      <c r="E28" s="12">
        <v>9</v>
      </c>
      <c r="F28" s="8">
        <v>4.59</v>
      </c>
      <c r="G28" s="12">
        <v>16</v>
      </c>
      <c r="H28" s="8">
        <v>8.0399999999999991</v>
      </c>
      <c r="I28" s="12">
        <v>0</v>
      </c>
    </row>
    <row r="29" spans="2:9" ht="15" customHeight="1" x14ac:dyDescent="0.2">
      <c r="B29" t="s">
        <v>84</v>
      </c>
      <c r="C29" s="12">
        <v>23</v>
      </c>
      <c r="D29" s="8">
        <v>5.74</v>
      </c>
      <c r="E29" s="12">
        <v>8</v>
      </c>
      <c r="F29" s="8">
        <v>4.08</v>
      </c>
      <c r="G29" s="12">
        <v>15</v>
      </c>
      <c r="H29" s="8">
        <v>7.54</v>
      </c>
      <c r="I29" s="12">
        <v>0</v>
      </c>
    </row>
    <row r="30" spans="2:9" ht="15" customHeight="1" x14ac:dyDescent="0.2">
      <c r="B30" t="s">
        <v>99</v>
      </c>
      <c r="C30" s="12">
        <v>16</v>
      </c>
      <c r="D30" s="8">
        <v>3.99</v>
      </c>
      <c r="E30" s="12">
        <v>11</v>
      </c>
      <c r="F30" s="8">
        <v>5.61</v>
      </c>
      <c r="G30" s="12">
        <v>4</v>
      </c>
      <c r="H30" s="8">
        <v>2.0099999999999998</v>
      </c>
      <c r="I30" s="12">
        <v>1</v>
      </c>
    </row>
    <row r="31" spans="2:9" ht="15" customHeight="1" x14ac:dyDescent="0.2">
      <c r="B31" t="s">
        <v>91</v>
      </c>
      <c r="C31" s="12">
        <v>15</v>
      </c>
      <c r="D31" s="8">
        <v>3.74</v>
      </c>
      <c r="E31" s="12">
        <v>8</v>
      </c>
      <c r="F31" s="8">
        <v>4.08</v>
      </c>
      <c r="G31" s="12">
        <v>7</v>
      </c>
      <c r="H31" s="8">
        <v>3.52</v>
      </c>
      <c r="I31" s="12">
        <v>0</v>
      </c>
    </row>
    <row r="32" spans="2:9" ht="15" customHeight="1" x14ac:dyDescent="0.2">
      <c r="B32" t="s">
        <v>101</v>
      </c>
      <c r="C32" s="12">
        <v>14</v>
      </c>
      <c r="D32" s="8">
        <v>3.49</v>
      </c>
      <c r="E32" s="12">
        <v>0</v>
      </c>
      <c r="F32" s="8">
        <v>0</v>
      </c>
      <c r="G32" s="12">
        <v>12</v>
      </c>
      <c r="H32" s="8">
        <v>6.03</v>
      </c>
      <c r="I32" s="12">
        <v>0</v>
      </c>
    </row>
    <row r="33" spans="2:9" ht="15" customHeight="1" x14ac:dyDescent="0.2">
      <c r="B33" t="s">
        <v>100</v>
      </c>
      <c r="C33" s="12">
        <v>13</v>
      </c>
      <c r="D33" s="8">
        <v>3.24</v>
      </c>
      <c r="E33" s="12">
        <v>13</v>
      </c>
      <c r="F33" s="8">
        <v>6.63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89</v>
      </c>
      <c r="C34" s="12">
        <v>11</v>
      </c>
      <c r="D34" s="8">
        <v>2.74</v>
      </c>
      <c r="E34" s="12">
        <v>8</v>
      </c>
      <c r="F34" s="8">
        <v>4.08</v>
      </c>
      <c r="G34" s="12">
        <v>3</v>
      </c>
      <c r="H34" s="8">
        <v>1.51</v>
      </c>
      <c r="I34" s="12">
        <v>0</v>
      </c>
    </row>
    <row r="35" spans="2:9" ht="15" customHeight="1" x14ac:dyDescent="0.2">
      <c r="B35" t="s">
        <v>94</v>
      </c>
      <c r="C35" s="12">
        <v>11</v>
      </c>
      <c r="D35" s="8">
        <v>2.74</v>
      </c>
      <c r="E35" s="12">
        <v>4</v>
      </c>
      <c r="F35" s="8">
        <v>2.04</v>
      </c>
      <c r="G35" s="12">
        <v>7</v>
      </c>
      <c r="H35" s="8">
        <v>3.52</v>
      </c>
      <c r="I35" s="12">
        <v>0</v>
      </c>
    </row>
    <row r="36" spans="2:9" ht="15" customHeight="1" x14ac:dyDescent="0.2">
      <c r="B36" t="s">
        <v>102</v>
      </c>
      <c r="C36" s="12">
        <v>11</v>
      </c>
      <c r="D36" s="8">
        <v>2.74</v>
      </c>
      <c r="E36" s="12">
        <v>6</v>
      </c>
      <c r="F36" s="8">
        <v>3.06</v>
      </c>
      <c r="G36" s="12">
        <v>5</v>
      </c>
      <c r="H36" s="8">
        <v>2.5099999999999998</v>
      </c>
      <c r="I36" s="12">
        <v>0</v>
      </c>
    </row>
    <row r="37" spans="2:9" ht="15" customHeight="1" x14ac:dyDescent="0.2">
      <c r="B37" t="s">
        <v>88</v>
      </c>
      <c r="C37" s="12">
        <v>10</v>
      </c>
      <c r="D37" s="8">
        <v>2.4900000000000002</v>
      </c>
      <c r="E37" s="12">
        <v>1</v>
      </c>
      <c r="F37" s="8">
        <v>0.51</v>
      </c>
      <c r="G37" s="12">
        <v>9</v>
      </c>
      <c r="H37" s="8">
        <v>4.5199999999999996</v>
      </c>
      <c r="I37" s="12">
        <v>0</v>
      </c>
    </row>
    <row r="38" spans="2:9" ht="15" customHeight="1" x14ac:dyDescent="0.2">
      <c r="B38" t="s">
        <v>113</v>
      </c>
      <c r="C38" s="12">
        <v>10</v>
      </c>
      <c r="D38" s="8">
        <v>2.4900000000000002</v>
      </c>
      <c r="E38" s="12">
        <v>1</v>
      </c>
      <c r="F38" s="8">
        <v>0.51</v>
      </c>
      <c r="G38" s="12">
        <v>8</v>
      </c>
      <c r="H38" s="8">
        <v>4.0199999999999996</v>
      </c>
      <c r="I38" s="12">
        <v>0</v>
      </c>
    </row>
    <row r="39" spans="2:9" ht="15" customHeight="1" x14ac:dyDescent="0.2">
      <c r="B39" t="s">
        <v>90</v>
      </c>
      <c r="C39" s="12">
        <v>9</v>
      </c>
      <c r="D39" s="8">
        <v>2.2400000000000002</v>
      </c>
      <c r="E39" s="12">
        <v>3</v>
      </c>
      <c r="F39" s="8">
        <v>1.53</v>
      </c>
      <c r="G39" s="12">
        <v>6</v>
      </c>
      <c r="H39" s="8">
        <v>3.02</v>
      </c>
      <c r="I39" s="12">
        <v>0</v>
      </c>
    </row>
    <row r="40" spans="2:9" ht="15" customHeight="1" x14ac:dyDescent="0.2">
      <c r="B40" t="s">
        <v>93</v>
      </c>
      <c r="C40" s="12">
        <v>7</v>
      </c>
      <c r="D40" s="8">
        <v>1.75</v>
      </c>
      <c r="E40" s="12">
        <v>4</v>
      </c>
      <c r="F40" s="8">
        <v>2.04</v>
      </c>
      <c r="G40" s="12">
        <v>3</v>
      </c>
      <c r="H40" s="8">
        <v>1.51</v>
      </c>
      <c r="I40" s="12">
        <v>0</v>
      </c>
    </row>
    <row r="41" spans="2:9" ht="15" customHeight="1" x14ac:dyDescent="0.2">
      <c r="B41" t="s">
        <v>98</v>
      </c>
      <c r="C41" s="12">
        <v>6</v>
      </c>
      <c r="D41" s="8">
        <v>1.5</v>
      </c>
      <c r="E41" s="12">
        <v>3</v>
      </c>
      <c r="F41" s="8">
        <v>1.53</v>
      </c>
      <c r="G41" s="12">
        <v>3</v>
      </c>
      <c r="H41" s="8">
        <v>1.51</v>
      </c>
      <c r="I41" s="12">
        <v>0</v>
      </c>
    </row>
    <row r="42" spans="2:9" ht="15" customHeight="1" x14ac:dyDescent="0.2">
      <c r="B42" t="s">
        <v>129</v>
      </c>
      <c r="C42" s="12">
        <v>6</v>
      </c>
      <c r="D42" s="8">
        <v>1.5</v>
      </c>
      <c r="E42" s="12">
        <v>2</v>
      </c>
      <c r="F42" s="8">
        <v>1.02</v>
      </c>
      <c r="G42" s="12">
        <v>4</v>
      </c>
      <c r="H42" s="8">
        <v>2.0099999999999998</v>
      </c>
      <c r="I42" s="12">
        <v>0</v>
      </c>
    </row>
    <row r="43" spans="2:9" ht="15" customHeight="1" x14ac:dyDescent="0.2">
      <c r="B43" t="s">
        <v>115</v>
      </c>
      <c r="C43" s="12">
        <v>5</v>
      </c>
      <c r="D43" s="8">
        <v>1.25</v>
      </c>
      <c r="E43" s="12">
        <v>1</v>
      </c>
      <c r="F43" s="8">
        <v>0.51</v>
      </c>
      <c r="G43" s="12">
        <v>4</v>
      </c>
      <c r="H43" s="8">
        <v>2.0099999999999998</v>
      </c>
      <c r="I43" s="12">
        <v>0</v>
      </c>
    </row>
    <row r="44" spans="2:9" ht="15" customHeight="1" x14ac:dyDescent="0.2">
      <c r="B44" t="s">
        <v>109</v>
      </c>
      <c r="C44" s="12">
        <v>5</v>
      </c>
      <c r="D44" s="8">
        <v>1.25</v>
      </c>
      <c r="E44" s="12">
        <v>0</v>
      </c>
      <c r="F44" s="8">
        <v>0</v>
      </c>
      <c r="G44" s="12">
        <v>5</v>
      </c>
      <c r="H44" s="8">
        <v>2.5099999999999998</v>
      </c>
      <c r="I44" s="12">
        <v>0</v>
      </c>
    </row>
    <row r="45" spans="2:9" ht="15" customHeight="1" x14ac:dyDescent="0.2">
      <c r="B45" t="s">
        <v>95</v>
      </c>
      <c r="C45" s="12">
        <v>5</v>
      </c>
      <c r="D45" s="8">
        <v>1.25</v>
      </c>
      <c r="E45" s="12">
        <v>4</v>
      </c>
      <c r="F45" s="8">
        <v>2.04</v>
      </c>
      <c r="G45" s="12">
        <v>1</v>
      </c>
      <c r="H45" s="8">
        <v>0.5</v>
      </c>
      <c r="I45" s="12">
        <v>0</v>
      </c>
    </row>
    <row r="48" spans="2:9" ht="33" customHeight="1" x14ac:dyDescent="0.2">
      <c r="B48" t="s">
        <v>339</v>
      </c>
      <c r="C48" s="10" t="s">
        <v>76</v>
      </c>
      <c r="D48" s="10" t="s">
        <v>77</v>
      </c>
      <c r="E48" s="10" t="s">
        <v>78</v>
      </c>
      <c r="F48" s="10" t="s">
        <v>79</v>
      </c>
      <c r="G48" s="10" t="s">
        <v>80</v>
      </c>
      <c r="H48" s="10" t="s">
        <v>81</v>
      </c>
      <c r="I48" s="10" t="s">
        <v>82</v>
      </c>
    </row>
    <row r="49" spans="2:9" ht="15" customHeight="1" x14ac:dyDescent="0.2">
      <c r="B49" t="s">
        <v>168</v>
      </c>
      <c r="C49" s="12">
        <v>23</v>
      </c>
      <c r="D49" s="8">
        <v>5.74</v>
      </c>
      <c r="E49" s="12">
        <v>16</v>
      </c>
      <c r="F49" s="8">
        <v>8.16</v>
      </c>
      <c r="G49" s="12">
        <v>7</v>
      </c>
      <c r="H49" s="8">
        <v>3.52</v>
      </c>
      <c r="I49" s="12">
        <v>0</v>
      </c>
    </row>
    <row r="50" spans="2:9" ht="15" customHeight="1" x14ac:dyDescent="0.2">
      <c r="B50" t="s">
        <v>173</v>
      </c>
      <c r="C50" s="12">
        <v>17</v>
      </c>
      <c r="D50" s="8">
        <v>4.24</v>
      </c>
      <c r="E50" s="12">
        <v>17</v>
      </c>
      <c r="F50" s="8">
        <v>8.67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158</v>
      </c>
      <c r="C51" s="12">
        <v>16</v>
      </c>
      <c r="D51" s="8">
        <v>3.99</v>
      </c>
      <c r="E51" s="12">
        <v>0</v>
      </c>
      <c r="F51" s="8">
        <v>0</v>
      </c>
      <c r="G51" s="12">
        <v>16</v>
      </c>
      <c r="H51" s="8">
        <v>8.0399999999999991</v>
      </c>
      <c r="I51" s="12">
        <v>0</v>
      </c>
    </row>
    <row r="52" spans="2:9" ht="15" customHeight="1" x14ac:dyDescent="0.2">
      <c r="B52" t="s">
        <v>170</v>
      </c>
      <c r="C52" s="12">
        <v>16</v>
      </c>
      <c r="D52" s="8">
        <v>3.99</v>
      </c>
      <c r="E52" s="12">
        <v>15</v>
      </c>
      <c r="F52" s="8">
        <v>7.65</v>
      </c>
      <c r="G52" s="12">
        <v>1</v>
      </c>
      <c r="H52" s="8">
        <v>0.5</v>
      </c>
      <c r="I52" s="12">
        <v>0</v>
      </c>
    </row>
    <row r="53" spans="2:9" ht="15" customHeight="1" x14ac:dyDescent="0.2">
      <c r="B53" t="s">
        <v>162</v>
      </c>
      <c r="C53" s="12">
        <v>14</v>
      </c>
      <c r="D53" s="8">
        <v>3.49</v>
      </c>
      <c r="E53" s="12">
        <v>5</v>
      </c>
      <c r="F53" s="8">
        <v>2.5499999999999998</v>
      </c>
      <c r="G53" s="12">
        <v>9</v>
      </c>
      <c r="H53" s="8">
        <v>4.5199999999999996</v>
      </c>
      <c r="I53" s="12">
        <v>0</v>
      </c>
    </row>
    <row r="54" spans="2:9" ht="15" customHeight="1" x14ac:dyDescent="0.2">
      <c r="B54" t="s">
        <v>174</v>
      </c>
      <c r="C54" s="12">
        <v>14</v>
      </c>
      <c r="D54" s="8">
        <v>3.49</v>
      </c>
      <c r="E54" s="12">
        <v>14</v>
      </c>
      <c r="F54" s="8">
        <v>7.14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175</v>
      </c>
      <c r="C55" s="12">
        <v>11</v>
      </c>
      <c r="D55" s="8">
        <v>2.74</v>
      </c>
      <c r="E55" s="12">
        <v>9</v>
      </c>
      <c r="F55" s="8">
        <v>4.59</v>
      </c>
      <c r="G55" s="12">
        <v>1</v>
      </c>
      <c r="H55" s="8">
        <v>0.5</v>
      </c>
      <c r="I55" s="12">
        <v>1</v>
      </c>
    </row>
    <row r="56" spans="2:9" ht="15" customHeight="1" x14ac:dyDescent="0.2">
      <c r="B56" t="s">
        <v>176</v>
      </c>
      <c r="C56" s="12">
        <v>11</v>
      </c>
      <c r="D56" s="8">
        <v>2.74</v>
      </c>
      <c r="E56" s="12">
        <v>11</v>
      </c>
      <c r="F56" s="8">
        <v>5.61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177</v>
      </c>
      <c r="C57" s="12">
        <v>11</v>
      </c>
      <c r="D57" s="8">
        <v>2.74</v>
      </c>
      <c r="E57" s="12">
        <v>6</v>
      </c>
      <c r="F57" s="8">
        <v>3.06</v>
      </c>
      <c r="G57" s="12">
        <v>5</v>
      </c>
      <c r="H57" s="8">
        <v>2.5099999999999998</v>
      </c>
      <c r="I57" s="12">
        <v>0</v>
      </c>
    </row>
    <row r="58" spans="2:9" ht="15" customHeight="1" x14ac:dyDescent="0.2">
      <c r="B58" t="s">
        <v>161</v>
      </c>
      <c r="C58" s="12">
        <v>10</v>
      </c>
      <c r="D58" s="8">
        <v>2.4900000000000002</v>
      </c>
      <c r="E58" s="12">
        <v>4</v>
      </c>
      <c r="F58" s="8">
        <v>2.04</v>
      </c>
      <c r="G58" s="12">
        <v>6</v>
      </c>
      <c r="H58" s="8">
        <v>3.02</v>
      </c>
      <c r="I58" s="12">
        <v>0</v>
      </c>
    </row>
    <row r="59" spans="2:9" ht="15" customHeight="1" x14ac:dyDescent="0.2">
      <c r="B59" t="s">
        <v>186</v>
      </c>
      <c r="C59" s="12">
        <v>9</v>
      </c>
      <c r="D59" s="8">
        <v>2.2400000000000002</v>
      </c>
      <c r="E59" s="12">
        <v>0</v>
      </c>
      <c r="F59" s="8">
        <v>0</v>
      </c>
      <c r="G59" s="12">
        <v>8</v>
      </c>
      <c r="H59" s="8">
        <v>4.0199999999999996</v>
      </c>
      <c r="I59" s="12">
        <v>0</v>
      </c>
    </row>
    <row r="60" spans="2:9" ht="15" customHeight="1" x14ac:dyDescent="0.2">
      <c r="B60" t="s">
        <v>160</v>
      </c>
      <c r="C60" s="12">
        <v>8</v>
      </c>
      <c r="D60" s="8">
        <v>2</v>
      </c>
      <c r="E60" s="12">
        <v>7</v>
      </c>
      <c r="F60" s="8">
        <v>3.57</v>
      </c>
      <c r="G60" s="12">
        <v>1</v>
      </c>
      <c r="H60" s="8">
        <v>0.5</v>
      </c>
      <c r="I60" s="12">
        <v>0</v>
      </c>
    </row>
    <row r="61" spans="2:9" ht="15" customHeight="1" x14ac:dyDescent="0.2">
      <c r="B61" t="s">
        <v>169</v>
      </c>
      <c r="C61" s="12">
        <v>8</v>
      </c>
      <c r="D61" s="8">
        <v>2</v>
      </c>
      <c r="E61" s="12">
        <v>2</v>
      </c>
      <c r="F61" s="8">
        <v>1.02</v>
      </c>
      <c r="G61" s="12">
        <v>6</v>
      </c>
      <c r="H61" s="8">
        <v>3.02</v>
      </c>
      <c r="I61" s="12">
        <v>0</v>
      </c>
    </row>
    <row r="62" spans="2:9" ht="15" customHeight="1" x14ac:dyDescent="0.2">
      <c r="B62" t="s">
        <v>190</v>
      </c>
      <c r="C62" s="12">
        <v>6</v>
      </c>
      <c r="D62" s="8">
        <v>1.5</v>
      </c>
      <c r="E62" s="12">
        <v>0</v>
      </c>
      <c r="F62" s="8">
        <v>0</v>
      </c>
      <c r="G62" s="12">
        <v>6</v>
      </c>
      <c r="H62" s="8">
        <v>3.02</v>
      </c>
      <c r="I62" s="12">
        <v>0</v>
      </c>
    </row>
    <row r="63" spans="2:9" ht="15" customHeight="1" x14ac:dyDescent="0.2">
      <c r="B63" t="s">
        <v>197</v>
      </c>
      <c r="C63" s="12">
        <v>6</v>
      </c>
      <c r="D63" s="8">
        <v>1.5</v>
      </c>
      <c r="E63" s="12">
        <v>0</v>
      </c>
      <c r="F63" s="8">
        <v>0</v>
      </c>
      <c r="G63" s="12">
        <v>4</v>
      </c>
      <c r="H63" s="8">
        <v>2.0099999999999998</v>
      </c>
      <c r="I63" s="12">
        <v>0</v>
      </c>
    </row>
    <row r="64" spans="2:9" ht="15" customHeight="1" x14ac:dyDescent="0.2">
      <c r="B64" t="s">
        <v>159</v>
      </c>
      <c r="C64" s="12">
        <v>5</v>
      </c>
      <c r="D64" s="8">
        <v>1.25</v>
      </c>
      <c r="E64" s="12">
        <v>3</v>
      </c>
      <c r="F64" s="8">
        <v>1.53</v>
      </c>
      <c r="G64" s="12">
        <v>2</v>
      </c>
      <c r="H64" s="8">
        <v>1.01</v>
      </c>
      <c r="I64" s="12">
        <v>0</v>
      </c>
    </row>
    <row r="65" spans="2:9" ht="15" customHeight="1" x14ac:dyDescent="0.2">
      <c r="B65" t="s">
        <v>196</v>
      </c>
      <c r="C65" s="12">
        <v>5</v>
      </c>
      <c r="D65" s="8">
        <v>1.25</v>
      </c>
      <c r="E65" s="12">
        <v>0</v>
      </c>
      <c r="F65" s="8">
        <v>0</v>
      </c>
      <c r="G65" s="12">
        <v>5</v>
      </c>
      <c r="H65" s="8">
        <v>2.5099999999999998</v>
      </c>
      <c r="I65" s="12">
        <v>0</v>
      </c>
    </row>
    <row r="66" spans="2:9" ht="15" customHeight="1" x14ac:dyDescent="0.2">
      <c r="B66" t="s">
        <v>195</v>
      </c>
      <c r="C66" s="12">
        <v>5</v>
      </c>
      <c r="D66" s="8">
        <v>1.25</v>
      </c>
      <c r="E66" s="12">
        <v>4</v>
      </c>
      <c r="F66" s="8">
        <v>2.04</v>
      </c>
      <c r="G66" s="12">
        <v>1</v>
      </c>
      <c r="H66" s="8">
        <v>0.5</v>
      </c>
      <c r="I66" s="12">
        <v>0</v>
      </c>
    </row>
    <row r="67" spans="2:9" ht="15" customHeight="1" x14ac:dyDescent="0.2">
      <c r="B67" t="s">
        <v>187</v>
      </c>
      <c r="C67" s="12">
        <v>5</v>
      </c>
      <c r="D67" s="8">
        <v>1.25</v>
      </c>
      <c r="E67" s="12">
        <v>0</v>
      </c>
      <c r="F67" s="8">
        <v>0</v>
      </c>
      <c r="G67" s="12">
        <v>5</v>
      </c>
      <c r="H67" s="8">
        <v>2.5099999999999998</v>
      </c>
      <c r="I67" s="12">
        <v>0</v>
      </c>
    </row>
    <row r="68" spans="2:9" ht="15" customHeight="1" x14ac:dyDescent="0.2">
      <c r="B68" t="s">
        <v>163</v>
      </c>
      <c r="C68" s="12">
        <v>5</v>
      </c>
      <c r="D68" s="8">
        <v>1.25</v>
      </c>
      <c r="E68" s="12">
        <v>4</v>
      </c>
      <c r="F68" s="8">
        <v>2.04</v>
      </c>
      <c r="G68" s="12">
        <v>1</v>
      </c>
      <c r="H68" s="8">
        <v>0.5</v>
      </c>
      <c r="I68" s="12">
        <v>0</v>
      </c>
    </row>
    <row r="69" spans="2:9" ht="15" customHeight="1" x14ac:dyDescent="0.2">
      <c r="B69" t="s">
        <v>164</v>
      </c>
      <c r="C69" s="12">
        <v>5</v>
      </c>
      <c r="D69" s="8">
        <v>1.25</v>
      </c>
      <c r="E69" s="12">
        <v>2</v>
      </c>
      <c r="F69" s="8">
        <v>1.02</v>
      </c>
      <c r="G69" s="12">
        <v>3</v>
      </c>
      <c r="H69" s="8">
        <v>1.51</v>
      </c>
      <c r="I69" s="12">
        <v>0</v>
      </c>
    </row>
    <row r="70" spans="2:9" ht="15" customHeight="1" x14ac:dyDescent="0.2">
      <c r="B70" t="s">
        <v>189</v>
      </c>
      <c r="C70" s="12">
        <v>5</v>
      </c>
      <c r="D70" s="8">
        <v>1.25</v>
      </c>
      <c r="E70" s="12">
        <v>0</v>
      </c>
      <c r="F70" s="8">
        <v>0</v>
      </c>
      <c r="G70" s="12">
        <v>5</v>
      </c>
      <c r="H70" s="8">
        <v>2.5099999999999998</v>
      </c>
      <c r="I70" s="12">
        <v>0</v>
      </c>
    </row>
    <row r="71" spans="2:9" ht="15" customHeight="1" x14ac:dyDescent="0.2">
      <c r="B71" t="s">
        <v>171</v>
      </c>
      <c r="C71" s="12">
        <v>5</v>
      </c>
      <c r="D71" s="8">
        <v>1.25</v>
      </c>
      <c r="E71" s="12">
        <v>4</v>
      </c>
      <c r="F71" s="8">
        <v>2.04</v>
      </c>
      <c r="G71" s="12">
        <v>1</v>
      </c>
      <c r="H71" s="8">
        <v>0.5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09C5-7ADE-44BB-8F29-D19F7C5F3EED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21</v>
      </c>
      <c r="D6" s="8">
        <v>17.5</v>
      </c>
      <c r="E6" s="12">
        <v>8</v>
      </c>
      <c r="F6" s="8">
        <v>14.04</v>
      </c>
      <c r="G6" s="12">
        <v>13</v>
      </c>
      <c r="H6" s="8">
        <v>22.03</v>
      </c>
      <c r="I6" s="12">
        <v>0</v>
      </c>
    </row>
    <row r="7" spans="2:9" ht="15" customHeight="1" x14ac:dyDescent="0.2">
      <c r="B7" t="s">
        <v>62</v>
      </c>
      <c r="C7" s="12">
        <v>17</v>
      </c>
      <c r="D7" s="8">
        <v>14.17</v>
      </c>
      <c r="E7" s="12">
        <v>2</v>
      </c>
      <c r="F7" s="8">
        <v>3.51</v>
      </c>
      <c r="G7" s="12">
        <v>14</v>
      </c>
      <c r="H7" s="8">
        <v>23.73</v>
      </c>
      <c r="I7" s="12">
        <v>1</v>
      </c>
    </row>
    <row r="8" spans="2:9" ht="15" customHeight="1" x14ac:dyDescent="0.2">
      <c r="B8" t="s">
        <v>63</v>
      </c>
      <c r="C8" s="12">
        <v>1</v>
      </c>
      <c r="D8" s="8">
        <v>0.83</v>
      </c>
      <c r="E8" s="12">
        <v>0</v>
      </c>
      <c r="F8" s="8">
        <v>0</v>
      </c>
      <c r="G8" s="12">
        <v>1</v>
      </c>
      <c r="H8" s="8">
        <v>1.69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0.83</v>
      </c>
      <c r="E9" s="12">
        <v>1</v>
      </c>
      <c r="F9" s="8">
        <v>1.75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5</v>
      </c>
      <c r="D10" s="8">
        <v>4.17</v>
      </c>
      <c r="E10" s="12">
        <v>0</v>
      </c>
      <c r="F10" s="8">
        <v>0</v>
      </c>
      <c r="G10" s="12">
        <v>5</v>
      </c>
      <c r="H10" s="8">
        <v>8.4700000000000006</v>
      </c>
      <c r="I10" s="12">
        <v>0</v>
      </c>
    </row>
    <row r="11" spans="2:9" ht="15" customHeight="1" x14ac:dyDescent="0.2">
      <c r="B11" t="s">
        <v>66</v>
      </c>
      <c r="C11" s="12">
        <v>21</v>
      </c>
      <c r="D11" s="8">
        <v>17.5</v>
      </c>
      <c r="E11" s="12">
        <v>12</v>
      </c>
      <c r="F11" s="8">
        <v>21.05</v>
      </c>
      <c r="G11" s="12">
        <v>9</v>
      </c>
      <c r="H11" s="8">
        <v>15.25</v>
      </c>
      <c r="I11" s="12">
        <v>0</v>
      </c>
    </row>
    <row r="12" spans="2:9" ht="15" customHeight="1" x14ac:dyDescent="0.2">
      <c r="B12" t="s">
        <v>67</v>
      </c>
      <c r="C12" s="12">
        <v>2</v>
      </c>
      <c r="D12" s="8">
        <v>1.67</v>
      </c>
      <c r="E12" s="12">
        <v>0</v>
      </c>
      <c r="F12" s="8">
        <v>0</v>
      </c>
      <c r="G12" s="12">
        <v>2</v>
      </c>
      <c r="H12" s="8">
        <v>3.39</v>
      </c>
      <c r="I12" s="12">
        <v>0</v>
      </c>
    </row>
    <row r="13" spans="2:9" ht="15" customHeight="1" x14ac:dyDescent="0.2">
      <c r="B13" t="s">
        <v>68</v>
      </c>
      <c r="C13" s="12">
        <v>1</v>
      </c>
      <c r="D13" s="8">
        <v>0.83</v>
      </c>
      <c r="E13" s="12">
        <v>0</v>
      </c>
      <c r="F13" s="8">
        <v>0</v>
      </c>
      <c r="G13" s="12">
        <v>1</v>
      </c>
      <c r="H13" s="8">
        <v>1.69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0.83</v>
      </c>
      <c r="E14" s="12">
        <v>1</v>
      </c>
      <c r="F14" s="8">
        <v>1.75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13</v>
      </c>
      <c r="D15" s="8">
        <v>10.83</v>
      </c>
      <c r="E15" s="12">
        <v>9</v>
      </c>
      <c r="F15" s="8">
        <v>15.79</v>
      </c>
      <c r="G15" s="12">
        <v>3</v>
      </c>
      <c r="H15" s="8">
        <v>5.08</v>
      </c>
      <c r="I15" s="12">
        <v>0</v>
      </c>
    </row>
    <row r="16" spans="2:9" ht="15" customHeight="1" x14ac:dyDescent="0.2">
      <c r="B16" t="s">
        <v>71</v>
      </c>
      <c r="C16" s="12">
        <v>14</v>
      </c>
      <c r="D16" s="8">
        <v>11.67</v>
      </c>
      <c r="E16" s="12">
        <v>13</v>
      </c>
      <c r="F16" s="8">
        <v>22.81</v>
      </c>
      <c r="G16" s="12">
        <v>1</v>
      </c>
      <c r="H16" s="8">
        <v>1.69</v>
      </c>
      <c r="I16" s="12">
        <v>0</v>
      </c>
    </row>
    <row r="17" spans="2:9" ht="15" customHeight="1" x14ac:dyDescent="0.2">
      <c r="B17" t="s">
        <v>72</v>
      </c>
      <c r="C17" s="12">
        <v>4</v>
      </c>
      <c r="D17" s="8">
        <v>3.33</v>
      </c>
      <c r="E17" s="12">
        <v>2</v>
      </c>
      <c r="F17" s="8">
        <v>3.51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8</v>
      </c>
      <c r="D18" s="8">
        <v>6.67</v>
      </c>
      <c r="E18" s="12">
        <v>4</v>
      </c>
      <c r="F18" s="8">
        <v>7.02</v>
      </c>
      <c r="G18" s="12">
        <v>4</v>
      </c>
      <c r="H18" s="8">
        <v>6.78</v>
      </c>
      <c r="I18" s="12">
        <v>0</v>
      </c>
    </row>
    <row r="19" spans="2:9" ht="15" customHeight="1" x14ac:dyDescent="0.2">
      <c r="B19" t="s">
        <v>74</v>
      </c>
      <c r="C19" s="12">
        <v>11</v>
      </c>
      <c r="D19" s="8">
        <v>9.17</v>
      </c>
      <c r="E19" s="12">
        <v>5</v>
      </c>
      <c r="F19" s="8">
        <v>8.77</v>
      </c>
      <c r="G19" s="12">
        <v>6</v>
      </c>
      <c r="H19" s="8">
        <v>10.17</v>
      </c>
      <c r="I19" s="12">
        <v>0</v>
      </c>
    </row>
    <row r="20" spans="2:9" ht="15" customHeight="1" x14ac:dyDescent="0.2">
      <c r="B20" s="9" t="s">
        <v>337</v>
      </c>
      <c r="C20" s="12">
        <f>SUM(LTBL_07464[総数／事業所数])</f>
        <v>120</v>
      </c>
      <c r="E20" s="12">
        <f>SUBTOTAL(109,LTBL_07464[個人／事業所数])</f>
        <v>57</v>
      </c>
      <c r="G20" s="12">
        <f>SUBTOTAL(109,LTBL_07464[法人／事業所数])</f>
        <v>59</v>
      </c>
      <c r="I20" s="12">
        <f>SUBTOTAL(109,LTBL_07464[法人以外の団体／事業所数])</f>
        <v>1</v>
      </c>
    </row>
    <row r="21" spans="2:9" ht="15" customHeight="1" x14ac:dyDescent="0.2">
      <c r="E21" s="11">
        <f>LTBL_07464[[#Totals],[個人／事業所数]]/LTBL_07464[[#Totals],[総数／事業所数]]</f>
        <v>0.47499999999999998</v>
      </c>
      <c r="G21" s="11">
        <f>LTBL_07464[[#Totals],[法人／事業所数]]/LTBL_07464[[#Totals],[総数／事業所数]]</f>
        <v>0.49166666666666664</v>
      </c>
      <c r="I21" s="11">
        <f>LTBL_07464[[#Totals],[法人以外の団体／事業所数]]/LTBL_07464[[#Totals],[総数／事業所数]]</f>
        <v>8.3333333333333332E-3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13</v>
      </c>
      <c r="D24" s="8">
        <v>10.83</v>
      </c>
      <c r="E24" s="12">
        <v>13</v>
      </c>
      <c r="F24" s="8">
        <v>22.81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83</v>
      </c>
      <c r="C25" s="12">
        <v>11</v>
      </c>
      <c r="D25" s="8">
        <v>9.17</v>
      </c>
      <c r="E25" s="12">
        <v>4</v>
      </c>
      <c r="F25" s="8">
        <v>7.02</v>
      </c>
      <c r="G25" s="12">
        <v>7</v>
      </c>
      <c r="H25" s="8">
        <v>11.86</v>
      </c>
      <c r="I25" s="12">
        <v>0</v>
      </c>
    </row>
    <row r="26" spans="2:9" ht="15" customHeight="1" x14ac:dyDescent="0.2">
      <c r="B26" t="s">
        <v>96</v>
      </c>
      <c r="C26" s="12">
        <v>10</v>
      </c>
      <c r="D26" s="8">
        <v>8.33</v>
      </c>
      <c r="E26" s="12">
        <v>9</v>
      </c>
      <c r="F26" s="8">
        <v>15.79</v>
      </c>
      <c r="G26" s="12">
        <v>1</v>
      </c>
      <c r="H26" s="8">
        <v>1.69</v>
      </c>
      <c r="I26" s="12">
        <v>0</v>
      </c>
    </row>
    <row r="27" spans="2:9" ht="15" customHeight="1" x14ac:dyDescent="0.2">
      <c r="B27" t="s">
        <v>102</v>
      </c>
      <c r="C27" s="12">
        <v>8</v>
      </c>
      <c r="D27" s="8">
        <v>6.67</v>
      </c>
      <c r="E27" s="12">
        <v>5</v>
      </c>
      <c r="F27" s="8">
        <v>8.77</v>
      </c>
      <c r="G27" s="12">
        <v>3</v>
      </c>
      <c r="H27" s="8">
        <v>5.08</v>
      </c>
      <c r="I27" s="12">
        <v>0</v>
      </c>
    </row>
    <row r="28" spans="2:9" ht="15" customHeight="1" x14ac:dyDescent="0.2">
      <c r="B28" t="s">
        <v>85</v>
      </c>
      <c r="C28" s="12">
        <v>6</v>
      </c>
      <c r="D28" s="8">
        <v>5</v>
      </c>
      <c r="E28" s="12">
        <v>3</v>
      </c>
      <c r="F28" s="8">
        <v>5.26</v>
      </c>
      <c r="G28" s="12">
        <v>3</v>
      </c>
      <c r="H28" s="8">
        <v>5.08</v>
      </c>
      <c r="I28" s="12">
        <v>0</v>
      </c>
    </row>
    <row r="29" spans="2:9" ht="15" customHeight="1" x14ac:dyDescent="0.2">
      <c r="B29" t="s">
        <v>91</v>
      </c>
      <c r="C29" s="12">
        <v>6</v>
      </c>
      <c r="D29" s="8">
        <v>5</v>
      </c>
      <c r="E29" s="12">
        <v>5</v>
      </c>
      <c r="F29" s="8">
        <v>8.77</v>
      </c>
      <c r="G29" s="12">
        <v>1</v>
      </c>
      <c r="H29" s="8">
        <v>1.69</v>
      </c>
      <c r="I29" s="12">
        <v>0</v>
      </c>
    </row>
    <row r="30" spans="2:9" ht="15" customHeight="1" x14ac:dyDescent="0.2">
      <c r="B30" t="s">
        <v>90</v>
      </c>
      <c r="C30" s="12">
        <v>5</v>
      </c>
      <c r="D30" s="8">
        <v>4.17</v>
      </c>
      <c r="E30" s="12">
        <v>2</v>
      </c>
      <c r="F30" s="8">
        <v>3.51</v>
      </c>
      <c r="G30" s="12">
        <v>3</v>
      </c>
      <c r="H30" s="8">
        <v>5.08</v>
      </c>
      <c r="I30" s="12">
        <v>0</v>
      </c>
    </row>
    <row r="31" spans="2:9" ht="15" customHeight="1" x14ac:dyDescent="0.2">
      <c r="B31" t="s">
        <v>100</v>
      </c>
      <c r="C31" s="12">
        <v>5</v>
      </c>
      <c r="D31" s="8">
        <v>4.17</v>
      </c>
      <c r="E31" s="12">
        <v>4</v>
      </c>
      <c r="F31" s="8">
        <v>7.02</v>
      </c>
      <c r="G31" s="12">
        <v>1</v>
      </c>
      <c r="H31" s="8">
        <v>1.69</v>
      </c>
      <c r="I31" s="12">
        <v>0</v>
      </c>
    </row>
    <row r="32" spans="2:9" ht="15" customHeight="1" x14ac:dyDescent="0.2">
      <c r="B32" t="s">
        <v>84</v>
      </c>
      <c r="C32" s="12">
        <v>4</v>
      </c>
      <c r="D32" s="8">
        <v>3.33</v>
      </c>
      <c r="E32" s="12">
        <v>1</v>
      </c>
      <c r="F32" s="8">
        <v>1.75</v>
      </c>
      <c r="G32" s="12">
        <v>3</v>
      </c>
      <c r="H32" s="8">
        <v>5.08</v>
      </c>
      <c r="I32" s="12">
        <v>0</v>
      </c>
    </row>
    <row r="33" spans="2:9" ht="15" customHeight="1" x14ac:dyDescent="0.2">
      <c r="B33" t="s">
        <v>89</v>
      </c>
      <c r="C33" s="12">
        <v>4</v>
      </c>
      <c r="D33" s="8">
        <v>3.33</v>
      </c>
      <c r="E33" s="12">
        <v>3</v>
      </c>
      <c r="F33" s="8">
        <v>5.26</v>
      </c>
      <c r="G33" s="12">
        <v>1</v>
      </c>
      <c r="H33" s="8">
        <v>1.69</v>
      </c>
      <c r="I33" s="12">
        <v>0</v>
      </c>
    </row>
    <row r="34" spans="2:9" ht="15" customHeight="1" x14ac:dyDescent="0.2">
      <c r="B34" t="s">
        <v>99</v>
      </c>
      <c r="C34" s="12">
        <v>4</v>
      </c>
      <c r="D34" s="8">
        <v>3.33</v>
      </c>
      <c r="E34" s="12">
        <v>2</v>
      </c>
      <c r="F34" s="8">
        <v>3.51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115</v>
      </c>
      <c r="C35" s="12">
        <v>3</v>
      </c>
      <c r="D35" s="8">
        <v>2.5</v>
      </c>
      <c r="E35" s="12">
        <v>1</v>
      </c>
      <c r="F35" s="8">
        <v>1.75</v>
      </c>
      <c r="G35" s="12">
        <v>2</v>
      </c>
      <c r="H35" s="8">
        <v>3.39</v>
      </c>
      <c r="I35" s="12">
        <v>0</v>
      </c>
    </row>
    <row r="36" spans="2:9" ht="15" customHeight="1" x14ac:dyDescent="0.2">
      <c r="B36" t="s">
        <v>117</v>
      </c>
      <c r="C36" s="12">
        <v>3</v>
      </c>
      <c r="D36" s="8">
        <v>2.5</v>
      </c>
      <c r="E36" s="12">
        <v>0</v>
      </c>
      <c r="F36" s="8">
        <v>0</v>
      </c>
      <c r="G36" s="12">
        <v>3</v>
      </c>
      <c r="H36" s="8">
        <v>5.08</v>
      </c>
      <c r="I36" s="12">
        <v>0</v>
      </c>
    </row>
    <row r="37" spans="2:9" ht="15" customHeight="1" x14ac:dyDescent="0.2">
      <c r="B37" t="s">
        <v>106</v>
      </c>
      <c r="C37" s="12">
        <v>3</v>
      </c>
      <c r="D37" s="8">
        <v>2.5</v>
      </c>
      <c r="E37" s="12">
        <v>1</v>
      </c>
      <c r="F37" s="8">
        <v>1.75</v>
      </c>
      <c r="G37" s="12">
        <v>2</v>
      </c>
      <c r="H37" s="8">
        <v>3.39</v>
      </c>
      <c r="I37" s="12">
        <v>0</v>
      </c>
    </row>
    <row r="38" spans="2:9" ht="15" customHeight="1" x14ac:dyDescent="0.2">
      <c r="B38" t="s">
        <v>101</v>
      </c>
      <c r="C38" s="12">
        <v>3</v>
      </c>
      <c r="D38" s="8">
        <v>2.5</v>
      </c>
      <c r="E38" s="12">
        <v>0</v>
      </c>
      <c r="F38" s="8">
        <v>0</v>
      </c>
      <c r="G38" s="12">
        <v>3</v>
      </c>
      <c r="H38" s="8">
        <v>5.08</v>
      </c>
      <c r="I38" s="12">
        <v>0</v>
      </c>
    </row>
    <row r="39" spans="2:9" ht="15" customHeight="1" x14ac:dyDescent="0.2">
      <c r="B39" t="s">
        <v>118</v>
      </c>
      <c r="C39" s="12">
        <v>2</v>
      </c>
      <c r="D39" s="8">
        <v>1.67</v>
      </c>
      <c r="E39" s="12">
        <v>0</v>
      </c>
      <c r="F39" s="8">
        <v>0</v>
      </c>
      <c r="G39" s="12">
        <v>1</v>
      </c>
      <c r="H39" s="8">
        <v>1.69</v>
      </c>
      <c r="I39" s="12">
        <v>1</v>
      </c>
    </row>
    <row r="40" spans="2:9" ht="15" customHeight="1" x14ac:dyDescent="0.2">
      <c r="B40" t="s">
        <v>121</v>
      </c>
      <c r="C40" s="12">
        <v>2</v>
      </c>
      <c r="D40" s="8">
        <v>1.67</v>
      </c>
      <c r="E40" s="12">
        <v>0</v>
      </c>
      <c r="F40" s="8">
        <v>0</v>
      </c>
      <c r="G40" s="12">
        <v>2</v>
      </c>
      <c r="H40" s="8">
        <v>3.39</v>
      </c>
      <c r="I40" s="12">
        <v>0</v>
      </c>
    </row>
    <row r="41" spans="2:9" ht="15" customHeight="1" x14ac:dyDescent="0.2">
      <c r="B41" t="s">
        <v>114</v>
      </c>
      <c r="C41" s="12">
        <v>2</v>
      </c>
      <c r="D41" s="8">
        <v>1.67</v>
      </c>
      <c r="E41" s="12">
        <v>0</v>
      </c>
      <c r="F41" s="8">
        <v>0</v>
      </c>
      <c r="G41" s="12">
        <v>2</v>
      </c>
      <c r="H41" s="8">
        <v>3.39</v>
      </c>
      <c r="I41" s="12">
        <v>0</v>
      </c>
    </row>
    <row r="42" spans="2:9" ht="15" customHeight="1" x14ac:dyDescent="0.2">
      <c r="B42" t="s">
        <v>105</v>
      </c>
      <c r="C42" s="12">
        <v>2</v>
      </c>
      <c r="D42" s="8">
        <v>1.67</v>
      </c>
      <c r="E42" s="12">
        <v>1</v>
      </c>
      <c r="F42" s="8">
        <v>1.75</v>
      </c>
      <c r="G42" s="12">
        <v>1</v>
      </c>
      <c r="H42" s="8">
        <v>1.69</v>
      </c>
      <c r="I42" s="12">
        <v>0</v>
      </c>
    </row>
    <row r="43" spans="2:9" ht="15" customHeight="1" x14ac:dyDescent="0.2">
      <c r="B43" t="s">
        <v>137</v>
      </c>
      <c r="C43" s="12">
        <v>2</v>
      </c>
      <c r="D43" s="8">
        <v>1.67</v>
      </c>
      <c r="E43" s="12">
        <v>0</v>
      </c>
      <c r="F43" s="8">
        <v>0</v>
      </c>
      <c r="G43" s="12">
        <v>2</v>
      </c>
      <c r="H43" s="8">
        <v>3.39</v>
      </c>
      <c r="I43" s="12">
        <v>0</v>
      </c>
    </row>
    <row r="44" spans="2:9" ht="15" customHeight="1" x14ac:dyDescent="0.2">
      <c r="B44" t="s">
        <v>109</v>
      </c>
      <c r="C44" s="12">
        <v>2</v>
      </c>
      <c r="D44" s="8">
        <v>1.67</v>
      </c>
      <c r="E44" s="12">
        <v>0</v>
      </c>
      <c r="F44" s="8">
        <v>0</v>
      </c>
      <c r="G44" s="12">
        <v>2</v>
      </c>
      <c r="H44" s="8">
        <v>3.39</v>
      </c>
      <c r="I44" s="12">
        <v>0</v>
      </c>
    </row>
    <row r="45" spans="2:9" ht="15" customHeight="1" x14ac:dyDescent="0.2">
      <c r="B45" t="s">
        <v>113</v>
      </c>
      <c r="C45" s="12">
        <v>2</v>
      </c>
      <c r="D45" s="8">
        <v>1.67</v>
      </c>
      <c r="E45" s="12">
        <v>0</v>
      </c>
      <c r="F45" s="8">
        <v>0</v>
      </c>
      <c r="G45" s="12">
        <v>1</v>
      </c>
      <c r="H45" s="8">
        <v>1.69</v>
      </c>
      <c r="I45" s="12">
        <v>0</v>
      </c>
    </row>
    <row r="48" spans="2:9" ht="33" customHeight="1" x14ac:dyDescent="0.2">
      <c r="B48" t="s">
        <v>339</v>
      </c>
      <c r="C48" s="10" t="s">
        <v>76</v>
      </c>
      <c r="D48" s="10" t="s">
        <v>77</v>
      </c>
      <c r="E48" s="10" t="s">
        <v>78</v>
      </c>
      <c r="F48" s="10" t="s">
        <v>79</v>
      </c>
      <c r="G48" s="10" t="s">
        <v>80</v>
      </c>
      <c r="H48" s="10" t="s">
        <v>81</v>
      </c>
      <c r="I48" s="10" t="s">
        <v>82</v>
      </c>
    </row>
    <row r="49" spans="2:9" ht="15" customHeight="1" x14ac:dyDescent="0.2">
      <c r="B49" t="s">
        <v>177</v>
      </c>
      <c r="C49" s="12">
        <v>8</v>
      </c>
      <c r="D49" s="8">
        <v>6.67</v>
      </c>
      <c r="E49" s="12">
        <v>5</v>
      </c>
      <c r="F49" s="8">
        <v>8.77</v>
      </c>
      <c r="G49" s="12">
        <v>3</v>
      </c>
      <c r="H49" s="8">
        <v>5.08</v>
      </c>
      <c r="I49" s="12">
        <v>0</v>
      </c>
    </row>
    <row r="50" spans="2:9" ht="15" customHeight="1" x14ac:dyDescent="0.2">
      <c r="B50" t="s">
        <v>174</v>
      </c>
      <c r="C50" s="12">
        <v>7</v>
      </c>
      <c r="D50" s="8">
        <v>5.83</v>
      </c>
      <c r="E50" s="12">
        <v>7</v>
      </c>
      <c r="F50" s="8">
        <v>12.28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160</v>
      </c>
      <c r="C51" s="12">
        <v>6</v>
      </c>
      <c r="D51" s="8">
        <v>5</v>
      </c>
      <c r="E51" s="12">
        <v>3</v>
      </c>
      <c r="F51" s="8">
        <v>5.26</v>
      </c>
      <c r="G51" s="12">
        <v>3</v>
      </c>
      <c r="H51" s="8">
        <v>5.08</v>
      </c>
      <c r="I51" s="12">
        <v>0</v>
      </c>
    </row>
    <row r="52" spans="2:9" ht="15" customHeight="1" x14ac:dyDescent="0.2">
      <c r="B52" t="s">
        <v>173</v>
      </c>
      <c r="C52" s="12">
        <v>6</v>
      </c>
      <c r="D52" s="8">
        <v>5</v>
      </c>
      <c r="E52" s="12">
        <v>6</v>
      </c>
      <c r="F52" s="8">
        <v>10.53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158</v>
      </c>
      <c r="C53" s="12">
        <v>4</v>
      </c>
      <c r="D53" s="8">
        <v>3.33</v>
      </c>
      <c r="E53" s="12">
        <v>1</v>
      </c>
      <c r="F53" s="8">
        <v>1.75</v>
      </c>
      <c r="G53" s="12">
        <v>3</v>
      </c>
      <c r="H53" s="8">
        <v>5.08</v>
      </c>
      <c r="I53" s="12">
        <v>0</v>
      </c>
    </row>
    <row r="54" spans="2:9" ht="15" customHeight="1" x14ac:dyDescent="0.2">
      <c r="B54" t="s">
        <v>162</v>
      </c>
      <c r="C54" s="12">
        <v>4</v>
      </c>
      <c r="D54" s="8">
        <v>3.33</v>
      </c>
      <c r="E54" s="12">
        <v>2</v>
      </c>
      <c r="F54" s="8">
        <v>3.51</v>
      </c>
      <c r="G54" s="12">
        <v>2</v>
      </c>
      <c r="H54" s="8">
        <v>3.39</v>
      </c>
      <c r="I54" s="12">
        <v>0</v>
      </c>
    </row>
    <row r="55" spans="2:9" ht="15" customHeight="1" x14ac:dyDescent="0.2">
      <c r="B55" t="s">
        <v>164</v>
      </c>
      <c r="C55" s="12">
        <v>4</v>
      </c>
      <c r="D55" s="8">
        <v>3.33</v>
      </c>
      <c r="E55" s="12">
        <v>1</v>
      </c>
      <c r="F55" s="8">
        <v>1.75</v>
      </c>
      <c r="G55" s="12">
        <v>3</v>
      </c>
      <c r="H55" s="8">
        <v>5.08</v>
      </c>
      <c r="I55" s="12">
        <v>0</v>
      </c>
    </row>
    <row r="56" spans="2:9" ht="15" customHeight="1" x14ac:dyDescent="0.2">
      <c r="B56" t="s">
        <v>284</v>
      </c>
      <c r="C56" s="12">
        <v>3</v>
      </c>
      <c r="D56" s="8">
        <v>2.5</v>
      </c>
      <c r="E56" s="12">
        <v>0</v>
      </c>
      <c r="F56" s="8">
        <v>0</v>
      </c>
      <c r="G56" s="12">
        <v>3</v>
      </c>
      <c r="H56" s="8">
        <v>5.08</v>
      </c>
      <c r="I56" s="12">
        <v>0</v>
      </c>
    </row>
    <row r="57" spans="2:9" ht="15" customHeight="1" x14ac:dyDescent="0.2">
      <c r="B57" t="s">
        <v>225</v>
      </c>
      <c r="C57" s="12">
        <v>3</v>
      </c>
      <c r="D57" s="8">
        <v>2.5</v>
      </c>
      <c r="E57" s="12">
        <v>1</v>
      </c>
      <c r="F57" s="8">
        <v>1.75</v>
      </c>
      <c r="G57" s="12">
        <v>2</v>
      </c>
      <c r="H57" s="8">
        <v>3.39</v>
      </c>
      <c r="I57" s="12">
        <v>0</v>
      </c>
    </row>
    <row r="58" spans="2:9" ht="15" customHeight="1" x14ac:dyDescent="0.2">
      <c r="B58" t="s">
        <v>181</v>
      </c>
      <c r="C58" s="12">
        <v>3</v>
      </c>
      <c r="D58" s="8">
        <v>2.5</v>
      </c>
      <c r="E58" s="12">
        <v>3</v>
      </c>
      <c r="F58" s="8">
        <v>5.26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176</v>
      </c>
      <c r="C59" s="12">
        <v>3</v>
      </c>
      <c r="D59" s="8">
        <v>2.5</v>
      </c>
      <c r="E59" s="12">
        <v>2</v>
      </c>
      <c r="F59" s="8">
        <v>3.51</v>
      </c>
      <c r="G59" s="12">
        <v>1</v>
      </c>
      <c r="H59" s="8">
        <v>1.69</v>
      </c>
      <c r="I59" s="12">
        <v>0</v>
      </c>
    </row>
    <row r="60" spans="2:9" ht="15" customHeight="1" x14ac:dyDescent="0.2">
      <c r="B60" t="s">
        <v>199</v>
      </c>
      <c r="C60" s="12">
        <v>2</v>
      </c>
      <c r="D60" s="8">
        <v>1.67</v>
      </c>
      <c r="E60" s="12">
        <v>0</v>
      </c>
      <c r="F60" s="8">
        <v>0</v>
      </c>
      <c r="G60" s="12">
        <v>2</v>
      </c>
      <c r="H60" s="8">
        <v>3.39</v>
      </c>
      <c r="I60" s="12">
        <v>0</v>
      </c>
    </row>
    <row r="61" spans="2:9" ht="15" customHeight="1" x14ac:dyDescent="0.2">
      <c r="B61" t="s">
        <v>161</v>
      </c>
      <c r="C61" s="12">
        <v>2</v>
      </c>
      <c r="D61" s="8">
        <v>1.67</v>
      </c>
      <c r="E61" s="12">
        <v>1</v>
      </c>
      <c r="F61" s="8">
        <v>1.75</v>
      </c>
      <c r="G61" s="12">
        <v>1</v>
      </c>
      <c r="H61" s="8">
        <v>1.69</v>
      </c>
      <c r="I61" s="12">
        <v>0</v>
      </c>
    </row>
    <row r="62" spans="2:9" ht="15" customHeight="1" x14ac:dyDescent="0.2">
      <c r="B62" t="s">
        <v>203</v>
      </c>
      <c r="C62" s="12">
        <v>2</v>
      </c>
      <c r="D62" s="8">
        <v>1.67</v>
      </c>
      <c r="E62" s="12">
        <v>0</v>
      </c>
      <c r="F62" s="8">
        <v>0</v>
      </c>
      <c r="G62" s="12">
        <v>1</v>
      </c>
      <c r="H62" s="8">
        <v>1.69</v>
      </c>
      <c r="I62" s="12">
        <v>1</v>
      </c>
    </row>
    <row r="63" spans="2:9" ht="15" customHeight="1" x14ac:dyDescent="0.2">
      <c r="B63" t="s">
        <v>219</v>
      </c>
      <c r="C63" s="12">
        <v>2</v>
      </c>
      <c r="D63" s="8">
        <v>1.67</v>
      </c>
      <c r="E63" s="12">
        <v>1</v>
      </c>
      <c r="F63" s="8">
        <v>1.75</v>
      </c>
      <c r="G63" s="12">
        <v>1</v>
      </c>
      <c r="H63" s="8">
        <v>1.69</v>
      </c>
      <c r="I63" s="12">
        <v>0</v>
      </c>
    </row>
    <row r="64" spans="2:9" ht="15" customHeight="1" x14ac:dyDescent="0.2">
      <c r="B64" t="s">
        <v>285</v>
      </c>
      <c r="C64" s="12">
        <v>2</v>
      </c>
      <c r="D64" s="8">
        <v>1.67</v>
      </c>
      <c r="E64" s="12">
        <v>0</v>
      </c>
      <c r="F64" s="8">
        <v>0</v>
      </c>
      <c r="G64" s="12">
        <v>2</v>
      </c>
      <c r="H64" s="8">
        <v>3.39</v>
      </c>
      <c r="I64" s="12">
        <v>0</v>
      </c>
    </row>
    <row r="65" spans="2:9" ht="15" customHeight="1" x14ac:dyDescent="0.2">
      <c r="B65" t="s">
        <v>163</v>
      </c>
      <c r="C65" s="12">
        <v>2</v>
      </c>
      <c r="D65" s="8">
        <v>1.67</v>
      </c>
      <c r="E65" s="12">
        <v>1</v>
      </c>
      <c r="F65" s="8">
        <v>1.75</v>
      </c>
      <c r="G65" s="12">
        <v>1</v>
      </c>
      <c r="H65" s="8">
        <v>1.69</v>
      </c>
      <c r="I65" s="12">
        <v>0</v>
      </c>
    </row>
    <row r="66" spans="2:9" ht="15" customHeight="1" x14ac:dyDescent="0.2">
      <c r="B66" t="s">
        <v>210</v>
      </c>
      <c r="C66" s="12">
        <v>2</v>
      </c>
      <c r="D66" s="8">
        <v>1.67</v>
      </c>
      <c r="E66" s="12">
        <v>2</v>
      </c>
      <c r="F66" s="8">
        <v>3.51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185</v>
      </c>
      <c r="C67" s="12">
        <v>2</v>
      </c>
      <c r="D67" s="8">
        <v>1.67</v>
      </c>
      <c r="E67" s="12">
        <v>1</v>
      </c>
      <c r="F67" s="8">
        <v>1.75</v>
      </c>
      <c r="G67" s="12">
        <v>1</v>
      </c>
      <c r="H67" s="8">
        <v>1.69</v>
      </c>
      <c r="I67" s="12">
        <v>0</v>
      </c>
    </row>
    <row r="68" spans="2:9" ht="15" customHeight="1" x14ac:dyDescent="0.2">
      <c r="B68" t="s">
        <v>170</v>
      </c>
      <c r="C68" s="12">
        <v>2</v>
      </c>
      <c r="D68" s="8">
        <v>1.67</v>
      </c>
      <c r="E68" s="12">
        <v>2</v>
      </c>
      <c r="F68" s="8">
        <v>3.51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216</v>
      </c>
      <c r="C69" s="12">
        <v>2</v>
      </c>
      <c r="D69" s="8">
        <v>1.67</v>
      </c>
      <c r="E69" s="12">
        <v>1</v>
      </c>
      <c r="F69" s="8">
        <v>1.75</v>
      </c>
      <c r="G69" s="12">
        <v>1</v>
      </c>
      <c r="H69" s="8">
        <v>1.69</v>
      </c>
      <c r="I69" s="12">
        <v>0</v>
      </c>
    </row>
    <row r="70" spans="2:9" ht="15" customHeight="1" x14ac:dyDescent="0.2">
      <c r="B70" t="s">
        <v>186</v>
      </c>
      <c r="C70" s="12">
        <v>2</v>
      </c>
      <c r="D70" s="8">
        <v>1.67</v>
      </c>
      <c r="E70" s="12">
        <v>0</v>
      </c>
      <c r="F70" s="8">
        <v>0</v>
      </c>
      <c r="G70" s="12">
        <v>1</v>
      </c>
      <c r="H70" s="8">
        <v>1.69</v>
      </c>
      <c r="I70" s="12">
        <v>0</v>
      </c>
    </row>
    <row r="71" spans="2:9" ht="15" customHeight="1" x14ac:dyDescent="0.2">
      <c r="B71" t="s">
        <v>236</v>
      </c>
      <c r="C71" s="12">
        <v>2</v>
      </c>
      <c r="D71" s="8">
        <v>1.67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286</v>
      </c>
      <c r="C72" s="12">
        <v>2</v>
      </c>
      <c r="D72" s="8">
        <v>1.67</v>
      </c>
      <c r="E72" s="12">
        <v>2</v>
      </c>
      <c r="F72" s="8">
        <v>3.51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217</v>
      </c>
      <c r="C73" s="12">
        <v>2</v>
      </c>
      <c r="D73" s="8">
        <v>1.67</v>
      </c>
      <c r="E73" s="12">
        <v>0</v>
      </c>
      <c r="F73" s="8">
        <v>0</v>
      </c>
      <c r="G73" s="12">
        <v>2</v>
      </c>
      <c r="H73" s="8">
        <v>3.39</v>
      </c>
      <c r="I73" s="12">
        <v>0</v>
      </c>
    </row>
    <row r="75" spans="2:9" ht="15" customHeight="1" x14ac:dyDescent="0.2">
      <c r="B75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AB91-BA4A-4E7E-AC33-A03D44864F19}">
  <sheetPr>
    <pageSetUpPr fitToPage="1"/>
  </sheetPr>
  <dimension ref="B2:I11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32</v>
      </c>
      <c r="D6" s="8">
        <v>32.32</v>
      </c>
      <c r="E6" s="12">
        <v>13</v>
      </c>
      <c r="F6" s="8">
        <v>21.31</v>
      </c>
      <c r="G6" s="12">
        <v>19</v>
      </c>
      <c r="H6" s="8">
        <v>52.78</v>
      </c>
      <c r="I6" s="12">
        <v>0</v>
      </c>
    </row>
    <row r="7" spans="2:9" ht="15" customHeight="1" x14ac:dyDescent="0.2">
      <c r="B7" t="s">
        <v>62</v>
      </c>
      <c r="C7" s="12">
        <v>15</v>
      </c>
      <c r="D7" s="8">
        <v>15.15</v>
      </c>
      <c r="E7" s="12">
        <v>6</v>
      </c>
      <c r="F7" s="8">
        <v>9.84</v>
      </c>
      <c r="G7" s="12">
        <v>9</v>
      </c>
      <c r="H7" s="8">
        <v>25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1.01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2.02</v>
      </c>
      <c r="E10" s="12">
        <v>1</v>
      </c>
      <c r="F10" s="8">
        <v>1.64</v>
      </c>
      <c r="G10" s="12">
        <v>1</v>
      </c>
      <c r="H10" s="8">
        <v>2.78</v>
      </c>
      <c r="I10" s="12">
        <v>0</v>
      </c>
    </row>
    <row r="11" spans="2:9" ht="15" customHeight="1" x14ac:dyDescent="0.2">
      <c r="B11" t="s">
        <v>66</v>
      </c>
      <c r="C11" s="12">
        <v>19</v>
      </c>
      <c r="D11" s="8">
        <v>19.190000000000001</v>
      </c>
      <c r="E11" s="12">
        <v>13</v>
      </c>
      <c r="F11" s="8">
        <v>21.31</v>
      </c>
      <c r="G11" s="12">
        <v>5</v>
      </c>
      <c r="H11" s="8">
        <v>13.89</v>
      </c>
      <c r="I11" s="12">
        <v>1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</v>
      </c>
      <c r="D13" s="8">
        <v>1.01</v>
      </c>
      <c r="E13" s="12">
        <v>0</v>
      </c>
      <c r="F13" s="8">
        <v>0</v>
      </c>
      <c r="G13" s="12">
        <v>1</v>
      </c>
      <c r="H13" s="8">
        <v>2.78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1.01</v>
      </c>
      <c r="E14" s="12">
        <v>1</v>
      </c>
      <c r="F14" s="8">
        <v>1.64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9</v>
      </c>
      <c r="D15" s="8">
        <v>9.09</v>
      </c>
      <c r="E15" s="12">
        <v>8</v>
      </c>
      <c r="F15" s="8">
        <v>13.11</v>
      </c>
      <c r="G15" s="12">
        <v>1</v>
      </c>
      <c r="H15" s="8">
        <v>2.78</v>
      </c>
      <c r="I15" s="12">
        <v>0</v>
      </c>
    </row>
    <row r="16" spans="2:9" ht="15" customHeight="1" x14ac:dyDescent="0.2">
      <c r="B16" t="s">
        <v>71</v>
      </c>
      <c r="C16" s="12">
        <v>10</v>
      </c>
      <c r="D16" s="8">
        <v>10.1</v>
      </c>
      <c r="E16" s="12">
        <v>10</v>
      </c>
      <c r="F16" s="8">
        <v>16.39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2.02</v>
      </c>
      <c r="E17" s="12">
        <v>2</v>
      </c>
      <c r="F17" s="8">
        <v>3.28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4</v>
      </c>
      <c r="D18" s="8">
        <v>4.04</v>
      </c>
      <c r="E18" s="12">
        <v>4</v>
      </c>
      <c r="F18" s="8">
        <v>6.56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3</v>
      </c>
      <c r="D19" s="8">
        <v>3.03</v>
      </c>
      <c r="E19" s="12">
        <v>3</v>
      </c>
      <c r="F19" s="8">
        <v>4.92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SUM(LTBL_07465[総数／事業所数])</f>
        <v>99</v>
      </c>
      <c r="E20" s="12">
        <f>SUBTOTAL(109,LTBL_07465[個人／事業所数])</f>
        <v>61</v>
      </c>
      <c r="G20" s="12">
        <f>SUBTOTAL(109,LTBL_07465[法人／事業所数])</f>
        <v>36</v>
      </c>
      <c r="I20" s="12">
        <f>SUBTOTAL(109,LTBL_07465[法人以外の団体／事業所数])</f>
        <v>1</v>
      </c>
    </row>
    <row r="21" spans="2:9" ht="15" customHeight="1" x14ac:dyDescent="0.2">
      <c r="E21" s="11">
        <f>LTBL_07465[[#Totals],[個人／事業所数]]/LTBL_07465[[#Totals],[総数／事業所数]]</f>
        <v>0.61616161616161613</v>
      </c>
      <c r="G21" s="11">
        <f>LTBL_07465[[#Totals],[法人／事業所数]]/LTBL_07465[[#Totals],[総数／事業所数]]</f>
        <v>0.36363636363636365</v>
      </c>
      <c r="I21" s="11">
        <f>LTBL_07465[[#Totals],[法人以外の団体／事業所数]]/LTBL_07465[[#Totals],[総数／事業所数]]</f>
        <v>1.0101010101010102E-2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15</v>
      </c>
      <c r="D24" s="8">
        <v>15.15</v>
      </c>
      <c r="E24" s="12">
        <v>6</v>
      </c>
      <c r="F24" s="8">
        <v>9.84</v>
      </c>
      <c r="G24" s="12">
        <v>9</v>
      </c>
      <c r="H24" s="8">
        <v>25</v>
      </c>
      <c r="I24" s="12">
        <v>0</v>
      </c>
    </row>
    <row r="25" spans="2:9" ht="15" customHeight="1" x14ac:dyDescent="0.2">
      <c r="B25" t="s">
        <v>84</v>
      </c>
      <c r="C25" s="12">
        <v>15</v>
      </c>
      <c r="D25" s="8">
        <v>15.15</v>
      </c>
      <c r="E25" s="12">
        <v>7</v>
      </c>
      <c r="F25" s="8">
        <v>11.48</v>
      </c>
      <c r="G25" s="12">
        <v>8</v>
      </c>
      <c r="H25" s="8">
        <v>22.22</v>
      </c>
      <c r="I25" s="12">
        <v>0</v>
      </c>
    </row>
    <row r="26" spans="2:9" ht="15" customHeight="1" x14ac:dyDescent="0.2">
      <c r="B26" t="s">
        <v>97</v>
      </c>
      <c r="C26" s="12">
        <v>10</v>
      </c>
      <c r="D26" s="8">
        <v>10.1</v>
      </c>
      <c r="E26" s="12">
        <v>10</v>
      </c>
      <c r="F26" s="8">
        <v>16.39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89</v>
      </c>
      <c r="C27" s="12">
        <v>8</v>
      </c>
      <c r="D27" s="8">
        <v>8.08</v>
      </c>
      <c r="E27" s="12">
        <v>7</v>
      </c>
      <c r="F27" s="8">
        <v>11.48</v>
      </c>
      <c r="G27" s="12">
        <v>0</v>
      </c>
      <c r="H27" s="8">
        <v>0</v>
      </c>
      <c r="I27" s="12">
        <v>1</v>
      </c>
    </row>
    <row r="28" spans="2:9" ht="15" customHeight="1" x14ac:dyDescent="0.2">
      <c r="B28" t="s">
        <v>96</v>
      </c>
      <c r="C28" s="12">
        <v>8</v>
      </c>
      <c r="D28" s="8">
        <v>8.08</v>
      </c>
      <c r="E28" s="12">
        <v>8</v>
      </c>
      <c r="F28" s="8">
        <v>13.11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114</v>
      </c>
      <c r="C29" s="12">
        <v>5</v>
      </c>
      <c r="D29" s="8">
        <v>5.05</v>
      </c>
      <c r="E29" s="12">
        <v>1</v>
      </c>
      <c r="F29" s="8">
        <v>1.64</v>
      </c>
      <c r="G29" s="12">
        <v>4</v>
      </c>
      <c r="H29" s="8">
        <v>11.11</v>
      </c>
      <c r="I29" s="12">
        <v>0</v>
      </c>
    </row>
    <row r="30" spans="2:9" ht="15" customHeight="1" x14ac:dyDescent="0.2">
      <c r="B30" t="s">
        <v>91</v>
      </c>
      <c r="C30" s="12">
        <v>4</v>
      </c>
      <c r="D30" s="8">
        <v>4.04</v>
      </c>
      <c r="E30" s="12">
        <v>2</v>
      </c>
      <c r="F30" s="8">
        <v>3.28</v>
      </c>
      <c r="G30" s="12">
        <v>2</v>
      </c>
      <c r="H30" s="8">
        <v>5.56</v>
      </c>
      <c r="I30" s="12">
        <v>0</v>
      </c>
    </row>
    <row r="31" spans="2:9" ht="15" customHeight="1" x14ac:dyDescent="0.2">
      <c r="B31" t="s">
        <v>100</v>
      </c>
      <c r="C31" s="12">
        <v>4</v>
      </c>
      <c r="D31" s="8">
        <v>4.04</v>
      </c>
      <c r="E31" s="12">
        <v>4</v>
      </c>
      <c r="F31" s="8">
        <v>6.56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111</v>
      </c>
      <c r="C32" s="12">
        <v>3</v>
      </c>
      <c r="D32" s="8">
        <v>3.03</v>
      </c>
      <c r="E32" s="12">
        <v>2</v>
      </c>
      <c r="F32" s="8">
        <v>3.28</v>
      </c>
      <c r="G32" s="12">
        <v>1</v>
      </c>
      <c r="H32" s="8">
        <v>2.78</v>
      </c>
      <c r="I32" s="12">
        <v>0</v>
      </c>
    </row>
    <row r="33" spans="2:9" ht="15" customHeight="1" x14ac:dyDescent="0.2">
      <c r="B33" t="s">
        <v>90</v>
      </c>
      <c r="C33" s="12">
        <v>3</v>
      </c>
      <c r="D33" s="8">
        <v>3.03</v>
      </c>
      <c r="E33" s="12">
        <v>3</v>
      </c>
      <c r="F33" s="8">
        <v>4.92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85</v>
      </c>
      <c r="C34" s="12">
        <v>2</v>
      </c>
      <c r="D34" s="8">
        <v>2.02</v>
      </c>
      <c r="E34" s="12">
        <v>0</v>
      </c>
      <c r="F34" s="8">
        <v>0</v>
      </c>
      <c r="G34" s="12">
        <v>2</v>
      </c>
      <c r="H34" s="8">
        <v>5.56</v>
      </c>
      <c r="I34" s="12">
        <v>0</v>
      </c>
    </row>
    <row r="35" spans="2:9" ht="15" customHeight="1" x14ac:dyDescent="0.2">
      <c r="B35" t="s">
        <v>126</v>
      </c>
      <c r="C35" s="12">
        <v>2</v>
      </c>
      <c r="D35" s="8">
        <v>2.02</v>
      </c>
      <c r="E35" s="12">
        <v>0</v>
      </c>
      <c r="F35" s="8">
        <v>0</v>
      </c>
      <c r="G35" s="12">
        <v>2</v>
      </c>
      <c r="H35" s="8">
        <v>5.56</v>
      </c>
      <c r="I35" s="12">
        <v>0</v>
      </c>
    </row>
    <row r="36" spans="2:9" ht="15" customHeight="1" x14ac:dyDescent="0.2">
      <c r="B36" t="s">
        <v>117</v>
      </c>
      <c r="C36" s="12">
        <v>2</v>
      </c>
      <c r="D36" s="8">
        <v>2.02</v>
      </c>
      <c r="E36" s="12">
        <v>1</v>
      </c>
      <c r="F36" s="8">
        <v>1.64</v>
      </c>
      <c r="G36" s="12">
        <v>1</v>
      </c>
      <c r="H36" s="8">
        <v>2.78</v>
      </c>
      <c r="I36" s="12">
        <v>0</v>
      </c>
    </row>
    <row r="37" spans="2:9" ht="15" customHeight="1" x14ac:dyDescent="0.2">
      <c r="B37" t="s">
        <v>86</v>
      </c>
      <c r="C37" s="12">
        <v>2</v>
      </c>
      <c r="D37" s="8">
        <v>2.02</v>
      </c>
      <c r="E37" s="12">
        <v>0</v>
      </c>
      <c r="F37" s="8">
        <v>0</v>
      </c>
      <c r="G37" s="12">
        <v>2</v>
      </c>
      <c r="H37" s="8">
        <v>5.56</v>
      </c>
      <c r="I37" s="12">
        <v>0</v>
      </c>
    </row>
    <row r="38" spans="2:9" ht="15" customHeight="1" x14ac:dyDescent="0.2">
      <c r="B38" t="s">
        <v>99</v>
      </c>
      <c r="C38" s="12">
        <v>2</v>
      </c>
      <c r="D38" s="8">
        <v>2.02</v>
      </c>
      <c r="E38" s="12">
        <v>2</v>
      </c>
      <c r="F38" s="8">
        <v>3.28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102</v>
      </c>
      <c r="C39" s="12">
        <v>2</v>
      </c>
      <c r="D39" s="8">
        <v>2.02</v>
      </c>
      <c r="E39" s="12">
        <v>2</v>
      </c>
      <c r="F39" s="8">
        <v>3.28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133</v>
      </c>
      <c r="C40" s="12">
        <v>1</v>
      </c>
      <c r="D40" s="8">
        <v>1.01</v>
      </c>
      <c r="E40" s="12">
        <v>1</v>
      </c>
      <c r="F40" s="8">
        <v>1.64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151</v>
      </c>
      <c r="C41" s="12">
        <v>1</v>
      </c>
      <c r="D41" s="8">
        <v>1.01</v>
      </c>
      <c r="E41" s="12">
        <v>0</v>
      </c>
      <c r="F41" s="8">
        <v>0</v>
      </c>
      <c r="G41" s="12">
        <v>1</v>
      </c>
      <c r="H41" s="8">
        <v>2.78</v>
      </c>
      <c r="I41" s="12">
        <v>0</v>
      </c>
    </row>
    <row r="42" spans="2:9" ht="15" customHeight="1" x14ac:dyDescent="0.2">
      <c r="B42" t="s">
        <v>115</v>
      </c>
      <c r="C42" s="12">
        <v>1</v>
      </c>
      <c r="D42" s="8">
        <v>1.01</v>
      </c>
      <c r="E42" s="12">
        <v>0</v>
      </c>
      <c r="F42" s="8">
        <v>0</v>
      </c>
      <c r="G42" s="12">
        <v>1</v>
      </c>
      <c r="H42" s="8">
        <v>2.78</v>
      </c>
      <c r="I42" s="12">
        <v>0</v>
      </c>
    </row>
    <row r="43" spans="2:9" ht="15" customHeight="1" x14ac:dyDescent="0.2">
      <c r="B43" t="s">
        <v>122</v>
      </c>
      <c r="C43" s="12">
        <v>1</v>
      </c>
      <c r="D43" s="8">
        <v>1.01</v>
      </c>
      <c r="E43" s="12">
        <v>1</v>
      </c>
      <c r="F43" s="8">
        <v>1.64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105</v>
      </c>
      <c r="C44" s="12">
        <v>1</v>
      </c>
      <c r="D44" s="8">
        <v>1.01</v>
      </c>
      <c r="E44" s="12">
        <v>1</v>
      </c>
      <c r="F44" s="8">
        <v>1.64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127</v>
      </c>
      <c r="C45" s="12">
        <v>1</v>
      </c>
      <c r="D45" s="8">
        <v>1.01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88</v>
      </c>
      <c r="C46" s="12">
        <v>1</v>
      </c>
      <c r="D46" s="8">
        <v>1.01</v>
      </c>
      <c r="E46" s="12">
        <v>1</v>
      </c>
      <c r="F46" s="8">
        <v>1.64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103</v>
      </c>
      <c r="C47" s="12">
        <v>1</v>
      </c>
      <c r="D47" s="8">
        <v>1.01</v>
      </c>
      <c r="E47" s="12">
        <v>0</v>
      </c>
      <c r="F47" s="8">
        <v>0</v>
      </c>
      <c r="G47" s="12">
        <v>1</v>
      </c>
      <c r="H47" s="8">
        <v>2.78</v>
      </c>
      <c r="I47" s="12">
        <v>0</v>
      </c>
    </row>
    <row r="48" spans="2:9" ht="15" customHeight="1" x14ac:dyDescent="0.2">
      <c r="B48" t="s">
        <v>92</v>
      </c>
      <c r="C48" s="12">
        <v>1</v>
      </c>
      <c r="D48" s="8">
        <v>1.01</v>
      </c>
      <c r="E48" s="12">
        <v>0</v>
      </c>
      <c r="F48" s="8">
        <v>0</v>
      </c>
      <c r="G48" s="12">
        <v>1</v>
      </c>
      <c r="H48" s="8">
        <v>2.78</v>
      </c>
      <c r="I48" s="12">
        <v>0</v>
      </c>
    </row>
    <row r="49" spans="2:9" ht="15" customHeight="1" x14ac:dyDescent="0.2">
      <c r="B49" t="s">
        <v>94</v>
      </c>
      <c r="C49" s="12">
        <v>1</v>
      </c>
      <c r="D49" s="8">
        <v>1.01</v>
      </c>
      <c r="E49" s="12">
        <v>1</v>
      </c>
      <c r="F49" s="8">
        <v>1.64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113</v>
      </c>
      <c r="C50" s="12">
        <v>1</v>
      </c>
      <c r="D50" s="8">
        <v>1.01</v>
      </c>
      <c r="E50" s="12">
        <v>0</v>
      </c>
      <c r="F50" s="8">
        <v>0</v>
      </c>
      <c r="G50" s="12">
        <v>1</v>
      </c>
      <c r="H50" s="8">
        <v>2.78</v>
      </c>
      <c r="I50" s="12">
        <v>0</v>
      </c>
    </row>
    <row r="51" spans="2:9" ht="15" customHeight="1" x14ac:dyDescent="0.2">
      <c r="B51" t="s">
        <v>146</v>
      </c>
      <c r="C51" s="12">
        <v>1</v>
      </c>
      <c r="D51" s="8">
        <v>1.01</v>
      </c>
      <c r="E51" s="12">
        <v>1</v>
      </c>
      <c r="F51" s="8">
        <v>1.64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339</v>
      </c>
      <c r="C54" s="10" t="s">
        <v>76</v>
      </c>
      <c r="D54" s="10" t="s">
        <v>77</v>
      </c>
      <c r="E54" s="10" t="s">
        <v>78</v>
      </c>
      <c r="F54" s="10" t="s">
        <v>79</v>
      </c>
      <c r="G54" s="10" t="s">
        <v>80</v>
      </c>
      <c r="H54" s="10" t="s">
        <v>81</v>
      </c>
      <c r="I54" s="10" t="s">
        <v>82</v>
      </c>
    </row>
    <row r="55" spans="2:9" ht="15" customHeight="1" x14ac:dyDescent="0.2">
      <c r="B55" t="s">
        <v>159</v>
      </c>
      <c r="C55" s="12">
        <v>8</v>
      </c>
      <c r="D55" s="8">
        <v>8.08</v>
      </c>
      <c r="E55" s="12">
        <v>2</v>
      </c>
      <c r="F55" s="8">
        <v>3.28</v>
      </c>
      <c r="G55" s="12">
        <v>6</v>
      </c>
      <c r="H55" s="8">
        <v>16.670000000000002</v>
      </c>
      <c r="I55" s="12">
        <v>0</v>
      </c>
    </row>
    <row r="56" spans="2:9" ht="15" customHeight="1" x14ac:dyDescent="0.2">
      <c r="B56" t="s">
        <v>173</v>
      </c>
      <c r="C56" s="12">
        <v>6</v>
      </c>
      <c r="D56" s="8">
        <v>6.06</v>
      </c>
      <c r="E56" s="12">
        <v>6</v>
      </c>
      <c r="F56" s="8">
        <v>9.84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202</v>
      </c>
      <c r="C57" s="12">
        <v>5</v>
      </c>
      <c r="D57" s="8">
        <v>5.05</v>
      </c>
      <c r="E57" s="12">
        <v>4</v>
      </c>
      <c r="F57" s="8">
        <v>6.56</v>
      </c>
      <c r="G57" s="12">
        <v>1</v>
      </c>
      <c r="H57" s="8">
        <v>2.78</v>
      </c>
      <c r="I57" s="12">
        <v>0</v>
      </c>
    </row>
    <row r="58" spans="2:9" ht="15" customHeight="1" x14ac:dyDescent="0.2">
      <c r="B58" t="s">
        <v>158</v>
      </c>
      <c r="C58" s="12">
        <v>4</v>
      </c>
      <c r="D58" s="8">
        <v>4.04</v>
      </c>
      <c r="E58" s="12">
        <v>2</v>
      </c>
      <c r="F58" s="8">
        <v>3.28</v>
      </c>
      <c r="G58" s="12">
        <v>2</v>
      </c>
      <c r="H58" s="8">
        <v>5.56</v>
      </c>
      <c r="I58" s="12">
        <v>0</v>
      </c>
    </row>
    <row r="59" spans="2:9" ht="15" customHeight="1" x14ac:dyDescent="0.2">
      <c r="B59" t="s">
        <v>174</v>
      </c>
      <c r="C59" s="12">
        <v>4</v>
      </c>
      <c r="D59" s="8">
        <v>4.04</v>
      </c>
      <c r="E59" s="12">
        <v>4</v>
      </c>
      <c r="F59" s="8">
        <v>6.56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187</v>
      </c>
      <c r="C60" s="12">
        <v>3</v>
      </c>
      <c r="D60" s="8">
        <v>3.03</v>
      </c>
      <c r="E60" s="12">
        <v>0</v>
      </c>
      <c r="F60" s="8">
        <v>0</v>
      </c>
      <c r="G60" s="12">
        <v>3</v>
      </c>
      <c r="H60" s="8">
        <v>8.33</v>
      </c>
      <c r="I60" s="12">
        <v>0</v>
      </c>
    </row>
    <row r="61" spans="2:9" ht="15" customHeight="1" x14ac:dyDescent="0.2">
      <c r="B61" t="s">
        <v>251</v>
      </c>
      <c r="C61" s="12">
        <v>3</v>
      </c>
      <c r="D61" s="8">
        <v>3.03</v>
      </c>
      <c r="E61" s="12">
        <v>1</v>
      </c>
      <c r="F61" s="8">
        <v>1.64</v>
      </c>
      <c r="G61" s="12">
        <v>2</v>
      </c>
      <c r="H61" s="8">
        <v>5.56</v>
      </c>
      <c r="I61" s="12">
        <v>0</v>
      </c>
    </row>
    <row r="62" spans="2:9" ht="15" customHeight="1" x14ac:dyDescent="0.2">
      <c r="B62" t="s">
        <v>170</v>
      </c>
      <c r="C62" s="12">
        <v>3</v>
      </c>
      <c r="D62" s="8">
        <v>3.03</v>
      </c>
      <c r="E62" s="12">
        <v>3</v>
      </c>
      <c r="F62" s="8">
        <v>4.92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160</v>
      </c>
      <c r="C63" s="12">
        <v>2</v>
      </c>
      <c r="D63" s="8">
        <v>2.02</v>
      </c>
      <c r="E63" s="12">
        <v>1</v>
      </c>
      <c r="F63" s="8">
        <v>1.64</v>
      </c>
      <c r="G63" s="12">
        <v>1</v>
      </c>
      <c r="H63" s="8">
        <v>2.78</v>
      </c>
      <c r="I63" s="12">
        <v>0</v>
      </c>
    </row>
    <row r="64" spans="2:9" ht="15" customHeight="1" x14ac:dyDescent="0.2">
      <c r="B64" t="s">
        <v>196</v>
      </c>
      <c r="C64" s="12">
        <v>2</v>
      </c>
      <c r="D64" s="8">
        <v>2.02</v>
      </c>
      <c r="E64" s="12">
        <v>0</v>
      </c>
      <c r="F64" s="8">
        <v>0</v>
      </c>
      <c r="G64" s="12">
        <v>2</v>
      </c>
      <c r="H64" s="8">
        <v>5.56</v>
      </c>
      <c r="I64" s="12">
        <v>0</v>
      </c>
    </row>
    <row r="65" spans="2:9" ht="15" customHeight="1" x14ac:dyDescent="0.2">
      <c r="B65" t="s">
        <v>288</v>
      </c>
      <c r="C65" s="12">
        <v>2</v>
      </c>
      <c r="D65" s="8">
        <v>2.02</v>
      </c>
      <c r="E65" s="12">
        <v>1</v>
      </c>
      <c r="F65" s="8">
        <v>1.64</v>
      </c>
      <c r="G65" s="12">
        <v>1</v>
      </c>
      <c r="H65" s="8">
        <v>2.78</v>
      </c>
      <c r="I65" s="12">
        <v>0</v>
      </c>
    </row>
    <row r="66" spans="2:9" ht="15" customHeight="1" x14ac:dyDescent="0.2">
      <c r="B66" t="s">
        <v>161</v>
      </c>
      <c r="C66" s="12">
        <v>2</v>
      </c>
      <c r="D66" s="8">
        <v>2.02</v>
      </c>
      <c r="E66" s="12">
        <v>0</v>
      </c>
      <c r="F66" s="8">
        <v>0</v>
      </c>
      <c r="G66" s="12">
        <v>2</v>
      </c>
      <c r="H66" s="8">
        <v>5.56</v>
      </c>
      <c r="I66" s="12">
        <v>0</v>
      </c>
    </row>
    <row r="67" spans="2:9" ht="15" customHeight="1" x14ac:dyDescent="0.2">
      <c r="B67" t="s">
        <v>290</v>
      </c>
      <c r="C67" s="12">
        <v>2</v>
      </c>
      <c r="D67" s="8">
        <v>2.02</v>
      </c>
      <c r="E67" s="12">
        <v>2</v>
      </c>
      <c r="F67" s="8">
        <v>3.28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265</v>
      </c>
      <c r="C68" s="12">
        <v>2</v>
      </c>
      <c r="D68" s="8">
        <v>2.02</v>
      </c>
      <c r="E68" s="12">
        <v>2</v>
      </c>
      <c r="F68" s="8">
        <v>3.28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191</v>
      </c>
      <c r="C69" s="12">
        <v>2</v>
      </c>
      <c r="D69" s="8">
        <v>2.02</v>
      </c>
      <c r="E69" s="12">
        <v>2</v>
      </c>
      <c r="F69" s="8">
        <v>3.28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208</v>
      </c>
      <c r="C70" s="12">
        <v>2</v>
      </c>
      <c r="D70" s="8">
        <v>2.02</v>
      </c>
      <c r="E70" s="12">
        <v>0</v>
      </c>
      <c r="F70" s="8">
        <v>0</v>
      </c>
      <c r="G70" s="12">
        <v>2</v>
      </c>
      <c r="H70" s="8">
        <v>5.56</v>
      </c>
      <c r="I70" s="12">
        <v>0</v>
      </c>
    </row>
    <row r="71" spans="2:9" ht="15" customHeight="1" x14ac:dyDescent="0.2">
      <c r="B71" t="s">
        <v>175</v>
      </c>
      <c r="C71" s="12">
        <v>2</v>
      </c>
      <c r="D71" s="8">
        <v>2.02</v>
      </c>
      <c r="E71" s="12">
        <v>2</v>
      </c>
      <c r="F71" s="8">
        <v>3.28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286</v>
      </c>
      <c r="C72" s="12">
        <v>2</v>
      </c>
      <c r="D72" s="8">
        <v>2.02</v>
      </c>
      <c r="E72" s="12">
        <v>2</v>
      </c>
      <c r="F72" s="8">
        <v>3.28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177</v>
      </c>
      <c r="C73" s="12">
        <v>2</v>
      </c>
      <c r="D73" s="8">
        <v>2.02</v>
      </c>
      <c r="E73" s="12">
        <v>2</v>
      </c>
      <c r="F73" s="8">
        <v>3.28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287</v>
      </c>
      <c r="C74" s="12">
        <v>1</v>
      </c>
      <c r="D74" s="8">
        <v>1.01</v>
      </c>
      <c r="E74" s="12">
        <v>1</v>
      </c>
      <c r="F74" s="8">
        <v>1.64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194</v>
      </c>
      <c r="C75" s="12">
        <v>1</v>
      </c>
      <c r="D75" s="8">
        <v>1.01</v>
      </c>
      <c r="E75" s="12">
        <v>0</v>
      </c>
      <c r="F75" s="8">
        <v>0</v>
      </c>
      <c r="G75" s="12">
        <v>1</v>
      </c>
      <c r="H75" s="8">
        <v>2.78</v>
      </c>
      <c r="I75" s="12">
        <v>0</v>
      </c>
    </row>
    <row r="76" spans="2:9" ht="15" customHeight="1" x14ac:dyDescent="0.2">
      <c r="B76" t="s">
        <v>201</v>
      </c>
      <c r="C76" s="12">
        <v>1</v>
      </c>
      <c r="D76" s="8">
        <v>1.01</v>
      </c>
      <c r="E76" s="12">
        <v>1</v>
      </c>
      <c r="F76" s="8">
        <v>1.64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195</v>
      </c>
      <c r="C77" s="12">
        <v>1</v>
      </c>
      <c r="D77" s="8">
        <v>1.01</v>
      </c>
      <c r="E77" s="12">
        <v>1</v>
      </c>
      <c r="F77" s="8">
        <v>1.64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289</v>
      </c>
      <c r="C78" s="12">
        <v>1</v>
      </c>
      <c r="D78" s="8">
        <v>1.01</v>
      </c>
      <c r="E78" s="12">
        <v>0</v>
      </c>
      <c r="F78" s="8">
        <v>0</v>
      </c>
      <c r="G78" s="12">
        <v>1</v>
      </c>
      <c r="H78" s="8">
        <v>2.78</v>
      </c>
      <c r="I78" s="12">
        <v>0</v>
      </c>
    </row>
    <row r="79" spans="2:9" ht="15" customHeight="1" x14ac:dyDescent="0.2">
      <c r="B79" t="s">
        <v>291</v>
      </c>
      <c r="C79" s="12">
        <v>1</v>
      </c>
      <c r="D79" s="8">
        <v>1.01</v>
      </c>
      <c r="E79" s="12">
        <v>1</v>
      </c>
      <c r="F79" s="8">
        <v>1.64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292</v>
      </c>
      <c r="C80" s="12">
        <v>1</v>
      </c>
      <c r="D80" s="8">
        <v>1.01</v>
      </c>
      <c r="E80" s="12">
        <v>0</v>
      </c>
      <c r="F80" s="8">
        <v>0</v>
      </c>
      <c r="G80" s="12">
        <v>1</v>
      </c>
      <c r="H80" s="8">
        <v>2.78</v>
      </c>
      <c r="I80" s="12">
        <v>0</v>
      </c>
    </row>
    <row r="81" spans="2:9" ht="15" customHeight="1" x14ac:dyDescent="0.2">
      <c r="B81" t="s">
        <v>293</v>
      </c>
      <c r="C81" s="12">
        <v>1</v>
      </c>
      <c r="D81" s="8">
        <v>1.01</v>
      </c>
      <c r="E81" s="12">
        <v>0</v>
      </c>
      <c r="F81" s="8">
        <v>0</v>
      </c>
      <c r="G81" s="12">
        <v>1</v>
      </c>
      <c r="H81" s="8">
        <v>2.78</v>
      </c>
      <c r="I81" s="12">
        <v>0</v>
      </c>
    </row>
    <row r="82" spans="2:9" ht="15" customHeight="1" x14ac:dyDescent="0.2">
      <c r="B82" t="s">
        <v>294</v>
      </c>
      <c r="C82" s="12">
        <v>1</v>
      </c>
      <c r="D82" s="8">
        <v>1.01</v>
      </c>
      <c r="E82" s="12">
        <v>0</v>
      </c>
      <c r="F82" s="8">
        <v>0</v>
      </c>
      <c r="G82" s="12">
        <v>1</v>
      </c>
      <c r="H82" s="8">
        <v>2.78</v>
      </c>
      <c r="I82" s="12">
        <v>0</v>
      </c>
    </row>
    <row r="83" spans="2:9" ht="15" customHeight="1" x14ac:dyDescent="0.2">
      <c r="B83" t="s">
        <v>295</v>
      </c>
      <c r="C83" s="12">
        <v>1</v>
      </c>
      <c r="D83" s="8">
        <v>1.01</v>
      </c>
      <c r="E83" s="12">
        <v>0</v>
      </c>
      <c r="F83" s="8">
        <v>0</v>
      </c>
      <c r="G83" s="12">
        <v>1</v>
      </c>
      <c r="H83" s="8">
        <v>2.78</v>
      </c>
      <c r="I83" s="12">
        <v>0</v>
      </c>
    </row>
    <row r="84" spans="2:9" ht="15" customHeight="1" x14ac:dyDescent="0.2">
      <c r="B84" t="s">
        <v>209</v>
      </c>
      <c r="C84" s="12">
        <v>1</v>
      </c>
      <c r="D84" s="8">
        <v>1.01</v>
      </c>
      <c r="E84" s="12">
        <v>1</v>
      </c>
      <c r="F84" s="8">
        <v>1.64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252</v>
      </c>
      <c r="C85" s="12">
        <v>1</v>
      </c>
      <c r="D85" s="8">
        <v>1.01</v>
      </c>
      <c r="E85" s="12">
        <v>0</v>
      </c>
      <c r="F85" s="8">
        <v>0</v>
      </c>
      <c r="G85" s="12">
        <v>1</v>
      </c>
      <c r="H85" s="8">
        <v>2.78</v>
      </c>
      <c r="I85" s="12">
        <v>0</v>
      </c>
    </row>
    <row r="86" spans="2:9" ht="15" customHeight="1" x14ac:dyDescent="0.2">
      <c r="B86" t="s">
        <v>296</v>
      </c>
      <c r="C86" s="12">
        <v>1</v>
      </c>
      <c r="D86" s="8">
        <v>1.01</v>
      </c>
      <c r="E86" s="12">
        <v>0</v>
      </c>
      <c r="F86" s="8">
        <v>0</v>
      </c>
      <c r="G86" s="12">
        <v>1</v>
      </c>
      <c r="H86" s="8">
        <v>2.78</v>
      </c>
      <c r="I86" s="12">
        <v>0</v>
      </c>
    </row>
    <row r="87" spans="2:9" ht="15" customHeight="1" x14ac:dyDescent="0.2">
      <c r="B87" t="s">
        <v>263</v>
      </c>
      <c r="C87" s="12">
        <v>1</v>
      </c>
      <c r="D87" s="8">
        <v>1.01</v>
      </c>
      <c r="E87" s="12">
        <v>1</v>
      </c>
      <c r="F87" s="8">
        <v>1.64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297</v>
      </c>
      <c r="C88" s="12">
        <v>1</v>
      </c>
      <c r="D88" s="8">
        <v>1.01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284</v>
      </c>
      <c r="C89" s="12">
        <v>1</v>
      </c>
      <c r="D89" s="8">
        <v>1.01</v>
      </c>
      <c r="E89" s="12">
        <v>0</v>
      </c>
      <c r="F89" s="8">
        <v>0</v>
      </c>
      <c r="G89" s="12">
        <v>1</v>
      </c>
      <c r="H89" s="8">
        <v>2.78</v>
      </c>
      <c r="I89" s="12">
        <v>0</v>
      </c>
    </row>
    <row r="90" spans="2:9" ht="15" customHeight="1" x14ac:dyDescent="0.2">
      <c r="B90" t="s">
        <v>230</v>
      </c>
      <c r="C90" s="12">
        <v>1</v>
      </c>
      <c r="D90" s="8">
        <v>1.01</v>
      </c>
      <c r="E90" s="12">
        <v>1</v>
      </c>
      <c r="F90" s="8">
        <v>1.64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298</v>
      </c>
      <c r="C91" s="12">
        <v>1</v>
      </c>
      <c r="D91" s="8">
        <v>1.01</v>
      </c>
      <c r="E91" s="12">
        <v>0</v>
      </c>
      <c r="F91" s="8">
        <v>0</v>
      </c>
      <c r="G91" s="12">
        <v>1</v>
      </c>
      <c r="H91" s="8">
        <v>2.78</v>
      </c>
      <c r="I91" s="12">
        <v>0</v>
      </c>
    </row>
    <row r="92" spans="2:9" ht="15" customHeight="1" x14ac:dyDescent="0.2">
      <c r="B92" t="s">
        <v>299</v>
      </c>
      <c r="C92" s="12">
        <v>1</v>
      </c>
      <c r="D92" s="8">
        <v>1.01</v>
      </c>
      <c r="E92" s="12">
        <v>0</v>
      </c>
      <c r="F92" s="8">
        <v>0</v>
      </c>
      <c r="G92" s="12">
        <v>1</v>
      </c>
      <c r="H92" s="8">
        <v>2.78</v>
      </c>
      <c r="I92" s="12">
        <v>0</v>
      </c>
    </row>
    <row r="93" spans="2:9" ht="15" customHeight="1" x14ac:dyDescent="0.2">
      <c r="B93" t="s">
        <v>190</v>
      </c>
      <c r="C93" s="12">
        <v>1</v>
      </c>
      <c r="D93" s="8">
        <v>1.01</v>
      </c>
      <c r="E93" s="12">
        <v>1</v>
      </c>
      <c r="F93" s="8">
        <v>1.64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212</v>
      </c>
      <c r="C94" s="12">
        <v>1</v>
      </c>
      <c r="D94" s="8">
        <v>1.01</v>
      </c>
      <c r="E94" s="12">
        <v>1</v>
      </c>
      <c r="F94" s="8">
        <v>1.64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207</v>
      </c>
      <c r="C95" s="12">
        <v>1</v>
      </c>
      <c r="D95" s="8">
        <v>1.01</v>
      </c>
      <c r="E95" s="12">
        <v>0</v>
      </c>
      <c r="F95" s="8">
        <v>0</v>
      </c>
      <c r="G95" s="12">
        <v>0</v>
      </c>
      <c r="H95" s="8">
        <v>0</v>
      </c>
      <c r="I95" s="12">
        <v>1</v>
      </c>
    </row>
    <row r="96" spans="2:9" ht="15" customHeight="1" x14ac:dyDescent="0.2">
      <c r="B96" t="s">
        <v>178</v>
      </c>
      <c r="C96" s="12">
        <v>1</v>
      </c>
      <c r="D96" s="8">
        <v>1.01</v>
      </c>
      <c r="E96" s="12">
        <v>1</v>
      </c>
      <c r="F96" s="8">
        <v>1.64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163</v>
      </c>
      <c r="C97" s="12">
        <v>1</v>
      </c>
      <c r="D97" s="8">
        <v>1.01</v>
      </c>
      <c r="E97" s="12">
        <v>1</v>
      </c>
      <c r="F97" s="8">
        <v>1.64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164</v>
      </c>
      <c r="C98" s="12">
        <v>1</v>
      </c>
      <c r="D98" s="8">
        <v>1.01</v>
      </c>
      <c r="E98" s="12">
        <v>1</v>
      </c>
      <c r="F98" s="8">
        <v>1.64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300</v>
      </c>
      <c r="C99" s="12">
        <v>1</v>
      </c>
      <c r="D99" s="8">
        <v>1.01</v>
      </c>
      <c r="E99" s="12">
        <v>1</v>
      </c>
      <c r="F99" s="8">
        <v>1.64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193</v>
      </c>
      <c r="C100" s="12">
        <v>1</v>
      </c>
      <c r="D100" s="8">
        <v>1.01</v>
      </c>
      <c r="E100" s="12">
        <v>1</v>
      </c>
      <c r="F100" s="8">
        <v>1.64</v>
      </c>
      <c r="G100" s="12">
        <v>0</v>
      </c>
      <c r="H100" s="8">
        <v>0</v>
      </c>
      <c r="I100" s="12">
        <v>0</v>
      </c>
    </row>
    <row r="101" spans="2:9" ht="15" customHeight="1" x14ac:dyDescent="0.2">
      <c r="B101" t="s">
        <v>165</v>
      </c>
      <c r="C101" s="12">
        <v>1</v>
      </c>
      <c r="D101" s="8">
        <v>1.01</v>
      </c>
      <c r="E101" s="12">
        <v>1</v>
      </c>
      <c r="F101" s="8">
        <v>1.64</v>
      </c>
      <c r="G101" s="12">
        <v>0</v>
      </c>
      <c r="H101" s="8">
        <v>0</v>
      </c>
      <c r="I101" s="12">
        <v>0</v>
      </c>
    </row>
    <row r="102" spans="2:9" ht="15" customHeight="1" x14ac:dyDescent="0.2">
      <c r="B102" t="s">
        <v>166</v>
      </c>
      <c r="C102" s="12">
        <v>1</v>
      </c>
      <c r="D102" s="8">
        <v>1.01</v>
      </c>
      <c r="E102" s="12">
        <v>1</v>
      </c>
      <c r="F102" s="8">
        <v>1.64</v>
      </c>
      <c r="G102" s="12">
        <v>0</v>
      </c>
      <c r="H102" s="8">
        <v>0</v>
      </c>
      <c r="I102" s="12">
        <v>0</v>
      </c>
    </row>
    <row r="103" spans="2:9" ht="15" customHeight="1" x14ac:dyDescent="0.2">
      <c r="B103" t="s">
        <v>204</v>
      </c>
      <c r="C103" s="12">
        <v>1</v>
      </c>
      <c r="D103" s="8">
        <v>1.01</v>
      </c>
      <c r="E103" s="12">
        <v>0</v>
      </c>
      <c r="F103" s="8">
        <v>0</v>
      </c>
      <c r="G103" s="12">
        <v>1</v>
      </c>
      <c r="H103" s="8">
        <v>2.78</v>
      </c>
      <c r="I103" s="12">
        <v>0</v>
      </c>
    </row>
    <row r="104" spans="2:9" ht="15" customHeight="1" x14ac:dyDescent="0.2">
      <c r="B104" t="s">
        <v>205</v>
      </c>
      <c r="C104" s="12">
        <v>1</v>
      </c>
      <c r="D104" s="8">
        <v>1.01</v>
      </c>
      <c r="E104" s="12">
        <v>0</v>
      </c>
      <c r="F104" s="8">
        <v>0</v>
      </c>
      <c r="G104" s="12">
        <v>1</v>
      </c>
      <c r="H104" s="8">
        <v>2.78</v>
      </c>
      <c r="I104" s="12">
        <v>0</v>
      </c>
    </row>
    <row r="105" spans="2:9" ht="15" customHeight="1" x14ac:dyDescent="0.2">
      <c r="B105" t="s">
        <v>169</v>
      </c>
      <c r="C105" s="12">
        <v>1</v>
      </c>
      <c r="D105" s="8">
        <v>1.01</v>
      </c>
      <c r="E105" s="12">
        <v>1</v>
      </c>
      <c r="F105" s="8">
        <v>1.64</v>
      </c>
      <c r="G105" s="12">
        <v>0</v>
      </c>
      <c r="H105" s="8">
        <v>0</v>
      </c>
      <c r="I105" s="12">
        <v>0</v>
      </c>
    </row>
    <row r="106" spans="2:9" ht="15" customHeight="1" x14ac:dyDescent="0.2">
      <c r="B106" t="s">
        <v>181</v>
      </c>
      <c r="C106" s="12">
        <v>1</v>
      </c>
      <c r="D106" s="8">
        <v>1.01</v>
      </c>
      <c r="E106" s="12">
        <v>1</v>
      </c>
      <c r="F106" s="8">
        <v>1.64</v>
      </c>
      <c r="G106" s="12">
        <v>0</v>
      </c>
      <c r="H106" s="8">
        <v>0</v>
      </c>
      <c r="I106" s="12">
        <v>0</v>
      </c>
    </row>
    <row r="107" spans="2:9" ht="15" customHeight="1" x14ac:dyDescent="0.2">
      <c r="B107" t="s">
        <v>301</v>
      </c>
      <c r="C107" s="12">
        <v>1</v>
      </c>
      <c r="D107" s="8">
        <v>1.01</v>
      </c>
      <c r="E107" s="12">
        <v>1</v>
      </c>
      <c r="F107" s="8">
        <v>1.64</v>
      </c>
      <c r="G107" s="12">
        <v>0</v>
      </c>
      <c r="H107" s="8">
        <v>0</v>
      </c>
      <c r="I107" s="12">
        <v>0</v>
      </c>
    </row>
    <row r="108" spans="2:9" ht="15" customHeight="1" x14ac:dyDescent="0.2">
      <c r="B108" t="s">
        <v>171</v>
      </c>
      <c r="C108" s="12">
        <v>1</v>
      </c>
      <c r="D108" s="8">
        <v>1.01</v>
      </c>
      <c r="E108" s="12">
        <v>1</v>
      </c>
      <c r="F108" s="8">
        <v>1.64</v>
      </c>
      <c r="G108" s="12">
        <v>0</v>
      </c>
      <c r="H108" s="8">
        <v>0</v>
      </c>
      <c r="I108" s="12">
        <v>0</v>
      </c>
    </row>
    <row r="109" spans="2:9" ht="15" customHeight="1" x14ac:dyDescent="0.2">
      <c r="B109" t="s">
        <v>172</v>
      </c>
      <c r="C109" s="12">
        <v>1</v>
      </c>
      <c r="D109" s="8">
        <v>1.01</v>
      </c>
      <c r="E109" s="12">
        <v>1</v>
      </c>
      <c r="F109" s="8">
        <v>1.64</v>
      </c>
      <c r="G109" s="12">
        <v>0</v>
      </c>
      <c r="H109" s="8">
        <v>0</v>
      </c>
      <c r="I109" s="12">
        <v>0</v>
      </c>
    </row>
    <row r="110" spans="2:9" ht="15" customHeight="1" x14ac:dyDescent="0.2">
      <c r="B110" t="s">
        <v>227</v>
      </c>
      <c r="C110" s="12">
        <v>1</v>
      </c>
      <c r="D110" s="8">
        <v>1.01</v>
      </c>
      <c r="E110" s="12">
        <v>1</v>
      </c>
      <c r="F110" s="8">
        <v>1.64</v>
      </c>
      <c r="G110" s="12">
        <v>0</v>
      </c>
      <c r="H110" s="8">
        <v>0</v>
      </c>
      <c r="I110" s="12">
        <v>0</v>
      </c>
    </row>
    <row r="111" spans="2:9" ht="15" customHeight="1" x14ac:dyDescent="0.2">
      <c r="B111" t="s">
        <v>186</v>
      </c>
      <c r="C111" s="12">
        <v>1</v>
      </c>
      <c r="D111" s="8">
        <v>1.01</v>
      </c>
      <c r="E111" s="12">
        <v>0</v>
      </c>
      <c r="F111" s="8">
        <v>0</v>
      </c>
      <c r="G111" s="12">
        <v>1</v>
      </c>
      <c r="H111" s="8">
        <v>2.78</v>
      </c>
      <c r="I111" s="12">
        <v>0</v>
      </c>
    </row>
    <row r="112" spans="2:9" ht="15" customHeight="1" x14ac:dyDescent="0.2">
      <c r="B112" t="s">
        <v>176</v>
      </c>
      <c r="C112" s="12">
        <v>1</v>
      </c>
      <c r="D112" s="8">
        <v>1.01</v>
      </c>
      <c r="E112" s="12">
        <v>1</v>
      </c>
      <c r="F112" s="8">
        <v>1.64</v>
      </c>
      <c r="G112" s="12">
        <v>0</v>
      </c>
      <c r="H112" s="8">
        <v>0</v>
      </c>
      <c r="I112" s="12">
        <v>0</v>
      </c>
    </row>
    <row r="113" spans="2:9" ht="15" customHeight="1" x14ac:dyDescent="0.2">
      <c r="B113" t="s">
        <v>239</v>
      </c>
      <c r="C113" s="12">
        <v>1</v>
      </c>
      <c r="D113" s="8">
        <v>1.01</v>
      </c>
      <c r="E113" s="12">
        <v>1</v>
      </c>
      <c r="F113" s="8">
        <v>1.64</v>
      </c>
      <c r="G113" s="12">
        <v>0</v>
      </c>
      <c r="H113" s="8">
        <v>0</v>
      </c>
      <c r="I113" s="12">
        <v>0</v>
      </c>
    </row>
    <row r="114" spans="2:9" ht="15" customHeight="1" x14ac:dyDescent="0.2">
      <c r="B114" t="s">
        <v>302</v>
      </c>
      <c r="C114" s="12">
        <v>1</v>
      </c>
      <c r="D114" s="8">
        <v>1.01</v>
      </c>
      <c r="E114" s="12">
        <v>1</v>
      </c>
      <c r="F114" s="8">
        <v>1.64</v>
      </c>
      <c r="G114" s="12">
        <v>0</v>
      </c>
      <c r="H114" s="8">
        <v>0</v>
      </c>
      <c r="I114" s="12">
        <v>0</v>
      </c>
    </row>
    <row r="116" spans="2:9" ht="15" customHeight="1" x14ac:dyDescent="0.2">
      <c r="B116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A514D-D0FE-43DF-994B-92172863CB1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67</v>
      </c>
      <c r="D6" s="8">
        <v>16.38</v>
      </c>
      <c r="E6" s="12">
        <v>28</v>
      </c>
      <c r="F6" s="8">
        <v>11.62</v>
      </c>
      <c r="G6" s="12">
        <v>39</v>
      </c>
      <c r="H6" s="8">
        <v>23.78</v>
      </c>
      <c r="I6" s="12">
        <v>0</v>
      </c>
    </row>
    <row r="7" spans="2:9" ht="15" customHeight="1" x14ac:dyDescent="0.2">
      <c r="B7" t="s">
        <v>62</v>
      </c>
      <c r="C7" s="12">
        <v>46</v>
      </c>
      <c r="D7" s="8">
        <v>11.25</v>
      </c>
      <c r="E7" s="12">
        <v>20</v>
      </c>
      <c r="F7" s="8">
        <v>8.3000000000000007</v>
      </c>
      <c r="G7" s="12">
        <v>26</v>
      </c>
      <c r="H7" s="8">
        <v>15.85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0.24</v>
      </c>
      <c r="E8" s="12">
        <v>0</v>
      </c>
      <c r="F8" s="8">
        <v>0</v>
      </c>
      <c r="G8" s="12">
        <v>1</v>
      </c>
      <c r="H8" s="8">
        <v>0.61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0.98</v>
      </c>
      <c r="E10" s="12">
        <v>1</v>
      </c>
      <c r="F10" s="8">
        <v>0.41</v>
      </c>
      <c r="G10" s="12">
        <v>3</v>
      </c>
      <c r="H10" s="8">
        <v>1.83</v>
      </c>
      <c r="I10" s="12">
        <v>0</v>
      </c>
    </row>
    <row r="11" spans="2:9" ht="15" customHeight="1" x14ac:dyDescent="0.2">
      <c r="B11" t="s">
        <v>66</v>
      </c>
      <c r="C11" s="12">
        <v>93</v>
      </c>
      <c r="D11" s="8">
        <v>22.74</v>
      </c>
      <c r="E11" s="12">
        <v>61</v>
      </c>
      <c r="F11" s="8">
        <v>25.31</v>
      </c>
      <c r="G11" s="12">
        <v>32</v>
      </c>
      <c r="H11" s="8">
        <v>19.510000000000002</v>
      </c>
      <c r="I11" s="12">
        <v>0</v>
      </c>
    </row>
    <row r="12" spans="2:9" ht="15" customHeight="1" x14ac:dyDescent="0.2">
      <c r="B12" t="s">
        <v>67</v>
      </c>
      <c r="C12" s="12">
        <v>7</v>
      </c>
      <c r="D12" s="8">
        <v>1.71</v>
      </c>
      <c r="E12" s="12">
        <v>1</v>
      </c>
      <c r="F12" s="8">
        <v>0.41</v>
      </c>
      <c r="G12" s="12">
        <v>6</v>
      </c>
      <c r="H12" s="8">
        <v>3.66</v>
      </c>
      <c r="I12" s="12">
        <v>0</v>
      </c>
    </row>
    <row r="13" spans="2:9" ht="15" customHeight="1" x14ac:dyDescent="0.2">
      <c r="B13" t="s">
        <v>68</v>
      </c>
      <c r="C13" s="12">
        <v>16</v>
      </c>
      <c r="D13" s="8">
        <v>3.91</v>
      </c>
      <c r="E13" s="12">
        <v>6</v>
      </c>
      <c r="F13" s="8">
        <v>2.4900000000000002</v>
      </c>
      <c r="G13" s="12">
        <v>10</v>
      </c>
      <c r="H13" s="8">
        <v>6.1</v>
      </c>
      <c r="I13" s="12">
        <v>0</v>
      </c>
    </row>
    <row r="14" spans="2:9" ht="15" customHeight="1" x14ac:dyDescent="0.2">
      <c r="B14" t="s">
        <v>69</v>
      </c>
      <c r="C14" s="12">
        <v>21</v>
      </c>
      <c r="D14" s="8">
        <v>5.13</v>
      </c>
      <c r="E14" s="12">
        <v>9</v>
      </c>
      <c r="F14" s="8">
        <v>3.73</v>
      </c>
      <c r="G14" s="12">
        <v>11</v>
      </c>
      <c r="H14" s="8">
        <v>6.71</v>
      </c>
      <c r="I14" s="12">
        <v>0</v>
      </c>
    </row>
    <row r="15" spans="2:9" ht="15" customHeight="1" x14ac:dyDescent="0.2">
      <c r="B15" t="s">
        <v>70</v>
      </c>
      <c r="C15" s="12">
        <v>46</v>
      </c>
      <c r="D15" s="8">
        <v>11.25</v>
      </c>
      <c r="E15" s="12">
        <v>35</v>
      </c>
      <c r="F15" s="8">
        <v>14.52</v>
      </c>
      <c r="G15" s="12">
        <v>11</v>
      </c>
      <c r="H15" s="8">
        <v>6.71</v>
      </c>
      <c r="I15" s="12">
        <v>0</v>
      </c>
    </row>
    <row r="16" spans="2:9" ht="15" customHeight="1" x14ac:dyDescent="0.2">
      <c r="B16" t="s">
        <v>71</v>
      </c>
      <c r="C16" s="12">
        <v>61</v>
      </c>
      <c r="D16" s="8">
        <v>14.91</v>
      </c>
      <c r="E16" s="12">
        <v>50</v>
      </c>
      <c r="F16" s="8">
        <v>20.75</v>
      </c>
      <c r="G16" s="12">
        <v>11</v>
      </c>
      <c r="H16" s="8">
        <v>6.71</v>
      </c>
      <c r="I16" s="12">
        <v>0</v>
      </c>
    </row>
    <row r="17" spans="2:9" ht="15" customHeight="1" x14ac:dyDescent="0.2">
      <c r="B17" t="s">
        <v>72</v>
      </c>
      <c r="C17" s="12">
        <v>15</v>
      </c>
      <c r="D17" s="8">
        <v>3.67</v>
      </c>
      <c r="E17" s="12">
        <v>10</v>
      </c>
      <c r="F17" s="8">
        <v>4.1500000000000004</v>
      </c>
      <c r="G17" s="12">
        <v>3</v>
      </c>
      <c r="H17" s="8">
        <v>1.83</v>
      </c>
      <c r="I17" s="12">
        <v>0</v>
      </c>
    </row>
    <row r="18" spans="2:9" ht="15" customHeight="1" x14ac:dyDescent="0.2">
      <c r="B18" t="s">
        <v>73</v>
      </c>
      <c r="C18" s="12">
        <v>17</v>
      </c>
      <c r="D18" s="8">
        <v>4.16</v>
      </c>
      <c r="E18" s="12">
        <v>9</v>
      </c>
      <c r="F18" s="8">
        <v>3.73</v>
      </c>
      <c r="G18" s="12">
        <v>8</v>
      </c>
      <c r="H18" s="8">
        <v>4.88</v>
      </c>
      <c r="I18" s="12">
        <v>0</v>
      </c>
    </row>
    <row r="19" spans="2:9" ht="15" customHeight="1" x14ac:dyDescent="0.2">
      <c r="B19" t="s">
        <v>74</v>
      </c>
      <c r="C19" s="12">
        <v>15</v>
      </c>
      <c r="D19" s="8">
        <v>3.67</v>
      </c>
      <c r="E19" s="12">
        <v>11</v>
      </c>
      <c r="F19" s="8">
        <v>4.5599999999999996</v>
      </c>
      <c r="G19" s="12">
        <v>3</v>
      </c>
      <c r="H19" s="8">
        <v>1.83</v>
      </c>
      <c r="I19" s="12">
        <v>0</v>
      </c>
    </row>
    <row r="20" spans="2:9" ht="15" customHeight="1" x14ac:dyDescent="0.2">
      <c r="B20" s="9" t="s">
        <v>337</v>
      </c>
      <c r="C20" s="12">
        <f>SUM(LTBL_07466[総数／事業所数])</f>
        <v>409</v>
      </c>
      <c r="E20" s="12">
        <f>SUBTOTAL(109,LTBL_07466[個人／事業所数])</f>
        <v>241</v>
      </c>
      <c r="G20" s="12">
        <f>SUBTOTAL(109,LTBL_07466[法人／事業所数])</f>
        <v>164</v>
      </c>
      <c r="I20" s="12">
        <f>SUBTOTAL(109,LTBL_07466[法人以外の団体／事業所数])</f>
        <v>0</v>
      </c>
    </row>
    <row r="21" spans="2:9" ht="15" customHeight="1" x14ac:dyDescent="0.2">
      <c r="E21" s="11">
        <f>LTBL_07466[[#Totals],[個人／事業所数]]/LTBL_07466[[#Totals],[総数／事業所数]]</f>
        <v>0.58924205378973105</v>
      </c>
      <c r="G21" s="11">
        <f>LTBL_07466[[#Totals],[法人／事業所数]]/LTBL_07466[[#Totals],[総数／事業所数]]</f>
        <v>0.40097799511002447</v>
      </c>
      <c r="I21" s="11">
        <f>LTBL_07466[[#Totals],[法人以外の団体／事業所数]]/LTBL_07466[[#Totals],[総数／事業所数]]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52</v>
      </c>
      <c r="D24" s="8">
        <v>12.71</v>
      </c>
      <c r="E24" s="12">
        <v>47</v>
      </c>
      <c r="F24" s="8">
        <v>19.5</v>
      </c>
      <c r="G24" s="12">
        <v>5</v>
      </c>
      <c r="H24" s="8">
        <v>3.05</v>
      </c>
      <c r="I24" s="12">
        <v>0</v>
      </c>
    </row>
    <row r="25" spans="2:9" ht="15" customHeight="1" x14ac:dyDescent="0.2">
      <c r="B25" t="s">
        <v>91</v>
      </c>
      <c r="C25" s="12">
        <v>37</v>
      </c>
      <c r="D25" s="8">
        <v>9.0500000000000007</v>
      </c>
      <c r="E25" s="12">
        <v>23</v>
      </c>
      <c r="F25" s="8">
        <v>9.5399999999999991</v>
      </c>
      <c r="G25" s="12">
        <v>14</v>
      </c>
      <c r="H25" s="8">
        <v>8.5399999999999991</v>
      </c>
      <c r="I25" s="12">
        <v>0</v>
      </c>
    </row>
    <row r="26" spans="2:9" ht="15" customHeight="1" x14ac:dyDescent="0.2">
      <c r="B26" t="s">
        <v>83</v>
      </c>
      <c r="C26" s="12">
        <v>35</v>
      </c>
      <c r="D26" s="8">
        <v>8.56</v>
      </c>
      <c r="E26" s="12">
        <v>11</v>
      </c>
      <c r="F26" s="8">
        <v>4.5599999999999996</v>
      </c>
      <c r="G26" s="12">
        <v>24</v>
      </c>
      <c r="H26" s="8">
        <v>14.63</v>
      </c>
      <c r="I26" s="12">
        <v>0</v>
      </c>
    </row>
    <row r="27" spans="2:9" ht="15" customHeight="1" x14ac:dyDescent="0.2">
      <c r="B27" t="s">
        <v>96</v>
      </c>
      <c r="C27" s="12">
        <v>34</v>
      </c>
      <c r="D27" s="8">
        <v>8.31</v>
      </c>
      <c r="E27" s="12">
        <v>32</v>
      </c>
      <c r="F27" s="8">
        <v>13.28</v>
      </c>
      <c r="G27" s="12">
        <v>2</v>
      </c>
      <c r="H27" s="8">
        <v>1.22</v>
      </c>
      <c r="I27" s="12">
        <v>0</v>
      </c>
    </row>
    <row r="28" spans="2:9" ht="15" customHeight="1" x14ac:dyDescent="0.2">
      <c r="B28" t="s">
        <v>89</v>
      </c>
      <c r="C28" s="12">
        <v>21</v>
      </c>
      <c r="D28" s="8">
        <v>5.13</v>
      </c>
      <c r="E28" s="12">
        <v>17</v>
      </c>
      <c r="F28" s="8">
        <v>7.05</v>
      </c>
      <c r="G28" s="12">
        <v>4</v>
      </c>
      <c r="H28" s="8">
        <v>2.44</v>
      </c>
      <c r="I28" s="12">
        <v>0</v>
      </c>
    </row>
    <row r="29" spans="2:9" ht="15" customHeight="1" x14ac:dyDescent="0.2">
      <c r="B29" t="s">
        <v>84</v>
      </c>
      <c r="C29" s="12">
        <v>18</v>
      </c>
      <c r="D29" s="8">
        <v>4.4000000000000004</v>
      </c>
      <c r="E29" s="12">
        <v>11</v>
      </c>
      <c r="F29" s="8">
        <v>4.5599999999999996</v>
      </c>
      <c r="G29" s="12">
        <v>7</v>
      </c>
      <c r="H29" s="8">
        <v>4.2699999999999996</v>
      </c>
      <c r="I29" s="12">
        <v>0</v>
      </c>
    </row>
    <row r="30" spans="2:9" ht="15" customHeight="1" x14ac:dyDescent="0.2">
      <c r="B30" t="s">
        <v>99</v>
      </c>
      <c r="C30" s="12">
        <v>15</v>
      </c>
      <c r="D30" s="8">
        <v>3.67</v>
      </c>
      <c r="E30" s="12">
        <v>10</v>
      </c>
      <c r="F30" s="8">
        <v>4.1500000000000004</v>
      </c>
      <c r="G30" s="12">
        <v>3</v>
      </c>
      <c r="H30" s="8">
        <v>1.83</v>
      </c>
      <c r="I30" s="12">
        <v>0</v>
      </c>
    </row>
    <row r="31" spans="2:9" ht="15" customHeight="1" x14ac:dyDescent="0.2">
      <c r="B31" t="s">
        <v>85</v>
      </c>
      <c r="C31" s="12">
        <v>14</v>
      </c>
      <c r="D31" s="8">
        <v>3.42</v>
      </c>
      <c r="E31" s="12">
        <v>6</v>
      </c>
      <c r="F31" s="8">
        <v>2.4900000000000002</v>
      </c>
      <c r="G31" s="12">
        <v>8</v>
      </c>
      <c r="H31" s="8">
        <v>4.88</v>
      </c>
      <c r="I31" s="12">
        <v>0</v>
      </c>
    </row>
    <row r="32" spans="2:9" ht="15" customHeight="1" x14ac:dyDescent="0.2">
      <c r="B32" t="s">
        <v>90</v>
      </c>
      <c r="C32" s="12">
        <v>13</v>
      </c>
      <c r="D32" s="8">
        <v>3.18</v>
      </c>
      <c r="E32" s="12">
        <v>11</v>
      </c>
      <c r="F32" s="8">
        <v>4.5599999999999996</v>
      </c>
      <c r="G32" s="12">
        <v>2</v>
      </c>
      <c r="H32" s="8">
        <v>1.22</v>
      </c>
      <c r="I32" s="12">
        <v>0</v>
      </c>
    </row>
    <row r="33" spans="2:9" ht="15" customHeight="1" x14ac:dyDescent="0.2">
      <c r="B33" t="s">
        <v>94</v>
      </c>
      <c r="C33" s="12">
        <v>13</v>
      </c>
      <c r="D33" s="8">
        <v>3.18</v>
      </c>
      <c r="E33" s="12">
        <v>4</v>
      </c>
      <c r="F33" s="8">
        <v>1.66</v>
      </c>
      <c r="G33" s="12">
        <v>8</v>
      </c>
      <c r="H33" s="8">
        <v>4.88</v>
      </c>
      <c r="I33" s="12">
        <v>0</v>
      </c>
    </row>
    <row r="34" spans="2:9" ht="15" customHeight="1" x14ac:dyDescent="0.2">
      <c r="B34" t="s">
        <v>113</v>
      </c>
      <c r="C34" s="12">
        <v>12</v>
      </c>
      <c r="D34" s="8">
        <v>2.93</v>
      </c>
      <c r="E34" s="12">
        <v>3</v>
      </c>
      <c r="F34" s="8">
        <v>1.24</v>
      </c>
      <c r="G34" s="12">
        <v>9</v>
      </c>
      <c r="H34" s="8">
        <v>5.49</v>
      </c>
      <c r="I34" s="12">
        <v>0</v>
      </c>
    </row>
    <row r="35" spans="2:9" ht="15" customHeight="1" x14ac:dyDescent="0.2">
      <c r="B35" t="s">
        <v>100</v>
      </c>
      <c r="C35" s="12">
        <v>12</v>
      </c>
      <c r="D35" s="8">
        <v>2.93</v>
      </c>
      <c r="E35" s="12">
        <v>9</v>
      </c>
      <c r="F35" s="8">
        <v>3.73</v>
      </c>
      <c r="G35" s="12">
        <v>3</v>
      </c>
      <c r="H35" s="8">
        <v>1.83</v>
      </c>
      <c r="I35" s="12">
        <v>0</v>
      </c>
    </row>
    <row r="36" spans="2:9" ht="15" customHeight="1" x14ac:dyDescent="0.2">
      <c r="B36" t="s">
        <v>92</v>
      </c>
      <c r="C36" s="12">
        <v>11</v>
      </c>
      <c r="D36" s="8">
        <v>2.69</v>
      </c>
      <c r="E36" s="12">
        <v>6</v>
      </c>
      <c r="F36" s="8">
        <v>2.4900000000000002</v>
      </c>
      <c r="G36" s="12">
        <v>5</v>
      </c>
      <c r="H36" s="8">
        <v>3.05</v>
      </c>
      <c r="I36" s="12">
        <v>0</v>
      </c>
    </row>
    <row r="37" spans="2:9" ht="15" customHeight="1" x14ac:dyDescent="0.2">
      <c r="B37" t="s">
        <v>102</v>
      </c>
      <c r="C37" s="12">
        <v>10</v>
      </c>
      <c r="D37" s="8">
        <v>2.44</v>
      </c>
      <c r="E37" s="12">
        <v>8</v>
      </c>
      <c r="F37" s="8">
        <v>3.32</v>
      </c>
      <c r="G37" s="12">
        <v>2</v>
      </c>
      <c r="H37" s="8">
        <v>1.22</v>
      </c>
      <c r="I37" s="12">
        <v>0</v>
      </c>
    </row>
    <row r="38" spans="2:9" ht="15" customHeight="1" x14ac:dyDescent="0.2">
      <c r="B38" t="s">
        <v>93</v>
      </c>
      <c r="C38" s="12">
        <v>8</v>
      </c>
      <c r="D38" s="8">
        <v>1.96</v>
      </c>
      <c r="E38" s="12">
        <v>5</v>
      </c>
      <c r="F38" s="8">
        <v>2.0699999999999998</v>
      </c>
      <c r="G38" s="12">
        <v>3</v>
      </c>
      <c r="H38" s="8">
        <v>1.83</v>
      </c>
      <c r="I38" s="12">
        <v>0</v>
      </c>
    </row>
    <row r="39" spans="2:9" ht="15" customHeight="1" x14ac:dyDescent="0.2">
      <c r="B39" t="s">
        <v>111</v>
      </c>
      <c r="C39" s="12">
        <v>7</v>
      </c>
      <c r="D39" s="8">
        <v>1.71</v>
      </c>
      <c r="E39" s="12">
        <v>5</v>
      </c>
      <c r="F39" s="8">
        <v>2.0699999999999998</v>
      </c>
      <c r="G39" s="12">
        <v>2</v>
      </c>
      <c r="H39" s="8">
        <v>1.22</v>
      </c>
      <c r="I39" s="12">
        <v>0</v>
      </c>
    </row>
    <row r="40" spans="2:9" ht="15" customHeight="1" x14ac:dyDescent="0.2">
      <c r="B40" t="s">
        <v>109</v>
      </c>
      <c r="C40" s="12">
        <v>7</v>
      </c>
      <c r="D40" s="8">
        <v>1.71</v>
      </c>
      <c r="E40" s="12">
        <v>1</v>
      </c>
      <c r="F40" s="8">
        <v>0.41</v>
      </c>
      <c r="G40" s="12">
        <v>6</v>
      </c>
      <c r="H40" s="8">
        <v>3.66</v>
      </c>
      <c r="I40" s="12">
        <v>0</v>
      </c>
    </row>
    <row r="41" spans="2:9" ht="15" customHeight="1" x14ac:dyDescent="0.2">
      <c r="B41" t="s">
        <v>115</v>
      </c>
      <c r="C41" s="12">
        <v>6</v>
      </c>
      <c r="D41" s="8">
        <v>1.47</v>
      </c>
      <c r="E41" s="12">
        <v>4</v>
      </c>
      <c r="F41" s="8">
        <v>1.66</v>
      </c>
      <c r="G41" s="12">
        <v>2</v>
      </c>
      <c r="H41" s="8">
        <v>1.22</v>
      </c>
      <c r="I41" s="12">
        <v>0</v>
      </c>
    </row>
    <row r="42" spans="2:9" ht="15" customHeight="1" x14ac:dyDescent="0.2">
      <c r="B42" t="s">
        <v>88</v>
      </c>
      <c r="C42" s="12">
        <v>6</v>
      </c>
      <c r="D42" s="8">
        <v>1.47</v>
      </c>
      <c r="E42" s="12">
        <v>6</v>
      </c>
      <c r="F42" s="8">
        <v>2.4900000000000002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114</v>
      </c>
      <c r="C43" s="12">
        <v>5</v>
      </c>
      <c r="D43" s="8">
        <v>1.22</v>
      </c>
      <c r="E43" s="12">
        <v>0</v>
      </c>
      <c r="F43" s="8">
        <v>0</v>
      </c>
      <c r="G43" s="12">
        <v>5</v>
      </c>
      <c r="H43" s="8">
        <v>3.05</v>
      </c>
      <c r="I43" s="12">
        <v>0</v>
      </c>
    </row>
    <row r="44" spans="2:9" ht="15" customHeight="1" x14ac:dyDescent="0.2">
      <c r="B44" t="s">
        <v>98</v>
      </c>
      <c r="C44" s="12">
        <v>5</v>
      </c>
      <c r="D44" s="8">
        <v>1.22</v>
      </c>
      <c r="E44" s="12">
        <v>3</v>
      </c>
      <c r="F44" s="8">
        <v>1.24</v>
      </c>
      <c r="G44" s="12">
        <v>2</v>
      </c>
      <c r="H44" s="8">
        <v>1.22</v>
      </c>
      <c r="I44" s="12">
        <v>0</v>
      </c>
    </row>
    <row r="45" spans="2:9" ht="15" customHeight="1" x14ac:dyDescent="0.2">
      <c r="B45" t="s">
        <v>101</v>
      </c>
      <c r="C45" s="12">
        <v>5</v>
      </c>
      <c r="D45" s="8">
        <v>1.22</v>
      </c>
      <c r="E45" s="12">
        <v>0</v>
      </c>
      <c r="F45" s="8">
        <v>0</v>
      </c>
      <c r="G45" s="12">
        <v>5</v>
      </c>
      <c r="H45" s="8">
        <v>3.05</v>
      </c>
      <c r="I45" s="12">
        <v>0</v>
      </c>
    </row>
    <row r="48" spans="2:9" ht="33" customHeight="1" x14ac:dyDescent="0.2">
      <c r="B48" t="s">
        <v>339</v>
      </c>
      <c r="C48" s="10" t="s">
        <v>76</v>
      </c>
      <c r="D48" s="10" t="s">
        <v>77</v>
      </c>
      <c r="E48" s="10" t="s">
        <v>78</v>
      </c>
      <c r="F48" s="10" t="s">
        <v>79</v>
      </c>
      <c r="G48" s="10" t="s">
        <v>80</v>
      </c>
      <c r="H48" s="10" t="s">
        <v>81</v>
      </c>
      <c r="I48" s="10" t="s">
        <v>82</v>
      </c>
    </row>
    <row r="49" spans="2:9" ht="15" customHeight="1" x14ac:dyDescent="0.2">
      <c r="B49" t="s">
        <v>174</v>
      </c>
      <c r="C49" s="12">
        <v>24</v>
      </c>
      <c r="D49" s="8">
        <v>5.87</v>
      </c>
      <c r="E49" s="12">
        <v>23</v>
      </c>
      <c r="F49" s="8">
        <v>9.5399999999999991</v>
      </c>
      <c r="G49" s="12">
        <v>1</v>
      </c>
      <c r="H49" s="8">
        <v>0.61</v>
      </c>
      <c r="I49" s="12">
        <v>0</v>
      </c>
    </row>
    <row r="50" spans="2:9" ht="15" customHeight="1" x14ac:dyDescent="0.2">
      <c r="B50" t="s">
        <v>173</v>
      </c>
      <c r="C50" s="12">
        <v>20</v>
      </c>
      <c r="D50" s="8">
        <v>4.8899999999999997</v>
      </c>
      <c r="E50" s="12">
        <v>19</v>
      </c>
      <c r="F50" s="8">
        <v>7.88</v>
      </c>
      <c r="G50" s="12">
        <v>1</v>
      </c>
      <c r="H50" s="8">
        <v>0.61</v>
      </c>
      <c r="I50" s="12">
        <v>0</v>
      </c>
    </row>
    <row r="51" spans="2:9" ht="15" customHeight="1" x14ac:dyDescent="0.2">
      <c r="B51" t="s">
        <v>159</v>
      </c>
      <c r="C51" s="12">
        <v>12</v>
      </c>
      <c r="D51" s="8">
        <v>2.93</v>
      </c>
      <c r="E51" s="12">
        <v>4</v>
      </c>
      <c r="F51" s="8">
        <v>1.66</v>
      </c>
      <c r="G51" s="12">
        <v>8</v>
      </c>
      <c r="H51" s="8">
        <v>4.88</v>
      </c>
      <c r="I51" s="12">
        <v>0</v>
      </c>
    </row>
    <row r="52" spans="2:9" ht="15" customHeight="1" x14ac:dyDescent="0.2">
      <c r="B52" t="s">
        <v>165</v>
      </c>
      <c r="C52" s="12">
        <v>11</v>
      </c>
      <c r="D52" s="8">
        <v>2.69</v>
      </c>
      <c r="E52" s="12">
        <v>4</v>
      </c>
      <c r="F52" s="8">
        <v>1.66</v>
      </c>
      <c r="G52" s="12">
        <v>7</v>
      </c>
      <c r="H52" s="8">
        <v>4.2699999999999996</v>
      </c>
      <c r="I52" s="12">
        <v>0</v>
      </c>
    </row>
    <row r="53" spans="2:9" ht="15" customHeight="1" x14ac:dyDescent="0.2">
      <c r="B53" t="s">
        <v>171</v>
      </c>
      <c r="C53" s="12">
        <v>11</v>
      </c>
      <c r="D53" s="8">
        <v>2.69</v>
      </c>
      <c r="E53" s="12">
        <v>10</v>
      </c>
      <c r="F53" s="8">
        <v>4.1500000000000004</v>
      </c>
      <c r="G53" s="12">
        <v>1</v>
      </c>
      <c r="H53" s="8">
        <v>0.61</v>
      </c>
      <c r="I53" s="12">
        <v>0</v>
      </c>
    </row>
    <row r="54" spans="2:9" ht="15" customHeight="1" x14ac:dyDescent="0.2">
      <c r="B54" t="s">
        <v>186</v>
      </c>
      <c r="C54" s="12">
        <v>11</v>
      </c>
      <c r="D54" s="8">
        <v>2.69</v>
      </c>
      <c r="E54" s="12">
        <v>2</v>
      </c>
      <c r="F54" s="8">
        <v>0.83</v>
      </c>
      <c r="G54" s="12">
        <v>9</v>
      </c>
      <c r="H54" s="8">
        <v>5.49</v>
      </c>
      <c r="I54" s="12">
        <v>0</v>
      </c>
    </row>
    <row r="55" spans="2:9" ht="15" customHeight="1" x14ac:dyDescent="0.2">
      <c r="B55" t="s">
        <v>160</v>
      </c>
      <c r="C55" s="12">
        <v>10</v>
      </c>
      <c r="D55" s="8">
        <v>2.44</v>
      </c>
      <c r="E55" s="12">
        <v>5</v>
      </c>
      <c r="F55" s="8">
        <v>2.0699999999999998</v>
      </c>
      <c r="G55" s="12">
        <v>5</v>
      </c>
      <c r="H55" s="8">
        <v>3.05</v>
      </c>
      <c r="I55" s="12">
        <v>0</v>
      </c>
    </row>
    <row r="56" spans="2:9" ht="15" customHeight="1" x14ac:dyDescent="0.2">
      <c r="B56" t="s">
        <v>170</v>
      </c>
      <c r="C56" s="12">
        <v>10</v>
      </c>
      <c r="D56" s="8">
        <v>2.44</v>
      </c>
      <c r="E56" s="12">
        <v>10</v>
      </c>
      <c r="F56" s="8">
        <v>4.1500000000000004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177</v>
      </c>
      <c r="C57" s="12">
        <v>10</v>
      </c>
      <c r="D57" s="8">
        <v>2.44</v>
      </c>
      <c r="E57" s="12">
        <v>8</v>
      </c>
      <c r="F57" s="8">
        <v>3.32</v>
      </c>
      <c r="G57" s="12">
        <v>2</v>
      </c>
      <c r="H57" s="8">
        <v>1.22</v>
      </c>
      <c r="I57" s="12">
        <v>0</v>
      </c>
    </row>
    <row r="58" spans="2:9" ht="15" customHeight="1" x14ac:dyDescent="0.2">
      <c r="B58" t="s">
        <v>168</v>
      </c>
      <c r="C58" s="12">
        <v>9</v>
      </c>
      <c r="D58" s="8">
        <v>2.2000000000000002</v>
      </c>
      <c r="E58" s="12">
        <v>6</v>
      </c>
      <c r="F58" s="8">
        <v>2.4900000000000002</v>
      </c>
      <c r="G58" s="12">
        <v>3</v>
      </c>
      <c r="H58" s="8">
        <v>1.83</v>
      </c>
      <c r="I58" s="12">
        <v>0</v>
      </c>
    </row>
    <row r="59" spans="2:9" ht="15" customHeight="1" x14ac:dyDescent="0.2">
      <c r="B59" t="s">
        <v>161</v>
      </c>
      <c r="C59" s="12">
        <v>8</v>
      </c>
      <c r="D59" s="8">
        <v>1.96</v>
      </c>
      <c r="E59" s="12">
        <v>4</v>
      </c>
      <c r="F59" s="8">
        <v>1.66</v>
      </c>
      <c r="G59" s="12">
        <v>4</v>
      </c>
      <c r="H59" s="8">
        <v>2.44</v>
      </c>
      <c r="I59" s="12">
        <v>0</v>
      </c>
    </row>
    <row r="60" spans="2:9" ht="15" customHeight="1" x14ac:dyDescent="0.2">
      <c r="B60" t="s">
        <v>166</v>
      </c>
      <c r="C60" s="12">
        <v>8</v>
      </c>
      <c r="D60" s="8">
        <v>1.96</v>
      </c>
      <c r="E60" s="12">
        <v>7</v>
      </c>
      <c r="F60" s="8">
        <v>2.9</v>
      </c>
      <c r="G60" s="12">
        <v>1</v>
      </c>
      <c r="H60" s="8">
        <v>0.61</v>
      </c>
      <c r="I60" s="12">
        <v>0</v>
      </c>
    </row>
    <row r="61" spans="2:9" ht="15" customHeight="1" x14ac:dyDescent="0.2">
      <c r="B61" t="s">
        <v>169</v>
      </c>
      <c r="C61" s="12">
        <v>8</v>
      </c>
      <c r="D61" s="8">
        <v>1.96</v>
      </c>
      <c r="E61" s="12">
        <v>2</v>
      </c>
      <c r="F61" s="8">
        <v>0.83</v>
      </c>
      <c r="G61" s="12">
        <v>6</v>
      </c>
      <c r="H61" s="8">
        <v>3.66</v>
      </c>
      <c r="I61" s="12">
        <v>0</v>
      </c>
    </row>
    <row r="62" spans="2:9" ht="15" customHeight="1" x14ac:dyDescent="0.2">
      <c r="B62" t="s">
        <v>181</v>
      </c>
      <c r="C62" s="12">
        <v>8</v>
      </c>
      <c r="D62" s="8">
        <v>1.96</v>
      </c>
      <c r="E62" s="12">
        <v>7</v>
      </c>
      <c r="F62" s="8">
        <v>2.9</v>
      </c>
      <c r="G62" s="12">
        <v>1</v>
      </c>
      <c r="H62" s="8">
        <v>0.61</v>
      </c>
      <c r="I62" s="12">
        <v>0</v>
      </c>
    </row>
    <row r="63" spans="2:9" ht="15" customHeight="1" x14ac:dyDescent="0.2">
      <c r="B63" t="s">
        <v>184</v>
      </c>
      <c r="C63" s="12">
        <v>8</v>
      </c>
      <c r="D63" s="8">
        <v>1.96</v>
      </c>
      <c r="E63" s="12">
        <v>6</v>
      </c>
      <c r="F63" s="8">
        <v>2.4900000000000002</v>
      </c>
      <c r="G63" s="12">
        <v>2</v>
      </c>
      <c r="H63" s="8">
        <v>1.22</v>
      </c>
      <c r="I63" s="12">
        <v>0</v>
      </c>
    </row>
    <row r="64" spans="2:9" ht="15" customHeight="1" x14ac:dyDescent="0.2">
      <c r="B64" t="s">
        <v>176</v>
      </c>
      <c r="C64" s="12">
        <v>8</v>
      </c>
      <c r="D64" s="8">
        <v>1.96</v>
      </c>
      <c r="E64" s="12">
        <v>6</v>
      </c>
      <c r="F64" s="8">
        <v>2.4900000000000002</v>
      </c>
      <c r="G64" s="12">
        <v>2</v>
      </c>
      <c r="H64" s="8">
        <v>1.22</v>
      </c>
      <c r="I64" s="12">
        <v>0</v>
      </c>
    </row>
    <row r="65" spans="2:9" ht="15" customHeight="1" x14ac:dyDescent="0.2">
      <c r="B65" t="s">
        <v>158</v>
      </c>
      <c r="C65" s="12">
        <v>7</v>
      </c>
      <c r="D65" s="8">
        <v>1.71</v>
      </c>
      <c r="E65" s="12">
        <v>0</v>
      </c>
      <c r="F65" s="8">
        <v>0</v>
      </c>
      <c r="G65" s="12">
        <v>7</v>
      </c>
      <c r="H65" s="8">
        <v>4.2699999999999996</v>
      </c>
      <c r="I65" s="12">
        <v>0</v>
      </c>
    </row>
    <row r="66" spans="2:9" ht="15" customHeight="1" x14ac:dyDescent="0.2">
      <c r="B66" t="s">
        <v>300</v>
      </c>
      <c r="C66" s="12">
        <v>7</v>
      </c>
      <c r="D66" s="8">
        <v>1.71</v>
      </c>
      <c r="E66" s="12">
        <v>7</v>
      </c>
      <c r="F66" s="8">
        <v>2.9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189</v>
      </c>
      <c r="C67" s="12">
        <v>7</v>
      </c>
      <c r="D67" s="8">
        <v>1.71</v>
      </c>
      <c r="E67" s="12">
        <v>1</v>
      </c>
      <c r="F67" s="8">
        <v>0.41</v>
      </c>
      <c r="G67" s="12">
        <v>6</v>
      </c>
      <c r="H67" s="8">
        <v>3.66</v>
      </c>
      <c r="I67" s="12">
        <v>0</v>
      </c>
    </row>
    <row r="68" spans="2:9" ht="15" customHeight="1" x14ac:dyDescent="0.2">
      <c r="B68" t="s">
        <v>182</v>
      </c>
      <c r="C68" s="12">
        <v>7</v>
      </c>
      <c r="D68" s="8">
        <v>1.71</v>
      </c>
      <c r="E68" s="12">
        <v>4</v>
      </c>
      <c r="F68" s="8">
        <v>1.66</v>
      </c>
      <c r="G68" s="12">
        <v>3</v>
      </c>
      <c r="H68" s="8">
        <v>1.83</v>
      </c>
      <c r="I68" s="12">
        <v>0</v>
      </c>
    </row>
    <row r="70" spans="2:9" ht="15" customHeight="1" x14ac:dyDescent="0.2">
      <c r="B70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FB3A0-DE2C-4FD9-B328-2643ADCD70CA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379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73</v>
      </c>
      <c r="D6" s="8">
        <v>16.37</v>
      </c>
      <c r="E6" s="12">
        <v>37</v>
      </c>
      <c r="F6" s="8">
        <v>12.5</v>
      </c>
      <c r="G6" s="12">
        <v>36</v>
      </c>
      <c r="H6" s="8">
        <v>24.83</v>
      </c>
      <c r="I6" s="12">
        <v>0</v>
      </c>
    </row>
    <row r="7" spans="2:9" ht="15" customHeight="1" x14ac:dyDescent="0.2">
      <c r="B7" t="s">
        <v>62</v>
      </c>
      <c r="C7" s="12">
        <v>46</v>
      </c>
      <c r="D7" s="8">
        <v>10.31</v>
      </c>
      <c r="E7" s="12">
        <v>18</v>
      </c>
      <c r="F7" s="8">
        <v>6.08</v>
      </c>
      <c r="G7" s="12">
        <v>28</v>
      </c>
      <c r="H7" s="8">
        <v>19.309999999999999</v>
      </c>
      <c r="I7" s="12">
        <v>0</v>
      </c>
    </row>
    <row r="8" spans="2:9" ht="15" customHeight="1" x14ac:dyDescent="0.2">
      <c r="B8" t="s">
        <v>63</v>
      </c>
      <c r="C8" s="12">
        <v>4</v>
      </c>
      <c r="D8" s="8">
        <v>0.9</v>
      </c>
      <c r="E8" s="12">
        <v>1</v>
      </c>
      <c r="F8" s="8">
        <v>0.34</v>
      </c>
      <c r="G8" s="12">
        <v>3</v>
      </c>
      <c r="H8" s="8">
        <v>2.0699999999999998</v>
      </c>
      <c r="I8" s="12">
        <v>0</v>
      </c>
    </row>
    <row r="9" spans="2:9" ht="15" customHeight="1" x14ac:dyDescent="0.2">
      <c r="B9" t="s">
        <v>64</v>
      </c>
      <c r="C9" s="12">
        <v>4</v>
      </c>
      <c r="D9" s="8">
        <v>0.9</v>
      </c>
      <c r="E9" s="12">
        <v>1</v>
      </c>
      <c r="F9" s="8">
        <v>0.34</v>
      </c>
      <c r="G9" s="12">
        <v>3</v>
      </c>
      <c r="H9" s="8">
        <v>2.0699999999999998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0.9</v>
      </c>
      <c r="E10" s="12">
        <v>1</v>
      </c>
      <c r="F10" s="8">
        <v>0.34</v>
      </c>
      <c r="G10" s="12">
        <v>3</v>
      </c>
      <c r="H10" s="8">
        <v>2.0699999999999998</v>
      </c>
      <c r="I10" s="12">
        <v>0</v>
      </c>
    </row>
    <row r="11" spans="2:9" ht="15" customHeight="1" x14ac:dyDescent="0.2">
      <c r="B11" t="s">
        <v>66</v>
      </c>
      <c r="C11" s="12">
        <v>106</v>
      </c>
      <c r="D11" s="8">
        <v>23.77</v>
      </c>
      <c r="E11" s="12">
        <v>69</v>
      </c>
      <c r="F11" s="8">
        <v>23.31</v>
      </c>
      <c r="G11" s="12">
        <v>36</v>
      </c>
      <c r="H11" s="8">
        <v>24.83</v>
      </c>
      <c r="I11" s="12">
        <v>1</v>
      </c>
    </row>
    <row r="12" spans="2:9" ht="15" customHeight="1" x14ac:dyDescent="0.2">
      <c r="B12" t="s">
        <v>67</v>
      </c>
      <c r="C12" s="12">
        <v>3</v>
      </c>
      <c r="D12" s="8">
        <v>0.67</v>
      </c>
      <c r="E12" s="12">
        <v>0</v>
      </c>
      <c r="F12" s="8">
        <v>0</v>
      </c>
      <c r="G12" s="12">
        <v>3</v>
      </c>
      <c r="H12" s="8">
        <v>2.0699999999999998</v>
      </c>
      <c r="I12" s="12">
        <v>0</v>
      </c>
    </row>
    <row r="13" spans="2:9" ht="15" customHeight="1" x14ac:dyDescent="0.2">
      <c r="B13" t="s">
        <v>68</v>
      </c>
      <c r="C13" s="12">
        <v>32</v>
      </c>
      <c r="D13" s="8">
        <v>7.17</v>
      </c>
      <c r="E13" s="12">
        <v>24</v>
      </c>
      <c r="F13" s="8">
        <v>8.11</v>
      </c>
      <c r="G13" s="12">
        <v>8</v>
      </c>
      <c r="H13" s="8">
        <v>5.52</v>
      </c>
      <c r="I13" s="12">
        <v>0</v>
      </c>
    </row>
    <row r="14" spans="2:9" ht="15" customHeight="1" x14ac:dyDescent="0.2">
      <c r="B14" t="s">
        <v>69</v>
      </c>
      <c r="C14" s="12">
        <v>8</v>
      </c>
      <c r="D14" s="8">
        <v>1.79</v>
      </c>
      <c r="E14" s="12">
        <v>6</v>
      </c>
      <c r="F14" s="8">
        <v>2.0299999999999998</v>
      </c>
      <c r="G14" s="12">
        <v>2</v>
      </c>
      <c r="H14" s="8">
        <v>1.38</v>
      </c>
      <c r="I14" s="12">
        <v>0</v>
      </c>
    </row>
    <row r="15" spans="2:9" ht="15" customHeight="1" x14ac:dyDescent="0.2">
      <c r="B15" t="s">
        <v>70</v>
      </c>
      <c r="C15" s="12">
        <v>67</v>
      </c>
      <c r="D15" s="8">
        <v>15.02</v>
      </c>
      <c r="E15" s="12">
        <v>58</v>
      </c>
      <c r="F15" s="8">
        <v>19.59</v>
      </c>
      <c r="G15" s="12">
        <v>8</v>
      </c>
      <c r="H15" s="8">
        <v>5.52</v>
      </c>
      <c r="I15" s="12">
        <v>0</v>
      </c>
    </row>
    <row r="16" spans="2:9" ht="15" customHeight="1" x14ac:dyDescent="0.2">
      <c r="B16" t="s">
        <v>71</v>
      </c>
      <c r="C16" s="12">
        <v>64</v>
      </c>
      <c r="D16" s="8">
        <v>14.35</v>
      </c>
      <c r="E16" s="12">
        <v>55</v>
      </c>
      <c r="F16" s="8">
        <v>18.579999999999998</v>
      </c>
      <c r="G16" s="12">
        <v>7</v>
      </c>
      <c r="H16" s="8">
        <v>4.83</v>
      </c>
      <c r="I16" s="12">
        <v>0</v>
      </c>
    </row>
    <row r="17" spans="2:9" ht="15" customHeight="1" x14ac:dyDescent="0.2">
      <c r="B17" t="s">
        <v>72</v>
      </c>
      <c r="C17" s="12">
        <v>11</v>
      </c>
      <c r="D17" s="8">
        <v>2.4700000000000002</v>
      </c>
      <c r="E17" s="12">
        <v>7</v>
      </c>
      <c r="F17" s="8">
        <v>2.36</v>
      </c>
      <c r="G17" s="12">
        <v>4</v>
      </c>
      <c r="H17" s="8">
        <v>2.76</v>
      </c>
      <c r="I17" s="12">
        <v>0</v>
      </c>
    </row>
    <row r="18" spans="2:9" ht="15" customHeight="1" x14ac:dyDescent="0.2">
      <c r="B18" t="s">
        <v>73</v>
      </c>
      <c r="C18" s="12">
        <v>14</v>
      </c>
      <c r="D18" s="8">
        <v>3.14</v>
      </c>
      <c r="E18" s="12">
        <v>11</v>
      </c>
      <c r="F18" s="8">
        <v>3.72</v>
      </c>
      <c r="G18" s="12">
        <v>2</v>
      </c>
      <c r="H18" s="8">
        <v>1.38</v>
      </c>
      <c r="I18" s="12">
        <v>0</v>
      </c>
    </row>
    <row r="19" spans="2:9" ht="15" customHeight="1" x14ac:dyDescent="0.2">
      <c r="B19" t="s">
        <v>74</v>
      </c>
      <c r="C19" s="12">
        <v>10</v>
      </c>
      <c r="D19" s="8">
        <v>2.2400000000000002</v>
      </c>
      <c r="E19" s="12">
        <v>8</v>
      </c>
      <c r="F19" s="8">
        <v>2.7</v>
      </c>
      <c r="G19" s="12">
        <v>2</v>
      </c>
      <c r="H19" s="8">
        <v>1.38</v>
      </c>
      <c r="I19" s="12">
        <v>0</v>
      </c>
    </row>
    <row r="20" spans="2:9" ht="15" customHeight="1" x14ac:dyDescent="0.2">
      <c r="B20" s="9" t="s">
        <v>337</v>
      </c>
      <c r="C20" s="12">
        <f>SUM(LTBL_07481[総数／事業所数])</f>
        <v>446</v>
      </c>
      <c r="E20" s="12">
        <f>SUBTOTAL(109,LTBL_07481[個人／事業所数])</f>
        <v>296</v>
      </c>
      <c r="G20" s="12">
        <f>SUBTOTAL(109,LTBL_07481[法人／事業所数])</f>
        <v>145</v>
      </c>
      <c r="I20" s="12">
        <f>SUBTOTAL(109,LTBL_07481[法人以外の団体／事業所数])</f>
        <v>1</v>
      </c>
    </row>
    <row r="21" spans="2:9" ht="15" customHeight="1" x14ac:dyDescent="0.2">
      <c r="E21" s="11">
        <f>LTBL_07481[[#Totals],[個人／事業所数]]/LTBL_07481[[#Totals],[総数／事業所数]]</f>
        <v>0.66367713004484308</v>
      </c>
      <c r="G21" s="11">
        <f>LTBL_07481[[#Totals],[法人／事業所数]]/LTBL_07481[[#Totals],[総数／事業所数]]</f>
        <v>0.32511210762331838</v>
      </c>
      <c r="I21" s="11">
        <f>LTBL_07481[[#Totals],[法人以外の団体／事業所数]]/LTBL_07481[[#Totals],[総数／事業所数]]</f>
        <v>2.242152466367713E-3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58</v>
      </c>
      <c r="D24" s="8">
        <v>13</v>
      </c>
      <c r="E24" s="12">
        <v>54</v>
      </c>
      <c r="F24" s="8">
        <v>18.239999999999998</v>
      </c>
      <c r="G24" s="12">
        <v>4</v>
      </c>
      <c r="H24" s="8">
        <v>2.76</v>
      </c>
      <c r="I24" s="12">
        <v>0</v>
      </c>
    </row>
    <row r="25" spans="2:9" ht="15" customHeight="1" x14ac:dyDescent="0.2">
      <c r="B25" t="s">
        <v>97</v>
      </c>
      <c r="C25" s="12">
        <v>56</v>
      </c>
      <c r="D25" s="8">
        <v>12.56</v>
      </c>
      <c r="E25" s="12">
        <v>52</v>
      </c>
      <c r="F25" s="8">
        <v>17.57</v>
      </c>
      <c r="G25" s="12">
        <v>4</v>
      </c>
      <c r="H25" s="8">
        <v>2.76</v>
      </c>
      <c r="I25" s="12">
        <v>0</v>
      </c>
    </row>
    <row r="26" spans="2:9" ht="15" customHeight="1" x14ac:dyDescent="0.2">
      <c r="B26" t="s">
        <v>91</v>
      </c>
      <c r="C26" s="12">
        <v>36</v>
      </c>
      <c r="D26" s="8">
        <v>8.07</v>
      </c>
      <c r="E26" s="12">
        <v>20</v>
      </c>
      <c r="F26" s="8">
        <v>6.76</v>
      </c>
      <c r="G26" s="12">
        <v>16</v>
      </c>
      <c r="H26" s="8">
        <v>11.03</v>
      </c>
      <c r="I26" s="12">
        <v>0</v>
      </c>
    </row>
    <row r="27" spans="2:9" ht="15" customHeight="1" x14ac:dyDescent="0.2">
      <c r="B27" t="s">
        <v>84</v>
      </c>
      <c r="C27" s="12">
        <v>31</v>
      </c>
      <c r="D27" s="8">
        <v>6.95</v>
      </c>
      <c r="E27" s="12">
        <v>21</v>
      </c>
      <c r="F27" s="8">
        <v>7.09</v>
      </c>
      <c r="G27" s="12">
        <v>10</v>
      </c>
      <c r="H27" s="8">
        <v>6.9</v>
      </c>
      <c r="I27" s="12">
        <v>0</v>
      </c>
    </row>
    <row r="28" spans="2:9" ht="15" customHeight="1" x14ac:dyDescent="0.2">
      <c r="B28" t="s">
        <v>89</v>
      </c>
      <c r="C28" s="12">
        <v>31</v>
      </c>
      <c r="D28" s="8">
        <v>6.95</v>
      </c>
      <c r="E28" s="12">
        <v>28</v>
      </c>
      <c r="F28" s="8">
        <v>9.4600000000000009</v>
      </c>
      <c r="G28" s="12">
        <v>2</v>
      </c>
      <c r="H28" s="8">
        <v>1.38</v>
      </c>
      <c r="I28" s="12">
        <v>1</v>
      </c>
    </row>
    <row r="29" spans="2:9" ht="15" customHeight="1" x14ac:dyDescent="0.2">
      <c r="B29" t="s">
        <v>83</v>
      </c>
      <c r="C29" s="12">
        <v>28</v>
      </c>
      <c r="D29" s="8">
        <v>6.28</v>
      </c>
      <c r="E29" s="12">
        <v>10</v>
      </c>
      <c r="F29" s="8">
        <v>3.38</v>
      </c>
      <c r="G29" s="12">
        <v>18</v>
      </c>
      <c r="H29" s="8">
        <v>12.41</v>
      </c>
      <c r="I29" s="12">
        <v>0</v>
      </c>
    </row>
    <row r="30" spans="2:9" ht="15" customHeight="1" x14ac:dyDescent="0.2">
      <c r="B30" t="s">
        <v>92</v>
      </c>
      <c r="C30" s="12">
        <v>27</v>
      </c>
      <c r="D30" s="8">
        <v>6.05</v>
      </c>
      <c r="E30" s="12">
        <v>21</v>
      </c>
      <c r="F30" s="8">
        <v>7.09</v>
      </c>
      <c r="G30" s="12">
        <v>6</v>
      </c>
      <c r="H30" s="8">
        <v>4.1399999999999997</v>
      </c>
      <c r="I30" s="12">
        <v>0</v>
      </c>
    </row>
    <row r="31" spans="2:9" ht="15" customHeight="1" x14ac:dyDescent="0.2">
      <c r="B31" t="s">
        <v>85</v>
      </c>
      <c r="C31" s="12">
        <v>14</v>
      </c>
      <c r="D31" s="8">
        <v>3.14</v>
      </c>
      <c r="E31" s="12">
        <v>6</v>
      </c>
      <c r="F31" s="8">
        <v>2.0299999999999998</v>
      </c>
      <c r="G31" s="12">
        <v>8</v>
      </c>
      <c r="H31" s="8">
        <v>5.52</v>
      </c>
      <c r="I31" s="12">
        <v>0</v>
      </c>
    </row>
    <row r="32" spans="2:9" ht="15" customHeight="1" x14ac:dyDescent="0.2">
      <c r="B32" t="s">
        <v>100</v>
      </c>
      <c r="C32" s="12">
        <v>13</v>
      </c>
      <c r="D32" s="8">
        <v>2.91</v>
      </c>
      <c r="E32" s="12">
        <v>11</v>
      </c>
      <c r="F32" s="8">
        <v>3.72</v>
      </c>
      <c r="G32" s="12">
        <v>2</v>
      </c>
      <c r="H32" s="8">
        <v>1.38</v>
      </c>
      <c r="I32" s="12">
        <v>0</v>
      </c>
    </row>
    <row r="33" spans="2:9" ht="15" customHeight="1" x14ac:dyDescent="0.2">
      <c r="B33" t="s">
        <v>111</v>
      </c>
      <c r="C33" s="12">
        <v>12</v>
      </c>
      <c r="D33" s="8">
        <v>2.69</v>
      </c>
      <c r="E33" s="12">
        <v>8</v>
      </c>
      <c r="F33" s="8">
        <v>2.7</v>
      </c>
      <c r="G33" s="12">
        <v>4</v>
      </c>
      <c r="H33" s="8">
        <v>2.76</v>
      </c>
      <c r="I33" s="12">
        <v>0</v>
      </c>
    </row>
    <row r="34" spans="2:9" ht="15" customHeight="1" x14ac:dyDescent="0.2">
      <c r="B34" t="s">
        <v>90</v>
      </c>
      <c r="C34" s="12">
        <v>12</v>
      </c>
      <c r="D34" s="8">
        <v>2.69</v>
      </c>
      <c r="E34" s="12">
        <v>8</v>
      </c>
      <c r="F34" s="8">
        <v>2.7</v>
      </c>
      <c r="G34" s="12">
        <v>4</v>
      </c>
      <c r="H34" s="8">
        <v>2.76</v>
      </c>
      <c r="I34" s="12">
        <v>0</v>
      </c>
    </row>
    <row r="35" spans="2:9" ht="15" customHeight="1" x14ac:dyDescent="0.2">
      <c r="B35" t="s">
        <v>88</v>
      </c>
      <c r="C35" s="12">
        <v>11</v>
      </c>
      <c r="D35" s="8">
        <v>2.4700000000000002</v>
      </c>
      <c r="E35" s="12">
        <v>9</v>
      </c>
      <c r="F35" s="8">
        <v>3.04</v>
      </c>
      <c r="G35" s="12">
        <v>2</v>
      </c>
      <c r="H35" s="8">
        <v>1.38</v>
      </c>
      <c r="I35" s="12">
        <v>0</v>
      </c>
    </row>
    <row r="36" spans="2:9" ht="15" customHeight="1" x14ac:dyDescent="0.2">
      <c r="B36" t="s">
        <v>99</v>
      </c>
      <c r="C36" s="12">
        <v>11</v>
      </c>
      <c r="D36" s="8">
        <v>2.4700000000000002</v>
      </c>
      <c r="E36" s="12">
        <v>7</v>
      </c>
      <c r="F36" s="8">
        <v>2.36</v>
      </c>
      <c r="G36" s="12">
        <v>4</v>
      </c>
      <c r="H36" s="8">
        <v>2.76</v>
      </c>
      <c r="I36" s="12">
        <v>0</v>
      </c>
    </row>
    <row r="37" spans="2:9" ht="15" customHeight="1" x14ac:dyDescent="0.2">
      <c r="B37" t="s">
        <v>110</v>
      </c>
      <c r="C37" s="12">
        <v>9</v>
      </c>
      <c r="D37" s="8">
        <v>2.02</v>
      </c>
      <c r="E37" s="12">
        <v>4</v>
      </c>
      <c r="F37" s="8">
        <v>1.35</v>
      </c>
      <c r="G37" s="12">
        <v>5</v>
      </c>
      <c r="H37" s="8">
        <v>3.45</v>
      </c>
      <c r="I37" s="12">
        <v>0</v>
      </c>
    </row>
    <row r="38" spans="2:9" ht="15" customHeight="1" x14ac:dyDescent="0.2">
      <c r="B38" t="s">
        <v>102</v>
      </c>
      <c r="C38" s="12">
        <v>9</v>
      </c>
      <c r="D38" s="8">
        <v>2.02</v>
      </c>
      <c r="E38" s="12">
        <v>8</v>
      </c>
      <c r="F38" s="8">
        <v>2.7</v>
      </c>
      <c r="G38" s="12">
        <v>1</v>
      </c>
      <c r="H38" s="8">
        <v>0.69</v>
      </c>
      <c r="I38" s="12">
        <v>0</v>
      </c>
    </row>
    <row r="39" spans="2:9" ht="15" customHeight="1" x14ac:dyDescent="0.2">
      <c r="B39" t="s">
        <v>98</v>
      </c>
      <c r="C39" s="12">
        <v>6</v>
      </c>
      <c r="D39" s="8">
        <v>1.35</v>
      </c>
      <c r="E39" s="12">
        <v>3</v>
      </c>
      <c r="F39" s="8">
        <v>1.01</v>
      </c>
      <c r="G39" s="12">
        <v>2</v>
      </c>
      <c r="H39" s="8">
        <v>1.38</v>
      </c>
      <c r="I39" s="12">
        <v>0</v>
      </c>
    </row>
    <row r="40" spans="2:9" ht="15" customHeight="1" x14ac:dyDescent="0.2">
      <c r="B40" t="s">
        <v>113</v>
      </c>
      <c r="C40" s="12">
        <v>5</v>
      </c>
      <c r="D40" s="8">
        <v>1.1200000000000001</v>
      </c>
      <c r="E40" s="12">
        <v>3</v>
      </c>
      <c r="F40" s="8">
        <v>1.01</v>
      </c>
      <c r="G40" s="12">
        <v>1</v>
      </c>
      <c r="H40" s="8">
        <v>0.69</v>
      </c>
      <c r="I40" s="12">
        <v>0</v>
      </c>
    </row>
    <row r="41" spans="2:9" ht="15" customHeight="1" x14ac:dyDescent="0.2">
      <c r="B41" t="s">
        <v>112</v>
      </c>
      <c r="C41" s="12">
        <v>4</v>
      </c>
      <c r="D41" s="8">
        <v>0.9</v>
      </c>
      <c r="E41" s="12">
        <v>0</v>
      </c>
      <c r="F41" s="8">
        <v>0</v>
      </c>
      <c r="G41" s="12">
        <v>4</v>
      </c>
      <c r="H41" s="8">
        <v>2.76</v>
      </c>
      <c r="I41" s="12">
        <v>0</v>
      </c>
    </row>
    <row r="42" spans="2:9" ht="15" customHeight="1" x14ac:dyDescent="0.2">
      <c r="B42" t="s">
        <v>86</v>
      </c>
      <c r="C42" s="12">
        <v>4</v>
      </c>
      <c r="D42" s="8">
        <v>0.9</v>
      </c>
      <c r="E42" s="12">
        <v>3</v>
      </c>
      <c r="F42" s="8">
        <v>1.01</v>
      </c>
      <c r="G42" s="12">
        <v>1</v>
      </c>
      <c r="H42" s="8">
        <v>0.69</v>
      </c>
      <c r="I42" s="12">
        <v>0</v>
      </c>
    </row>
    <row r="43" spans="2:9" ht="15" customHeight="1" x14ac:dyDescent="0.2">
      <c r="B43" t="s">
        <v>87</v>
      </c>
      <c r="C43" s="12">
        <v>4</v>
      </c>
      <c r="D43" s="8">
        <v>0.9</v>
      </c>
      <c r="E43" s="12">
        <v>0</v>
      </c>
      <c r="F43" s="8">
        <v>0</v>
      </c>
      <c r="G43" s="12">
        <v>4</v>
      </c>
      <c r="H43" s="8">
        <v>2.76</v>
      </c>
      <c r="I43" s="12">
        <v>0</v>
      </c>
    </row>
    <row r="44" spans="2:9" ht="15" customHeight="1" x14ac:dyDescent="0.2">
      <c r="B44" t="s">
        <v>104</v>
      </c>
      <c r="C44" s="12">
        <v>4</v>
      </c>
      <c r="D44" s="8">
        <v>0.9</v>
      </c>
      <c r="E44" s="12">
        <v>3</v>
      </c>
      <c r="F44" s="8">
        <v>1.01</v>
      </c>
      <c r="G44" s="12">
        <v>1</v>
      </c>
      <c r="H44" s="8">
        <v>0.69</v>
      </c>
      <c r="I44" s="12">
        <v>0</v>
      </c>
    </row>
    <row r="45" spans="2:9" ht="15" customHeight="1" x14ac:dyDescent="0.2">
      <c r="B45" t="s">
        <v>93</v>
      </c>
      <c r="C45" s="12">
        <v>4</v>
      </c>
      <c r="D45" s="8">
        <v>0.9</v>
      </c>
      <c r="E45" s="12">
        <v>4</v>
      </c>
      <c r="F45" s="8">
        <v>1.35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94</v>
      </c>
      <c r="C46" s="12">
        <v>4</v>
      </c>
      <c r="D46" s="8">
        <v>0.9</v>
      </c>
      <c r="E46" s="12">
        <v>2</v>
      </c>
      <c r="F46" s="8">
        <v>0.68</v>
      </c>
      <c r="G46" s="12">
        <v>2</v>
      </c>
      <c r="H46" s="8">
        <v>1.38</v>
      </c>
      <c r="I46" s="12">
        <v>0</v>
      </c>
    </row>
    <row r="47" spans="2:9" ht="15" customHeight="1" x14ac:dyDescent="0.2">
      <c r="B47" t="s">
        <v>95</v>
      </c>
      <c r="C47" s="12">
        <v>4</v>
      </c>
      <c r="D47" s="8">
        <v>0.9</v>
      </c>
      <c r="E47" s="12">
        <v>1</v>
      </c>
      <c r="F47" s="8">
        <v>0.34</v>
      </c>
      <c r="G47" s="12">
        <v>3</v>
      </c>
      <c r="H47" s="8">
        <v>2.0699999999999998</v>
      </c>
      <c r="I47" s="12">
        <v>0</v>
      </c>
    </row>
    <row r="50" spans="2:9" ht="33" customHeight="1" x14ac:dyDescent="0.2">
      <c r="B50" t="s">
        <v>339</v>
      </c>
      <c r="C50" s="10" t="s">
        <v>76</v>
      </c>
      <c r="D50" s="10" t="s">
        <v>77</v>
      </c>
      <c r="E50" s="10" t="s">
        <v>78</v>
      </c>
      <c r="F50" s="10" t="s">
        <v>79</v>
      </c>
      <c r="G50" s="10" t="s">
        <v>80</v>
      </c>
      <c r="H50" s="10" t="s">
        <v>81</v>
      </c>
      <c r="I50" s="10" t="s">
        <v>82</v>
      </c>
    </row>
    <row r="51" spans="2:9" ht="15" customHeight="1" x14ac:dyDescent="0.2">
      <c r="B51" t="s">
        <v>174</v>
      </c>
      <c r="C51" s="12">
        <v>34</v>
      </c>
      <c r="D51" s="8">
        <v>7.62</v>
      </c>
      <c r="E51" s="12">
        <v>31</v>
      </c>
      <c r="F51" s="8">
        <v>10.47</v>
      </c>
      <c r="G51" s="12">
        <v>3</v>
      </c>
      <c r="H51" s="8">
        <v>2.0699999999999998</v>
      </c>
      <c r="I51" s="12">
        <v>0</v>
      </c>
    </row>
    <row r="52" spans="2:9" ht="15" customHeight="1" x14ac:dyDescent="0.2">
      <c r="B52" t="s">
        <v>168</v>
      </c>
      <c r="C52" s="12">
        <v>21</v>
      </c>
      <c r="D52" s="8">
        <v>4.71</v>
      </c>
      <c r="E52" s="12">
        <v>19</v>
      </c>
      <c r="F52" s="8">
        <v>6.42</v>
      </c>
      <c r="G52" s="12">
        <v>2</v>
      </c>
      <c r="H52" s="8">
        <v>1.38</v>
      </c>
      <c r="I52" s="12">
        <v>0</v>
      </c>
    </row>
    <row r="53" spans="2:9" ht="15" customHeight="1" x14ac:dyDescent="0.2">
      <c r="B53" t="s">
        <v>170</v>
      </c>
      <c r="C53" s="12">
        <v>20</v>
      </c>
      <c r="D53" s="8">
        <v>4.4800000000000004</v>
      </c>
      <c r="E53" s="12">
        <v>17</v>
      </c>
      <c r="F53" s="8">
        <v>5.74</v>
      </c>
      <c r="G53" s="12">
        <v>3</v>
      </c>
      <c r="H53" s="8">
        <v>2.0699999999999998</v>
      </c>
      <c r="I53" s="12">
        <v>0</v>
      </c>
    </row>
    <row r="54" spans="2:9" ht="15" customHeight="1" x14ac:dyDescent="0.2">
      <c r="B54" t="s">
        <v>173</v>
      </c>
      <c r="C54" s="12">
        <v>19</v>
      </c>
      <c r="D54" s="8">
        <v>4.26</v>
      </c>
      <c r="E54" s="12">
        <v>19</v>
      </c>
      <c r="F54" s="8">
        <v>6.42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160</v>
      </c>
      <c r="C55" s="12">
        <v>16</v>
      </c>
      <c r="D55" s="8">
        <v>3.59</v>
      </c>
      <c r="E55" s="12">
        <v>7</v>
      </c>
      <c r="F55" s="8">
        <v>2.36</v>
      </c>
      <c r="G55" s="12">
        <v>9</v>
      </c>
      <c r="H55" s="8">
        <v>6.21</v>
      </c>
      <c r="I55" s="12">
        <v>0</v>
      </c>
    </row>
    <row r="56" spans="2:9" ht="15" customHeight="1" x14ac:dyDescent="0.2">
      <c r="B56" t="s">
        <v>172</v>
      </c>
      <c r="C56" s="12">
        <v>10</v>
      </c>
      <c r="D56" s="8">
        <v>2.2400000000000002</v>
      </c>
      <c r="E56" s="12">
        <v>10</v>
      </c>
      <c r="F56" s="8">
        <v>3.38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289</v>
      </c>
      <c r="C57" s="12">
        <v>9</v>
      </c>
      <c r="D57" s="8">
        <v>2.02</v>
      </c>
      <c r="E57" s="12">
        <v>6</v>
      </c>
      <c r="F57" s="8">
        <v>2.0299999999999998</v>
      </c>
      <c r="G57" s="12">
        <v>3</v>
      </c>
      <c r="H57" s="8">
        <v>2.0699999999999998</v>
      </c>
      <c r="I57" s="12">
        <v>0</v>
      </c>
    </row>
    <row r="58" spans="2:9" ht="15" customHeight="1" x14ac:dyDescent="0.2">
      <c r="B58" t="s">
        <v>163</v>
      </c>
      <c r="C58" s="12">
        <v>9</v>
      </c>
      <c r="D58" s="8">
        <v>2.02</v>
      </c>
      <c r="E58" s="12">
        <v>8</v>
      </c>
      <c r="F58" s="8">
        <v>2.7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166</v>
      </c>
      <c r="C59" s="12">
        <v>9</v>
      </c>
      <c r="D59" s="8">
        <v>2.02</v>
      </c>
      <c r="E59" s="12">
        <v>7</v>
      </c>
      <c r="F59" s="8">
        <v>2.36</v>
      </c>
      <c r="G59" s="12">
        <v>2</v>
      </c>
      <c r="H59" s="8">
        <v>1.38</v>
      </c>
      <c r="I59" s="12">
        <v>0</v>
      </c>
    </row>
    <row r="60" spans="2:9" ht="15" customHeight="1" x14ac:dyDescent="0.2">
      <c r="B60" t="s">
        <v>171</v>
      </c>
      <c r="C60" s="12">
        <v>9</v>
      </c>
      <c r="D60" s="8">
        <v>2.02</v>
      </c>
      <c r="E60" s="12">
        <v>9</v>
      </c>
      <c r="F60" s="8">
        <v>3.04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176</v>
      </c>
      <c r="C61" s="12">
        <v>9</v>
      </c>
      <c r="D61" s="8">
        <v>2.02</v>
      </c>
      <c r="E61" s="12">
        <v>9</v>
      </c>
      <c r="F61" s="8">
        <v>3.04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177</v>
      </c>
      <c r="C62" s="12">
        <v>9</v>
      </c>
      <c r="D62" s="8">
        <v>2.02</v>
      </c>
      <c r="E62" s="12">
        <v>8</v>
      </c>
      <c r="F62" s="8">
        <v>2.7</v>
      </c>
      <c r="G62" s="12">
        <v>1</v>
      </c>
      <c r="H62" s="8">
        <v>0.69</v>
      </c>
      <c r="I62" s="12">
        <v>0</v>
      </c>
    </row>
    <row r="63" spans="2:9" ht="15" customHeight="1" x14ac:dyDescent="0.2">
      <c r="B63" t="s">
        <v>162</v>
      </c>
      <c r="C63" s="12">
        <v>8</v>
      </c>
      <c r="D63" s="8">
        <v>1.79</v>
      </c>
      <c r="E63" s="12">
        <v>3</v>
      </c>
      <c r="F63" s="8">
        <v>1.01</v>
      </c>
      <c r="G63" s="12">
        <v>5</v>
      </c>
      <c r="H63" s="8">
        <v>3.45</v>
      </c>
      <c r="I63" s="12">
        <v>0</v>
      </c>
    </row>
    <row r="64" spans="2:9" ht="15" customHeight="1" x14ac:dyDescent="0.2">
      <c r="B64" t="s">
        <v>178</v>
      </c>
      <c r="C64" s="12">
        <v>8</v>
      </c>
      <c r="D64" s="8">
        <v>1.79</v>
      </c>
      <c r="E64" s="12">
        <v>7</v>
      </c>
      <c r="F64" s="8">
        <v>2.36</v>
      </c>
      <c r="G64" s="12">
        <v>1</v>
      </c>
      <c r="H64" s="8">
        <v>0.69</v>
      </c>
      <c r="I64" s="12">
        <v>0</v>
      </c>
    </row>
    <row r="65" spans="2:9" ht="15" customHeight="1" x14ac:dyDescent="0.2">
      <c r="B65" t="s">
        <v>181</v>
      </c>
      <c r="C65" s="12">
        <v>8</v>
      </c>
      <c r="D65" s="8">
        <v>1.79</v>
      </c>
      <c r="E65" s="12">
        <v>7</v>
      </c>
      <c r="F65" s="8">
        <v>2.36</v>
      </c>
      <c r="G65" s="12">
        <v>1</v>
      </c>
      <c r="H65" s="8">
        <v>0.69</v>
      </c>
      <c r="I65" s="12">
        <v>0</v>
      </c>
    </row>
    <row r="66" spans="2:9" ht="15" customHeight="1" x14ac:dyDescent="0.2">
      <c r="B66" t="s">
        <v>158</v>
      </c>
      <c r="C66" s="12">
        <v>7</v>
      </c>
      <c r="D66" s="8">
        <v>1.57</v>
      </c>
      <c r="E66" s="12">
        <v>0</v>
      </c>
      <c r="F66" s="8">
        <v>0</v>
      </c>
      <c r="G66" s="12">
        <v>7</v>
      </c>
      <c r="H66" s="8">
        <v>4.83</v>
      </c>
      <c r="I66" s="12">
        <v>0</v>
      </c>
    </row>
    <row r="67" spans="2:9" ht="15" customHeight="1" x14ac:dyDescent="0.2">
      <c r="B67" t="s">
        <v>199</v>
      </c>
      <c r="C67" s="12">
        <v>7</v>
      </c>
      <c r="D67" s="8">
        <v>1.57</v>
      </c>
      <c r="E67" s="12">
        <v>5</v>
      </c>
      <c r="F67" s="8">
        <v>1.69</v>
      </c>
      <c r="G67" s="12">
        <v>2</v>
      </c>
      <c r="H67" s="8">
        <v>1.38</v>
      </c>
      <c r="I67" s="12">
        <v>0</v>
      </c>
    </row>
    <row r="68" spans="2:9" ht="15" customHeight="1" x14ac:dyDescent="0.2">
      <c r="B68" t="s">
        <v>191</v>
      </c>
      <c r="C68" s="12">
        <v>7</v>
      </c>
      <c r="D68" s="8">
        <v>1.57</v>
      </c>
      <c r="E68" s="12">
        <v>7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164</v>
      </c>
      <c r="C69" s="12">
        <v>7</v>
      </c>
      <c r="D69" s="8">
        <v>1.57</v>
      </c>
      <c r="E69" s="12">
        <v>3</v>
      </c>
      <c r="F69" s="8">
        <v>1.01</v>
      </c>
      <c r="G69" s="12">
        <v>4</v>
      </c>
      <c r="H69" s="8">
        <v>2.76</v>
      </c>
      <c r="I69" s="12">
        <v>0</v>
      </c>
    </row>
    <row r="70" spans="2:9" ht="15" customHeight="1" x14ac:dyDescent="0.2">
      <c r="B70" t="s">
        <v>175</v>
      </c>
      <c r="C70" s="12">
        <v>7</v>
      </c>
      <c r="D70" s="8">
        <v>1.57</v>
      </c>
      <c r="E70" s="12">
        <v>4</v>
      </c>
      <c r="F70" s="8">
        <v>1.35</v>
      </c>
      <c r="G70" s="12">
        <v>3</v>
      </c>
      <c r="H70" s="8">
        <v>2.0699999999999998</v>
      </c>
      <c r="I70" s="12">
        <v>0</v>
      </c>
    </row>
    <row r="72" spans="2:9" ht="15" customHeight="1" x14ac:dyDescent="0.2">
      <c r="B7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90640-BDCD-4ACF-9697-5E50D0ADAB16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380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57</v>
      </c>
      <c r="D6" s="8">
        <v>28.93</v>
      </c>
      <c r="E6" s="12">
        <v>44</v>
      </c>
      <c r="F6" s="8">
        <v>30.34</v>
      </c>
      <c r="G6" s="12">
        <v>13</v>
      </c>
      <c r="H6" s="8">
        <v>28.26</v>
      </c>
      <c r="I6" s="12">
        <v>0</v>
      </c>
    </row>
    <row r="7" spans="2:9" ht="15" customHeight="1" x14ac:dyDescent="0.2">
      <c r="B7" t="s">
        <v>62</v>
      </c>
      <c r="C7" s="12">
        <v>23</v>
      </c>
      <c r="D7" s="8">
        <v>11.68</v>
      </c>
      <c r="E7" s="12">
        <v>11</v>
      </c>
      <c r="F7" s="8">
        <v>7.59</v>
      </c>
      <c r="G7" s="12">
        <v>12</v>
      </c>
      <c r="H7" s="8">
        <v>26.09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0.51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0.51</v>
      </c>
      <c r="E9" s="12">
        <v>1</v>
      </c>
      <c r="F9" s="8">
        <v>0.69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1.52</v>
      </c>
      <c r="E10" s="12">
        <v>1</v>
      </c>
      <c r="F10" s="8">
        <v>0.69</v>
      </c>
      <c r="G10" s="12">
        <v>1</v>
      </c>
      <c r="H10" s="8">
        <v>2.17</v>
      </c>
      <c r="I10" s="12">
        <v>1</v>
      </c>
    </row>
    <row r="11" spans="2:9" ht="15" customHeight="1" x14ac:dyDescent="0.2">
      <c r="B11" t="s">
        <v>66</v>
      </c>
      <c r="C11" s="12">
        <v>43</v>
      </c>
      <c r="D11" s="8">
        <v>21.83</v>
      </c>
      <c r="E11" s="12">
        <v>29</v>
      </c>
      <c r="F11" s="8">
        <v>20</v>
      </c>
      <c r="G11" s="12">
        <v>13</v>
      </c>
      <c r="H11" s="8">
        <v>28.26</v>
      </c>
      <c r="I11" s="12">
        <v>1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4</v>
      </c>
      <c r="D13" s="8">
        <v>2.0299999999999998</v>
      </c>
      <c r="E13" s="12">
        <v>4</v>
      </c>
      <c r="F13" s="8">
        <v>2.76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3</v>
      </c>
      <c r="D14" s="8">
        <v>1.52</v>
      </c>
      <c r="E14" s="12">
        <v>3</v>
      </c>
      <c r="F14" s="8">
        <v>2.0699999999999998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22</v>
      </c>
      <c r="D15" s="8">
        <v>11.17</v>
      </c>
      <c r="E15" s="12">
        <v>20</v>
      </c>
      <c r="F15" s="8">
        <v>13.79</v>
      </c>
      <c r="G15" s="12">
        <v>2</v>
      </c>
      <c r="H15" s="8">
        <v>4.3499999999999996</v>
      </c>
      <c r="I15" s="12">
        <v>0</v>
      </c>
    </row>
    <row r="16" spans="2:9" ht="15" customHeight="1" x14ac:dyDescent="0.2">
      <c r="B16" t="s">
        <v>71</v>
      </c>
      <c r="C16" s="12">
        <v>23</v>
      </c>
      <c r="D16" s="8">
        <v>11.68</v>
      </c>
      <c r="E16" s="12">
        <v>22</v>
      </c>
      <c r="F16" s="8">
        <v>15.17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3</v>
      </c>
      <c r="D17" s="8">
        <v>1.52</v>
      </c>
      <c r="E17" s="12">
        <v>2</v>
      </c>
      <c r="F17" s="8">
        <v>1.38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9</v>
      </c>
      <c r="D18" s="8">
        <v>4.57</v>
      </c>
      <c r="E18" s="12">
        <v>5</v>
      </c>
      <c r="F18" s="8">
        <v>3.45</v>
      </c>
      <c r="G18" s="12">
        <v>4</v>
      </c>
      <c r="H18" s="8">
        <v>8.6999999999999993</v>
      </c>
      <c r="I18" s="12">
        <v>0</v>
      </c>
    </row>
    <row r="19" spans="2:9" ht="15" customHeight="1" x14ac:dyDescent="0.2">
      <c r="B19" t="s">
        <v>74</v>
      </c>
      <c r="C19" s="12">
        <v>5</v>
      </c>
      <c r="D19" s="8">
        <v>2.54</v>
      </c>
      <c r="E19" s="12">
        <v>3</v>
      </c>
      <c r="F19" s="8">
        <v>2.0699999999999998</v>
      </c>
      <c r="G19" s="12">
        <v>1</v>
      </c>
      <c r="H19" s="8">
        <v>2.17</v>
      </c>
      <c r="I19" s="12">
        <v>0</v>
      </c>
    </row>
    <row r="20" spans="2:9" ht="15" customHeight="1" x14ac:dyDescent="0.2">
      <c r="B20" s="9" t="s">
        <v>337</v>
      </c>
      <c r="C20" s="12">
        <f>SUM(LTBL_07482[総数／事業所数])</f>
        <v>197</v>
      </c>
      <c r="E20" s="12">
        <f>SUBTOTAL(109,LTBL_07482[個人／事業所数])</f>
        <v>145</v>
      </c>
      <c r="G20" s="12">
        <f>SUBTOTAL(109,LTBL_07482[法人／事業所数])</f>
        <v>46</v>
      </c>
      <c r="I20" s="12">
        <f>SUBTOTAL(109,LTBL_07482[法人以外の団体／事業所数])</f>
        <v>2</v>
      </c>
    </row>
    <row r="21" spans="2:9" ht="15" customHeight="1" x14ac:dyDescent="0.2">
      <c r="E21" s="11">
        <f>LTBL_07482[[#Totals],[個人／事業所数]]/LTBL_07482[[#Totals],[総数／事業所数]]</f>
        <v>0.73604060913705582</v>
      </c>
      <c r="G21" s="11">
        <f>LTBL_07482[[#Totals],[法人／事業所数]]/LTBL_07482[[#Totals],[総数／事業所数]]</f>
        <v>0.233502538071066</v>
      </c>
      <c r="I21" s="11">
        <f>LTBL_07482[[#Totals],[法人以外の団体／事業所数]]/LTBL_07482[[#Totals],[総数／事業所数]]</f>
        <v>1.015228426395939E-2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30</v>
      </c>
      <c r="D24" s="8">
        <v>15.23</v>
      </c>
      <c r="E24" s="12">
        <v>26</v>
      </c>
      <c r="F24" s="8">
        <v>17.93</v>
      </c>
      <c r="G24" s="12">
        <v>4</v>
      </c>
      <c r="H24" s="8">
        <v>8.6999999999999993</v>
      </c>
      <c r="I24" s="12">
        <v>0</v>
      </c>
    </row>
    <row r="25" spans="2:9" ht="15" customHeight="1" x14ac:dyDescent="0.2">
      <c r="B25" t="s">
        <v>84</v>
      </c>
      <c r="C25" s="12">
        <v>21</v>
      </c>
      <c r="D25" s="8">
        <v>10.66</v>
      </c>
      <c r="E25" s="12">
        <v>14</v>
      </c>
      <c r="F25" s="8">
        <v>9.66</v>
      </c>
      <c r="G25" s="12">
        <v>7</v>
      </c>
      <c r="H25" s="8">
        <v>15.22</v>
      </c>
      <c r="I25" s="12">
        <v>0</v>
      </c>
    </row>
    <row r="26" spans="2:9" ht="15" customHeight="1" x14ac:dyDescent="0.2">
      <c r="B26" t="s">
        <v>97</v>
      </c>
      <c r="C26" s="12">
        <v>19</v>
      </c>
      <c r="D26" s="8">
        <v>9.64</v>
      </c>
      <c r="E26" s="12">
        <v>19</v>
      </c>
      <c r="F26" s="8">
        <v>13.1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96</v>
      </c>
      <c r="C27" s="12">
        <v>18</v>
      </c>
      <c r="D27" s="8">
        <v>9.14</v>
      </c>
      <c r="E27" s="12">
        <v>17</v>
      </c>
      <c r="F27" s="8">
        <v>11.72</v>
      </c>
      <c r="G27" s="12">
        <v>1</v>
      </c>
      <c r="H27" s="8">
        <v>2.17</v>
      </c>
      <c r="I27" s="12">
        <v>0</v>
      </c>
    </row>
    <row r="28" spans="2:9" ht="15" customHeight="1" x14ac:dyDescent="0.2">
      <c r="B28" t="s">
        <v>89</v>
      </c>
      <c r="C28" s="12">
        <v>13</v>
      </c>
      <c r="D28" s="8">
        <v>6.6</v>
      </c>
      <c r="E28" s="12">
        <v>10</v>
      </c>
      <c r="F28" s="8">
        <v>6.9</v>
      </c>
      <c r="G28" s="12">
        <v>3</v>
      </c>
      <c r="H28" s="8">
        <v>6.52</v>
      </c>
      <c r="I28" s="12">
        <v>0</v>
      </c>
    </row>
    <row r="29" spans="2:9" ht="15" customHeight="1" x14ac:dyDescent="0.2">
      <c r="B29" t="s">
        <v>91</v>
      </c>
      <c r="C29" s="12">
        <v>11</v>
      </c>
      <c r="D29" s="8">
        <v>5.58</v>
      </c>
      <c r="E29" s="12">
        <v>5</v>
      </c>
      <c r="F29" s="8">
        <v>3.45</v>
      </c>
      <c r="G29" s="12">
        <v>6</v>
      </c>
      <c r="H29" s="8">
        <v>13.04</v>
      </c>
      <c r="I29" s="12">
        <v>0</v>
      </c>
    </row>
    <row r="30" spans="2:9" ht="15" customHeight="1" x14ac:dyDescent="0.2">
      <c r="B30" t="s">
        <v>90</v>
      </c>
      <c r="C30" s="12">
        <v>7</v>
      </c>
      <c r="D30" s="8">
        <v>3.55</v>
      </c>
      <c r="E30" s="12">
        <v>6</v>
      </c>
      <c r="F30" s="8">
        <v>4.1399999999999997</v>
      </c>
      <c r="G30" s="12">
        <v>1</v>
      </c>
      <c r="H30" s="8">
        <v>2.17</v>
      </c>
      <c r="I30" s="12">
        <v>0</v>
      </c>
    </row>
    <row r="31" spans="2:9" ht="15" customHeight="1" x14ac:dyDescent="0.2">
      <c r="B31" t="s">
        <v>85</v>
      </c>
      <c r="C31" s="12">
        <v>6</v>
      </c>
      <c r="D31" s="8">
        <v>3.05</v>
      </c>
      <c r="E31" s="12">
        <v>4</v>
      </c>
      <c r="F31" s="8">
        <v>2.76</v>
      </c>
      <c r="G31" s="12">
        <v>2</v>
      </c>
      <c r="H31" s="8">
        <v>4.3499999999999996</v>
      </c>
      <c r="I31" s="12">
        <v>0</v>
      </c>
    </row>
    <row r="32" spans="2:9" ht="15" customHeight="1" x14ac:dyDescent="0.2">
      <c r="B32" t="s">
        <v>103</v>
      </c>
      <c r="C32" s="12">
        <v>6</v>
      </c>
      <c r="D32" s="8">
        <v>3.05</v>
      </c>
      <c r="E32" s="12">
        <v>4</v>
      </c>
      <c r="F32" s="8">
        <v>2.76</v>
      </c>
      <c r="G32" s="12">
        <v>1</v>
      </c>
      <c r="H32" s="8">
        <v>2.17</v>
      </c>
      <c r="I32" s="12">
        <v>1</v>
      </c>
    </row>
    <row r="33" spans="2:9" ht="15" customHeight="1" x14ac:dyDescent="0.2">
      <c r="B33" t="s">
        <v>100</v>
      </c>
      <c r="C33" s="12">
        <v>5</v>
      </c>
      <c r="D33" s="8">
        <v>2.54</v>
      </c>
      <c r="E33" s="12">
        <v>5</v>
      </c>
      <c r="F33" s="8">
        <v>3.45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110</v>
      </c>
      <c r="C34" s="12">
        <v>4</v>
      </c>
      <c r="D34" s="8">
        <v>2.0299999999999998</v>
      </c>
      <c r="E34" s="12">
        <v>1</v>
      </c>
      <c r="F34" s="8">
        <v>0.69</v>
      </c>
      <c r="G34" s="12">
        <v>3</v>
      </c>
      <c r="H34" s="8">
        <v>6.52</v>
      </c>
      <c r="I34" s="12">
        <v>0</v>
      </c>
    </row>
    <row r="35" spans="2:9" ht="15" customHeight="1" x14ac:dyDescent="0.2">
      <c r="B35" t="s">
        <v>124</v>
      </c>
      <c r="C35" s="12">
        <v>4</v>
      </c>
      <c r="D35" s="8">
        <v>2.0299999999999998</v>
      </c>
      <c r="E35" s="12">
        <v>1</v>
      </c>
      <c r="F35" s="8">
        <v>0.69</v>
      </c>
      <c r="G35" s="12">
        <v>3</v>
      </c>
      <c r="H35" s="8">
        <v>6.52</v>
      </c>
      <c r="I35" s="12">
        <v>0</v>
      </c>
    </row>
    <row r="36" spans="2:9" ht="15" customHeight="1" x14ac:dyDescent="0.2">
      <c r="B36" t="s">
        <v>92</v>
      </c>
      <c r="C36" s="12">
        <v>4</v>
      </c>
      <c r="D36" s="8">
        <v>2.0299999999999998</v>
      </c>
      <c r="E36" s="12">
        <v>4</v>
      </c>
      <c r="F36" s="8">
        <v>2.76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101</v>
      </c>
      <c r="C37" s="12">
        <v>4</v>
      </c>
      <c r="D37" s="8">
        <v>2.0299999999999998</v>
      </c>
      <c r="E37" s="12">
        <v>0</v>
      </c>
      <c r="F37" s="8">
        <v>0</v>
      </c>
      <c r="G37" s="12">
        <v>4</v>
      </c>
      <c r="H37" s="8">
        <v>8.6999999999999993</v>
      </c>
      <c r="I37" s="12">
        <v>0</v>
      </c>
    </row>
    <row r="38" spans="2:9" ht="15" customHeight="1" x14ac:dyDescent="0.2">
      <c r="B38" t="s">
        <v>112</v>
      </c>
      <c r="C38" s="12">
        <v>3</v>
      </c>
      <c r="D38" s="8">
        <v>1.52</v>
      </c>
      <c r="E38" s="12">
        <v>1</v>
      </c>
      <c r="F38" s="8">
        <v>0.69</v>
      </c>
      <c r="G38" s="12">
        <v>2</v>
      </c>
      <c r="H38" s="8">
        <v>4.3499999999999996</v>
      </c>
      <c r="I38" s="12">
        <v>0</v>
      </c>
    </row>
    <row r="39" spans="2:9" ht="15" customHeight="1" x14ac:dyDescent="0.2">
      <c r="B39" t="s">
        <v>88</v>
      </c>
      <c r="C39" s="12">
        <v>3</v>
      </c>
      <c r="D39" s="8">
        <v>1.52</v>
      </c>
      <c r="E39" s="12">
        <v>3</v>
      </c>
      <c r="F39" s="8">
        <v>2.0699999999999998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98</v>
      </c>
      <c r="C40" s="12">
        <v>3</v>
      </c>
      <c r="D40" s="8">
        <v>1.52</v>
      </c>
      <c r="E40" s="12">
        <v>2</v>
      </c>
      <c r="F40" s="8">
        <v>1.38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99</v>
      </c>
      <c r="C41" s="12">
        <v>3</v>
      </c>
      <c r="D41" s="8">
        <v>1.52</v>
      </c>
      <c r="E41" s="12">
        <v>2</v>
      </c>
      <c r="F41" s="8">
        <v>1.38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102</v>
      </c>
      <c r="C42" s="12">
        <v>3</v>
      </c>
      <c r="D42" s="8">
        <v>1.52</v>
      </c>
      <c r="E42" s="12">
        <v>2</v>
      </c>
      <c r="F42" s="8">
        <v>1.38</v>
      </c>
      <c r="G42" s="12">
        <v>1</v>
      </c>
      <c r="H42" s="8">
        <v>2.17</v>
      </c>
      <c r="I42" s="12">
        <v>0</v>
      </c>
    </row>
    <row r="43" spans="2:9" ht="15" customHeight="1" x14ac:dyDescent="0.2">
      <c r="B43" t="s">
        <v>132</v>
      </c>
      <c r="C43" s="12">
        <v>2</v>
      </c>
      <c r="D43" s="8">
        <v>1.02</v>
      </c>
      <c r="E43" s="12">
        <v>0</v>
      </c>
      <c r="F43" s="8">
        <v>0</v>
      </c>
      <c r="G43" s="12">
        <v>2</v>
      </c>
      <c r="H43" s="8">
        <v>4.3499999999999996</v>
      </c>
      <c r="I43" s="12">
        <v>0</v>
      </c>
    </row>
    <row r="44" spans="2:9" ht="15" customHeight="1" x14ac:dyDescent="0.2">
      <c r="B44" t="s">
        <v>111</v>
      </c>
      <c r="C44" s="12">
        <v>2</v>
      </c>
      <c r="D44" s="8">
        <v>1.02</v>
      </c>
      <c r="E44" s="12">
        <v>1</v>
      </c>
      <c r="F44" s="8">
        <v>0.69</v>
      </c>
      <c r="G44" s="12">
        <v>1</v>
      </c>
      <c r="H44" s="8">
        <v>2.17</v>
      </c>
      <c r="I44" s="12">
        <v>0</v>
      </c>
    </row>
    <row r="45" spans="2:9" ht="15" customHeight="1" x14ac:dyDescent="0.2">
      <c r="B45" t="s">
        <v>116</v>
      </c>
      <c r="C45" s="12">
        <v>2</v>
      </c>
      <c r="D45" s="8">
        <v>1.02</v>
      </c>
      <c r="E45" s="12">
        <v>2</v>
      </c>
      <c r="F45" s="8">
        <v>1.38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105</v>
      </c>
      <c r="C46" s="12">
        <v>2</v>
      </c>
      <c r="D46" s="8">
        <v>1.02</v>
      </c>
      <c r="E46" s="12">
        <v>2</v>
      </c>
      <c r="F46" s="8">
        <v>1.38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94</v>
      </c>
      <c r="C47" s="12">
        <v>2</v>
      </c>
      <c r="D47" s="8">
        <v>1.02</v>
      </c>
      <c r="E47" s="12">
        <v>2</v>
      </c>
      <c r="F47" s="8">
        <v>1.38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95</v>
      </c>
      <c r="C48" s="12">
        <v>2</v>
      </c>
      <c r="D48" s="8">
        <v>1.02</v>
      </c>
      <c r="E48" s="12">
        <v>2</v>
      </c>
      <c r="F48" s="8">
        <v>1.38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113</v>
      </c>
      <c r="C49" s="12">
        <v>2</v>
      </c>
      <c r="D49" s="8">
        <v>1.02</v>
      </c>
      <c r="E49" s="12">
        <v>1</v>
      </c>
      <c r="F49" s="8">
        <v>0.69</v>
      </c>
      <c r="G49" s="12">
        <v>1</v>
      </c>
      <c r="H49" s="8">
        <v>2.17</v>
      </c>
      <c r="I49" s="12">
        <v>0</v>
      </c>
    </row>
    <row r="52" spans="2:9" ht="33" customHeight="1" x14ac:dyDescent="0.2">
      <c r="B52" t="s">
        <v>339</v>
      </c>
      <c r="C52" s="10" t="s">
        <v>76</v>
      </c>
      <c r="D52" s="10" t="s">
        <v>77</v>
      </c>
      <c r="E52" s="10" t="s">
        <v>78</v>
      </c>
      <c r="F52" s="10" t="s">
        <v>79</v>
      </c>
      <c r="G52" s="10" t="s">
        <v>80</v>
      </c>
      <c r="H52" s="10" t="s">
        <v>81</v>
      </c>
      <c r="I52" s="10" t="s">
        <v>82</v>
      </c>
    </row>
    <row r="53" spans="2:9" ht="15" customHeight="1" x14ac:dyDescent="0.2">
      <c r="B53" t="s">
        <v>160</v>
      </c>
      <c r="C53" s="12">
        <v>18</v>
      </c>
      <c r="D53" s="8">
        <v>9.14</v>
      </c>
      <c r="E53" s="12">
        <v>17</v>
      </c>
      <c r="F53" s="8">
        <v>11.72</v>
      </c>
      <c r="G53" s="12">
        <v>1</v>
      </c>
      <c r="H53" s="8">
        <v>2.17</v>
      </c>
      <c r="I53" s="12">
        <v>0</v>
      </c>
    </row>
    <row r="54" spans="2:9" ht="15" customHeight="1" x14ac:dyDescent="0.2">
      <c r="B54" t="s">
        <v>158</v>
      </c>
      <c r="C54" s="12">
        <v>10</v>
      </c>
      <c r="D54" s="8">
        <v>5.08</v>
      </c>
      <c r="E54" s="12">
        <v>8</v>
      </c>
      <c r="F54" s="8">
        <v>5.52</v>
      </c>
      <c r="G54" s="12">
        <v>2</v>
      </c>
      <c r="H54" s="8">
        <v>4.3499999999999996</v>
      </c>
      <c r="I54" s="12">
        <v>0</v>
      </c>
    </row>
    <row r="55" spans="2:9" ht="15" customHeight="1" x14ac:dyDescent="0.2">
      <c r="B55" t="s">
        <v>174</v>
      </c>
      <c r="C55" s="12">
        <v>10</v>
      </c>
      <c r="D55" s="8">
        <v>5.08</v>
      </c>
      <c r="E55" s="12">
        <v>10</v>
      </c>
      <c r="F55" s="8">
        <v>6.9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173</v>
      </c>
      <c r="C56" s="12">
        <v>7</v>
      </c>
      <c r="D56" s="8">
        <v>3.55</v>
      </c>
      <c r="E56" s="12">
        <v>7</v>
      </c>
      <c r="F56" s="8">
        <v>4.83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199</v>
      </c>
      <c r="C57" s="12">
        <v>5</v>
      </c>
      <c r="D57" s="8">
        <v>2.54</v>
      </c>
      <c r="E57" s="12">
        <v>5</v>
      </c>
      <c r="F57" s="8">
        <v>3.45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193</v>
      </c>
      <c r="C58" s="12">
        <v>5</v>
      </c>
      <c r="D58" s="8">
        <v>2.54</v>
      </c>
      <c r="E58" s="12">
        <v>4</v>
      </c>
      <c r="F58" s="8">
        <v>2.76</v>
      </c>
      <c r="G58" s="12">
        <v>1</v>
      </c>
      <c r="H58" s="8">
        <v>2.17</v>
      </c>
      <c r="I58" s="12">
        <v>0</v>
      </c>
    </row>
    <row r="59" spans="2:9" ht="15" customHeight="1" x14ac:dyDescent="0.2">
      <c r="B59" t="s">
        <v>204</v>
      </c>
      <c r="C59" s="12">
        <v>5</v>
      </c>
      <c r="D59" s="8">
        <v>2.54</v>
      </c>
      <c r="E59" s="12">
        <v>3</v>
      </c>
      <c r="F59" s="8">
        <v>2.0699999999999998</v>
      </c>
      <c r="G59" s="12">
        <v>1</v>
      </c>
      <c r="H59" s="8">
        <v>2.17</v>
      </c>
      <c r="I59" s="12">
        <v>1</v>
      </c>
    </row>
    <row r="60" spans="2:9" ht="15" customHeight="1" x14ac:dyDescent="0.2">
      <c r="B60" t="s">
        <v>181</v>
      </c>
      <c r="C60" s="12">
        <v>5</v>
      </c>
      <c r="D60" s="8">
        <v>2.54</v>
      </c>
      <c r="E60" s="12">
        <v>4</v>
      </c>
      <c r="F60" s="8">
        <v>2.76</v>
      </c>
      <c r="G60" s="12">
        <v>1</v>
      </c>
      <c r="H60" s="8">
        <v>2.17</v>
      </c>
      <c r="I60" s="12">
        <v>0</v>
      </c>
    </row>
    <row r="61" spans="2:9" ht="15" customHeight="1" x14ac:dyDescent="0.2">
      <c r="B61" t="s">
        <v>201</v>
      </c>
      <c r="C61" s="12">
        <v>4</v>
      </c>
      <c r="D61" s="8">
        <v>2.0299999999999998</v>
      </c>
      <c r="E61" s="12">
        <v>2</v>
      </c>
      <c r="F61" s="8">
        <v>1.38</v>
      </c>
      <c r="G61" s="12">
        <v>2</v>
      </c>
      <c r="H61" s="8">
        <v>4.3499999999999996</v>
      </c>
      <c r="I61" s="12">
        <v>0</v>
      </c>
    </row>
    <row r="62" spans="2:9" ht="15" customHeight="1" x14ac:dyDescent="0.2">
      <c r="B62" t="s">
        <v>187</v>
      </c>
      <c r="C62" s="12">
        <v>4</v>
      </c>
      <c r="D62" s="8">
        <v>2.0299999999999998</v>
      </c>
      <c r="E62" s="12">
        <v>2</v>
      </c>
      <c r="F62" s="8">
        <v>1.38</v>
      </c>
      <c r="G62" s="12">
        <v>2</v>
      </c>
      <c r="H62" s="8">
        <v>4.3499999999999996</v>
      </c>
      <c r="I62" s="12">
        <v>0</v>
      </c>
    </row>
    <row r="63" spans="2:9" ht="15" customHeight="1" x14ac:dyDescent="0.2">
      <c r="B63" t="s">
        <v>161</v>
      </c>
      <c r="C63" s="12">
        <v>4</v>
      </c>
      <c r="D63" s="8">
        <v>2.0299999999999998</v>
      </c>
      <c r="E63" s="12">
        <v>3</v>
      </c>
      <c r="F63" s="8">
        <v>2.0699999999999998</v>
      </c>
      <c r="G63" s="12">
        <v>1</v>
      </c>
      <c r="H63" s="8">
        <v>2.17</v>
      </c>
      <c r="I63" s="12">
        <v>0</v>
      </c>
    </row>
    <row r="64" spans="2:9" ht="15" customHeight="1" x14ac:dyDescent="0.2">
      <c r="B64" t="s">
        <v>163</v>
      </c>
      <c r="C64" s="12">
        <v>4</v>
      </c>
      <c r="D64" s="8">
        <v>2.0299999999999998</v>
      </c>
      <c r="E64" s="12">
        <v>4</v>
      </c>
      <c r="F64" s="8">
        <v>2.76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185</v>
      </c>
      <c r="C65" s="12">
        <v>4</v>
      </c>
      <c r="D65" s="8">
        <v>2.0299999999999998</v>
      </c>
      <c r="E65" s="12">
        <v>2</v>
      </c>
      <c r="F65" s="8">
        <v>1.38</v>
      </c>
      <c r="G65" s="12">
        <v>2</v>
      </c>
      <c r="H65" s="8">
        <v>4.3499999999999996</v>
      </c>
      <c r="I65" s="12">
        <v>0</v>
      </c>
    </row>
    <row r="66" spans="2:9" ht="15" customHeight="1" x14ac:dyDescent="0.2">
      <c r="B66" t="s">
        <v>170</v>
      </c>
      <c r="C66" s="12">
        <v>4</v>
      </c>
      <c r="D66" s="8">
        <v>2.0299999999999998</v>
      </c>
      <c r="E66" s="12">
        <v>4</v>
      </c>
      <c r="F66" s="8">
        <v>2.76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172</v>
      </c>
      <c r="C67" s="12">
        <v>4</v>
      </c>
      <c r="D67" s="8">
        <v>2.0299999999999998</v>
      </c>
      <c r="E67" s="12">
        <v>4</v>
      </c>
      <c r="F67" s="8">
        <v>2.76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176</v>
      </c>
      <c r="C68" s="12">
        <v>4</v>
      </c>
      <c r="D68" s="8">
        <v>2.0299999999999998</v>
      </c>
      <c r="E68" s="12">
        <v>4</v>
      </c>
      <c r="F68" s="8">
        <v>2.76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200</v>
      </c>
      <c r="C69" s="12">
        <v>4</v>
      </c>
      <c r="D69" s="8">
        <v>2.0299999999999998</v>
      </c>
      <c r="E69" s="12">
        <v>0</v>
      </c>
      <c r="F69" s="8">
        <v>0</v>
      </c>
      <c r="G69" s="12">
        <v>4</v>
      </c>
      <c r="H69" s="8">
        <v>8.6999999999999993</v>
      </c>
      <c r="I69" s="12">
        <v>0</v>
      </c>
    </row>
    <row r="70" spans="2:9" ht="15" customHeight="1" x14ac:dyDescent="0.2">
      <c r="B70" t="s">
        <v>266</v>
      </c>
      <c r="C70" s="12">
        <v>3</v>
      </c>
      <c r="D70" s="8">
        <v>1.52</v>
      </c>
      <c r="E70" s="12">
        <v>2</v>
      </c>
      <c r="F70" s="8">
        <v>1.38</v>
      </c>
      <c r="G70" s="12">
        <v>1</v>
      </c>
      <c r="H70" s="8">
        <v>2.17</v>
      </c>
      <c r="I70" s="12">
        <v>0</v>
      </c>
    </row>
    <row r="71" spans="2:9" ht="15" customHeight="1" x14ac:dyDescent="0.2">
      <c r="B71" t="s">
        <v>191</v>
      </c>
      <c r="C71" s="12">
        <v>3</v>
      </c>
      <c r="D71" s="8">
        <v>1.52</v>
      </c>
      <c r="E71" s="12">
        <v>1</v>
      </c>
      <c r="F71" s="8">
        <v>0.69</v>
      </c>
      <c r="G71" s="12">
        <v>2</v>
      </c>
      <c r="H71" s="8">
        <v>4.3499999999999996</v>
      </c>
      <c r="I71" s="12">
        <v>0</v>
      </c>
    </row>
    <row r="72" spans="2:9" ht="15" customHeight="1" x14ac:dyDescent="0.2">
      <c r="B72" t="s">
        <v>168</v>
      </c>
      <c r="C72" s="12">
        <v>3</v>
      </c>
      <c r="D72" s="8">
        <v>1.52</v>
      </c>
      <c r="E72" s="12">
        <v>3</v>
      </c>
      <c r="F72" s="8">
        <v>2.0699999999999998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171</v>
      </c>
      <c r="C73" s="12">
        <v>3</v>
      </c>
      <c r="D73" s="8">
        <v>1.52</v>
      </c>
      <c r="E73" s="12">
        <v>3</v>
      </c>
      <c r="F73" s="8">
        <v>2.0699999999999998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177</v>
      </c>
      <c r="C74" s="12">
        <v>3</v>
      </c>
      <c r="D74" s="8">
        <v>1.52</v>
      </c>
      <c r="E74" s="12">
        <v>2</v>
      </c>
      <c r="F74" s="8">
        <v>1.38</v>
      </c>
      <c r="G74" s="12">
        <v>1</v>
      </c>
      <c r="H74" s="8">
        <v>2.17</v>
      </c>
      <c r="I74" s="12">
        <v>0</v>
      </c>
    </row>
    <row r="76" spans="2:9" ht="15" customHeight="1" x14ac:dyDescent="0.2">
      <c r="B76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DF46-9882-4740-82AD-B3360979DD33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53</v>
      </c>
      <c r="D6" s="8">
        <v>15.73</v>
      </c>
      <c r="E6" s="12">
        <v>37</v>
      </c>
      <c r="F6" s="8">
        <v>14.86</v>
      </c>
      <c r="G6" s="12">
        <v>16</v>
      </c>
      <c r="H6" s="8">
        <v>19.510000000000002</v>
      </c>
      <c r="I6" s="12">
        <v>0</v>
      </c>
    </row>
    <row r="7" spans="2:9" ht="15" customHeight="1" x14ac:dyDescent="0.2">
      <c r="B7" t="s">
        <v>62</v>
      </c>
      <c r="C7" s="12">
        <v>27</v>
      </c>
      <c r="D7" s="8">
        <v>8.01</v>
      </c>
      <c r="E7" s="12">
        <v>15</v>
      </c>
      <c r="F7" s="8">
        <v>6.02</v>
      </c>
      <c r="G7" s="12">
        <v>12</v>
      </c>
      <c r="H7" s="8">
        <v>14.63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0.3</v>
      </c>
      <c r="E9" s="12">
        <v>1</v>
      </c>
      <c r="F9" s="8">
        <v>0.4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7</v>
      </c>
      <c r="D10" s="8">
        <v>2.08</v>
      </c>
      <c r="E10" s="12">
        <v>2</v>
      </c>
      <c r="F10" s="8">
        <v>0.8</v>
      </c>
      <c r="G10" s="12">
        <v>5</v>
      </c>
      <c r="H10" s="8">
        <v>6.1</v>
      </c>
      <c r="I10" s="12">
        <v>0</v>
      </c>
    </row>
    <row r="11" spans="2:9" ht="15" customHeight="1" x14ac:dyDescent="0.2">
      <c r="B11" t="s">
        <v>66</v>
      </c>
      <c r="C11" s="12">
        <v>96</v>
      </c>
      <c r="D11" s="8">
        <v>28.49</v>
      </c>
      <c r="E11" s="12">
        <v>71</v>
      </c>
      <c r="F11" s="8">
        <v>28.51</v>
      </c>
      <c r="G11" s="12">
        <v>24</v>
      </c>
      <c r="H11" s="8">
        <v>29.27</v>
      </c>
      <c r="I11" s="12">
        <v>1</v>
      </c>
    </row>
    <row r="12" spans="2:9" ht="15" customHeight="1" x14ac:dyDescent="0.2">
      <c r="B12" t="s">
        <v>67</v>
      </c>
      <c r="C12" s="12">
        <v>3</v>
      </c>
      <c r="D12" s="8">
        <v>0.89</v>
      </c>
      <c r="E12" s="12">
        <v>1</v>
      </c>
      <c r="F12" s="8">
        <v>0.4</v>
      </c>
      <c r="G12" s="12">
        <v>2</v>
      </c>
      <c r="H12" s="8">
        <v>2.44</v>
      </c>
      <c r="I12" s="12">
        <v>0</v>
      </c>
    </row>
    <row r="13" spans="2:9" ht="15" customHeight="1" x14ac:dyDescent="0.2">
      <c r="B13" t="s">
        <v>68</v>
      </c>
      <c r="C13" s="12">
        <v>30</v>
      </c>
      <c r="D13" s="8">
        <v>8.9</v>
      </c>
      <c r="E13" s="12">
        <v>25</v>
      </c>
      <c r="F13" s="8">
        <v>10.039999999999999</v>
      </c>
      <c r="G13" s="12">
        <v>5</v>
      </c>
      <c r="H13" s="8">
        <v>6.1</v>
      </c>
      <c r="I13" s="12">
        <v>0</v>
      </c>
    </row>
    <row r="14" spans="2:9" ht="15" customHeight="1" x14ac:dyDescent="0.2">
      <c r="B14" t="s">
        <v>69</v>
      </c>
      <c r="C14" s="12">
        <v>9</v>
      </c>
      <c r="D14" s="8">
        <v>2.67</v>
      </c>
      <c r="E14" s="12">
        <v>5</v>
      </c>
      <c r="F14" s="8">
        <v>2.0099999999999998</v>
      </c>
      <c r="G14" s="12">
        <v>4</v>
      </c>
      <c r="H14" s="8">
        <v>4.88</v>
      </c>
      <c r="I14" s="12">
        <v>0</v>
      </c>
    </row>
    <row r="15" spans="2:9" ht="15" customHeight="1" x14ac:dyDescent="0.2">
      <c r="B15" t="s">
        <v>70</v>
      </c>
      <c r="C15" s="12">
        <v>39</v>
      </c>
      <c r="D15" s="8">
        <v>11.57</v>
      </c>
      <c r="E15" s="12">
        <v>33</v>
      </c>
      <c r="F15" s="8">
        <v>13.25</v>
      </c>
      <c r="G15" s="12">
        <v>5</v>
      </c>
      <c r="H15" s="8">
        <v>6.1</v>
      </c>
      <c r="I15" s="12">
        <v>0</v>
      </c>
    </row>
    <row r="16" spans="2:9" ht="15" customHeight="1" x14ac:dyDescent="0.2">
      <c r="B16" t="s">
        <v>71</v>
      </c>
      <c r="C16" s="12">
        <v>44</v>
      </c>
      <c r="D16" s="8">
        <v>13.06</v>
      </c>
      <c r="E16" s="12">
        <v>40</v>
      </c>
      <c r="F16" s="8">
        <v>16.059999999999999</v>
      </c>
      <c r="G16" s="12">
        <v>4</v>
      </c>
      <c r="H16" s="8">
        <v>4.88</v>
      </c>
      <c r="I16" s="12">
        <v>0</v>
      </c>
    </row>
    <row r="17" spans="2:9" ht="15" customHeight="1" x14ac:dyDescent="0.2">
      <c r="B17" t="s">
        <v>72</v>
      </c>
      <c r="C17" s="12">
        <v>12</v>
      </c>
      <c r="D17" s="8">
        <v>3.56</v>
      </c>
      <c r="E17" s="12">
        <v>9</v>
      </c>
      <c r="F17" s="8">
        <v>3.61</v>
      </c>
      <c r="G17" s="12">
        <v>1</v>
      </c>
      <c r="H17" s="8">
        <v>1.22</v>
      </c>
      <c r="I17" s="12">
        <v>0</v>
      </c>
    </row>
    <row r="18" spans="2:9" ht="15" customHeight="1" x14ac:dyDescent="0.2">
      <c r="B18" t="s">
        <v>73</v>
      </c>
      <c r="C18" s="12">
        <v>9</v>
      </c>
      <c r="D18" s="8">
        <v>2.67</v>
      </c>
      <c r="E18" s="12">
        <v>7</v>
      </c>
      <c r="F18" s="8">
        <v>2.81</v>
      </c>
      <c r="G18" s="12">
        <v>2</v>
      </c>
      <c r="H18" s="8">
        <v>2.44</v>
      </c>
      <c r="I18" s="12">
        <v>0</v>
      </c>
    </row>
    <row r="19" spans="2:9" ht="15" customHeight="1" x14ac:dyDescent="0.2">
      <c r="B19" t="s">
        <v>74</v>
      </c>
      <c r="C19" s="12">
        <v>6</v>
      </c>
      <c r="D19" s="8">
        <v>1.78</v>
      </c>
      <c r="E19" s="12">
        <v>3</v>
      </c>
      <c r="F19" s="8">
        <v>1.2</v>
      </c>
      <c r="G19" s="12">
        <v>2</v>
      </c>
      <c r="H19" s="8">
        <v>2.44</v>
      </c>
      <c r="I19" s="12">
        <v>1</v>
      </c>
    </row>
    <row r="20" spans="2:9" ht="15" customHeight="1" x14ac:dyDescent="0.2">
      <c r="B20" s="9" t="s">
        <v>337</v>
      </c>
      <c r="C20" s="12">
        <f>SUM(LTBL_07483[総数／事業所数])</f>
        <v>337</v>
      </c>
      <c r="E20" s="12">
        <f>SUBTOTAL(109,LTBL_07483[個人／事業所数])</f>
        <v>249</v>
      </c>
      <c r="G20" s="12">
        <f>SUBTOTAL(109,LTBL_07483[法人／事業所数])</f>
        <v>82</v>
      </c>
      <c r="I20" s="12">
        <f>SUBTOTAL(109,LTBL_07483[法人以外の団体／事業所数])</f>
        <v>2</v>
      </c>
    </row>
    <row r="21" spans="2:9" ht="15" customHeight="1" x14ac:dyDescent="0.2">
      <c r="E21" s="11">
        <f>LTBL_07483[[#Totals],[個人／事業所数]]/LTBL_07483[[#Totals],[総数／事業所数]]</f>
        <v>0.73887240356083084</v>
      </c>
      <c r="G21" s="11">
        <f>LTBL_07483[[#Totals],[法人／事業所数]]/LTBL_07483[[#Totals],[総数／事業所数]]</f>
        <v>0.24332344213649851</v>
      </c>
      <c r="I21" s="11">
        <f>LTBL_07483[[#Totals],[法人以外の団体／事業所数]]/LTBL_07483[[#Totals],[総数／事業所数]]</f>
        <v>5.9347181008902079E-3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91</v>
      </c>
      <c r="C24" s="12">
        <v>39</v>
      </c>
      <c r="D24" s="8">
        <v>11.57</v>
      </c>
      <c r="E24" s="12">
        <v>30</v>
      </c>
      <c r="F24" s="8">
        <v>12.05</v>
      </c>
      <c r="G24" s="12">
        <v>8</v>
      </c>
      <c r="H24" s="8">
        <v>9.76</v>
      </c>
      <c r="I24" s="12">
        <v>1</v>
      </c>
    </row>
    <row r="25" spans="2:9" ht="15" customHeight="1" x14ac:dyDescent="0.2">
      <c r="B25" t="s">
        <v>97</v>
      </c>
      <c r="C25" s="12">
        <v>34</v>
      </c>
      <c r="D25" s="8">
        <v>10.09</v>
      </c>
      <c r="E25" s="12">
        <v>33</v>
      </c>
      <c r="F25" s="8">
        <v>13.25</v>
      </c>
      <c r="G25" s="12">
        <v>1</v>
      </c>
      <c r="H25" s="8">
        <v>1.22</v>
      </c>
      <c r="I25" s="12">
        <v>0</v>
      </c>
    </row>
    <row r="26" spans="2:9" ht="15" customHeight="1" x14ac:dyDescent="0.2">
      <c r="B26" t="s">
        <v>96</v>
      </c>
      <c r="C26" s="12">
        <v>31</v>
      </c>
      <c r="D26" s="8">
        <v>9.1999999999999993</v>
      </c>
      <c r="E26" s="12">
        <v>30</v>
      </c>
      <c r="F26" s="8">
        <v>12.05</v>
      </c>
      <c r="G26" s="12">
        <v>1</v>
      </c>
      <c r="H26" s="8">
        <v>1.22</v>
      </c>
      <c r="I26" s="12">
        <v>0</v>
      </c>
    </row>
    <row r="27" spans="2:9" ht="15" customHeight="1" x14ac:dyDescent="0.2">
      <c r="B27" t="s">
        <v>92</v>
      </c>
      <c r="C27" s="12">
        <v>27</v>
      </c>
      <c r="D27" s="8">
        <v>8.01</v>
      </c>
      <c r="E27" s="12">
        <v>25</v>
      </c>
      <c r="F27" s="8">
        <v>10.039999999999999</v>
      </c>
      <c r="G27" s="12">
        <v>2</v>
      </c>
      <c r="H27" s="8">
        <v>2.44</v>
      </c>
      <c r="I27" s="12">
        <v>0</v>
      </c>
    </row>
    <row r="28" spans="2:9" ht="15" customHeight="1" x14ac:dyDescent="0.2">
      <c r="B28" t="s">
        <v>83</v>
      </c>
      <c r="C28" s="12">
        <v>26</v>
      </c>
      <c r="D28" s="8">
        <v>7.72</v>
      </c>
      <c r="E28" s="12">
        <v>19</v>
      </c>
      <c r="F28" s="8">
        <v>7.63</v>
      </c>
      <c r="G28" s="12">
        <v>7</v>
      </c>
      <c r="H28" s="8">
        <v>8.5399999999999991</v>
      </c>
      <c r="I28" s="12">
        <v>0</v>
      </c>
    </row>
    <row r="29" spans="2:9" ht="15" customHeight="1" x14ac:dyDescent="0.2">
      <c r="B29" t="s">
        <v>89</v>
      </c>
      <c r="C29" s="12">
        <v>24</v>
      </c>
      <c r="D29" s="8">
        <v>7.12</v>
      </c>
      <c r="E29" s="12">
        <v>22</v>
      </c>
      <c r="F29" s="8">
        <v>8.84</v>
      </c>
      <c r="G29" s="12">
        <v>2</v>
      </c>
      <c r="H29" s="8">
        <v>2.44</v>
      </c>
      <c r="I29" s="12">
        <v>0</v>
      </c>
    </row>
    <row r="30" spans="2:9" ht="15" customHeight="1" x14ac:dyDescent="0.2">
      <c r="B30" t="s">
        <v>84</v>
      </c>
      <c r="C30" s="12">
        <v>18</v>
      </c>
      <c r="D30" s="8">
        <v>5.34</v>
      </c>
      <c r="E30" s="12">
        <v>13</v>
      </c>
      <c r="F30" s="8">
        <v>5.22</v>
      </c>
      <c r="G30" s="12">
        <v>5</v>
      </c>
      <c r="H30" s="8">
        <v>6.1</v>
      </c>
      <c r="I30" s="12">
        <v>0</v>
      </c>
    </row>
    <row r="31" spans="2:9" ht="15" customHeight="1" x14ac:dyDescent="0.2">
      <c r="B31" t="s">
        <v>88</v>
      </c>
      <c r="C31" s="12">
        <v>12</v>
      </c>
      <c r="D31" s="8">
        <v>3.56</v>
      </c>
      <c r="E31" s="12">
        <v>10</v>
      </c>
      <c r="F31" s="8">
        <v>4.0199999999999996</v>
      </c>
      <c r="G31" s="12">
        <v>2</v>
      </c>
      <c r="H31" s="8">
        <v>2.44</v>
      </c>
      <c r="I31" s="12">
        <v>0</v>
      </c>
    </row>
    <row r="32" spans="2:9" ht="15" customHeight="1" x14ac:dyDescent="0.2">
      <c r="B32" t="s">
        <v>99</v>
      </c>
      <c r="C32" s="12">
        <v>12</v>
      </c>
      <c r="D32" s="8">
        <v>3.56</v>
      </c>
      <c r="E32" s="12">
        <v>9</v>
      </c>
      <c r="F32" s="8">
        <v>3.61</v>
      </c>
      <c r="G32" s="12">
        <v>1</v>
      </c>
      <c r="H32" s="8">
        <v>1.22</v>
      </c>
      <c r="I32" s="12">
        <v>0</v>
      </c>
    </row>
    <row r="33" spans="2:9" ht="15" customHeight="1" x14ac:dyDescent="0.2">
      <c r="B33" t="s">
        <v>85</v>
      </c>
      <c r="C33" s="12">
        <v>9</v>
      </c>
      <c r="D33" s="8">
        <v>2.67</v>
      </c>
      <c r="E33" s="12">
        <v>5</v>
      </c>
      <c r="F33" s="8">
        <v>2.0099999999999998</v>
      </c>
      <c r="G33" s="12">
        <v>4</v>
      </c>
      <c r="H33" s="8">
        <v>4.88</v>
      </c>
      <c r="I33" s="12">
        <v>0</v>
      </c>
    </row>
    <row r="34" spans="2:9" ht="15" customHeight="1" x14ac:dyDescent="0.2">
      <c r="B34" t="s">
        <v>98</v>
      </c>
      <c r="C34" s="12">
        <v>8</v>
      </c>
      <c r="D34" s="8">
        <v>2.37</v>
      </c>
      <c r="E34" s="12">
        <v>6</v>
      </c>
      <c r="F34" s="8">
        <v>2.41</v>
      </c>
      <c r="G34" s="12">
        <v>2</v>
      </c>
      <c r="H34" s="8">
        <v>2.44</v>
      </c>
      <c r="I34" s="12">
        <v>0</v>
      </c>
    </row>
    <row r="35" spans="2:9" ht="15" customHeight="1" x14ac:dyDescent="0.2">
      <c r="B35" t="s">
        <v>100</v>
      </c>
      <c r="C35" s="12">
        <v>7</v>
      </c>
      <c r="D35" s="8">
        <v>2.08</v>
      </c>
      <c r="E35" s="12">
        <v>7</v>
      </c>
      <c r="F35" s="8">
        <v>2.81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90</v>
      </c>
      <c r="C36" s="12">
        <v>6</v>
      </c>
      <c r="D36" s="8">
        <v>1.78</v>
      </c>
      <c r="E36" s="12">
        <v>4</v>
      </c>
      <c r="F36" s="8">
        <v>1.61</v>
      </c>
      <c r="G36" s="12">
        <v>2</v>
      </c>
      <c r="H36" s="8">
        <v>2.44</v>
      </c>
      <c r="I36" s="12">
        <v>0</v>
      </c>
    </row>
    <row r="37" spans="2:9" ht="15" customHeight="1" x14ac:dyDescent="0.2">
      <c r="B37" t="s">
        <v>117</v>
      </c>
      <c r="C37" s="12">
        <v>5</v>
      </c>
      <c r="D37" s="8">
        <v>1.48</v>
      </c>
      <c r="E37" s="12">
        <v>1</v>
      </c>
      <c r="F37" s="8">
        <v>0.4</v>
      </c>
      <c r="G37" s="12">
        <v>4</v>
      </c>
      <c r="H37" s="8">
        <v>4.88</v>
      </c>
      <c r="I37" s="12">
        <v>0</v>
      </c>
    </row>
    <row r="38" spans="2:9" ht="15" customHeight="1" x14ac:dyDescent="0.2">
      <c r="B38" t="s">
        <v>94</v>
      </c>
      <c r="C38" s="12">
        <v>5</v>
      </c>
      <c r="D38" s="8">
        <v>1.48</v>
      </c>
      <c r="E38" s="12">
        <v>2</v>
      </c>
      <c r="F38" s="8">
        <v>0.8</v>
      </c>
      <c r="G38" s="12">
        <v>3</v>
      </c>
      <c r="H38" s="8">
        <v>3.66</v>
      </c>
      <c r="I38" s="12">
        <v>0</v>
      </c>
    </row>
    <row r="39" spans="2:9" ht="15" customHeight="1" x14ac:dyDescent="0.2">
      <c r="B39" t="s">
        <v>110</v>
      </c>
      <c r="C39" s="12">
        <v>4</v>
      </c>
      <c r="D39" s="8">
        <v>1.19</v>
      </c>
      <c r="E39" s="12">
        <v>3</v>
      </c>
      <c r="F39" s="8">
        <v>1.2</v>
      </c>
      <c r="G39" s="12">
        <v>1</v>
      </c>
      <c r="H39" s="8">
        <v>1.22</v>
      </c>
      <c r="I39" s="12">
        <v>0</v>
      </c>
    </row>
    <row r="40" spans="2:9" ht="15" customHeight="1" x14ac:dyDescent="0.2">
      <c r="B40" t="s">
        <v>111</v>
      </c>
      <c r="C40" s="12">
        <v>4</v>
      </c>
      <c r="D40" s="8">
        <v>1.19</v>
      </c>
      <c r="E40" s="12">
        <v>3</v>
      </c>
      <c r="F40" s="8">
        <v>1.2</v>
      </c>
      <c r="G40" s="12">
        <v>1</v>
      </c>
      <c r="H40" s="8">
        <v>1.22</v>
      </c>
      <c r="I40" s="12">
        <v>0</v>
      </c>
    </row>
    <row r="41" spans="2:9" ht="15" customHeight="1" x14ac:dyDescent="0.2">
      <c r="B41" t="s">
        <v>124</v>
      </c>
      <c r="C41" s="12">
        <v>4</v>
      </c>
      <c r="D41" s="8">
        <v>1.19</v>
      </c>
      <c r="E41" s="12">
        <v>1</v>
      </c>
      <c r="F41" s="8">
        <v>0.4</v>
      </c>
      <c r="G41" s="12">
        <v>3</v>
      </c>
      <c r="H41" s="8">
        <v>3.66</v>
      </c>
      <c r="I41" s="12">
        <v>0</v>
      </c>
    </row>
    <row r="42" spans="2:9" ht="15" customHeight="1" x14ac:dyDescent="0.2">
      <c r="B42" t="s">
        <v>86</v>
      </c>
      <c r="C42" s="12">
        <v>4</v>
      </c>
      <c r="D42" s="8">
        <v>1.19</v>
      </c>
      <c r="E42" s="12">
        <v>1</v>
      </c>
      <c r="F42" s="8">
        <v>0.4</v>
      </c>
      <c r="G42" s="12">
        <v>3</v>
      </c>
      <c r="H42" s="8">
        <v>3.66</v>
      </c>
      <c r="I42" s="12">
        <v>0</v>
      </c>
    </row>
    <row r="43" spans="2:9" ht="15" customHeight="1" x14ac:dyDescent="0.2">
      <c r="B43" t="s">
        <v>103</v>
      </c>
      <c r="C43" s="12">
        <v>4</v>
      </c>
      <c r="D43" s="8">
        <v>1.19</v>
      </c>
      <c r="E43" s="12">
        <v>0</v>
      </c>
      <c r="F43" s="8">
        <v>0</v>
      </c>
      <c r="G43" s="12">
        <v>4</v>
      </c>
      <c r="H43" s="8">
        <v>4.88</v>
      </c>
      <c r="I43" s="12">
        <v>0</v>
      </c>
    </row>
    <row r="44" spans="2:9" ht="15" customHeight="1" x14ac:dyDescent="0.2">
      <c r="B44" t="s">
        <v>93</v>
      </c>
      <c r="C44" s="12">
        <v>4</v>
      </c>
      <c r="D44" s="8">
        <v>1.19</v>
      </c>
      <c r="E44" s="12">
        <v>3</v>
      </c>
      <c r="F44" s="8">
        <v>1.2</v>
      </c>
      <c r="G44" s="12">
        <v>1</v>
      </c>
      <c r="H44" s="8">
        <v>1.22</v>
      </c>
      <c r="I44" s="12">
        <v>0</v>
      </c>
    </row>
    <row r="45" spans="2:9" ht="15" customHeight="1" x14ac:dyDescent="0.2">
      <c r="B45" t="s">
        <v>95</v>
      </c>
      <c r="C45" s="12">
        <v>4</v>
      </c>
      <c r="D45" s="8">
        <v>1.19</v>
      </c>
      <c r="E45" s="12">
        <v>1</v>
      </c>
      <c r="F45" s="8">
        <v>0.4</v>
      </c>
      <c r="G45" s="12">
        <v>3</v>
      </c>
      <c r="H45" s="8">
        <v>3.66</v>
      </c>
      <c r="I45" s="12">
        <v>0</v>
      </c>
    </row>
    <row r="46" spans="2:9" ht="15" customHeight="1" x14ac:dyDescent="0.2">
      <c r="B46" t="s">
        <v>113</v>
      </c>
      <c r="C46" s="12">
        <v>4</v>
      </c>
      <c r="D46" s="8">
        <v>1.19</v>
      </c>
      <c r="E46" s="12">
        <v>2</v>
      </c>
      <c r="F46" s="8">
        <v>0.8</v>
      </c>
      <c r="G46" s="12">
        <v>1</v>
      </c>
      <c r="H46" s="8">
        <v>1.22</v>
      </c>
      <c r="I46" s="12">
        <v>0</v>
      </c>
    </row>
    <row r="47" spans="2:9" ht="15" customHeight="1" x14ac:dyDescent="0.2">
      <c r="B47" t="s">
        <v>102</v>
      </c>
      <c r="C47" s="12">
        <v>4</v>
      </c>
      <c r="D47" s="8">
        <v>1.19</v>
      </c>
      <c r="E47" s="12">
        <v>3</v>
      </c>
      <c r="F47" s="8">
        <v>1.2</v>
      </c>
      <c r="G47" s="12">
        <v>1</v>
      </c>
      <c r="H47" s="8">
        <v>1.22</v>
      </c>
      <c r="I47" s="12">
        <v>0</v>
      </c>
    </row>
    <row r="50" spans="2:9" ht="33" customHeight="1" x14ac:dyDescent="0.2">
      <c r="B50" t="s">
        <v>339</v>
      </c>
      <c r="C50" s="10" t="s">
        <v>76</v>
      </c>
      <c r="D50" s="10" t="s">
        <v>77</v>
      </c>
      <c r="E50" s="10" t="s">
        <v>78</v>
      </c>
      <c r="F50" s="10" t="s">
        <v>79</v>
      </c>
      <c r="G50" s="10" t="s">
        <v>80</v>
      </c>
      <c r="H50" s="10" t="s">
        <v>81</v>
      </c>
      <c r="I50" s="10" t="s">
        <v>82</v>
      </c>
    </row>
    <row r="51" spans="2:9" ht="15" customHeight="1" x14ac:dyDescent="0.2">
      <c r="B51" t="s">
        <v>168</v>
      </c>
      <c r="C51" s="12">
        <v>23</v>
      </c>
      <c r="D51" s="8">
        <v>6.82</v>
      </c>
      <c r="E51" s="12">
        <v>22</v>
      </c>
      <c r="F51" s="8">
        <v>8.84</v>
      </c>
      <c r="G51" s="12">
        <v>1</v>
      </c>
      <c r="H51" s="8">
        <v>1.22</v>
      </c>
      <c r="I51" s="12">
        <v>0</v>
      </c>
    </row>
    <row r="52" spans="2:9" ht="15" customHeight="1" x14ac:dyDescent="0.2">
      <c r="B52" t="s">
        <v>174</v>
      </c>
      <c r="C52" s="12">
        <v>15</v>
      </c>
      <c r="D52" s="8">
        <v>4.45</v>
      </c>
      <c r="E52" s="12">
        <v>15</v>
      </c>
      <c r="F52" s="8">
        <v>6.02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173</v>
      </c>
      <c r="C53" s="12">
        <v>12</v>
      </c>
      <c r="D53" s="8">
        <v>3.56</v>
      </c>
      <c r="E53" s="12">
        <v>12</v>
      </c>
      <c r="F53" s="8">
        <v>4.82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160</v>
      </c>
      <c r="C54" s="12">
        <v>11</v>
      </c>
      <c r="D54" s="8">
        <v>3.26</v>
      </c>
      <c r="E54" s="12">
        <v>10</v>
      </c>
      <c r="F54" s="8">
        <v>4.0199999999999996</v>
      </c>
      <c r="G54" s="12">
        <v>1</v>
      </c>
      <c r="H54" s="8">
        <v>1.22</v>
      </c>
      <c r="I54" s="12">
        <v>0</v>
      </c>
    </row>
    <row r="55" spans="2:9" ht="15" customHeight="1" x14ac:dyDescent="0.2">
      <c r="B55" t="s">
        <v>185</v>
      </c>
      <c r="C55" s="12">
        <v>11</v>
      </c>
      <c r="D55" s="8">
        <v>3.26</v>
      </c>
      <c r="E55" s="12">
        <v>6</v>
      </c>
      <c r="F55" s="8">
        <v>2.41</v>
      </c>
      <c r="G55" s="12">
        <v>5</v>
      </c>
      <c r="H55" s="8">
        <v>6.1</v>
      </c>
      <c r="I55" s="12">
        <v>0</v>
      </c>
    </row>
    <row r="56" spans="2:9" ht="15" customHeight="1" x14ac:dyDescent="0.2">
      <c r="B56" t="s">
        <v>158</v>
      </c>
      <c r="C56" s="12">
        <v>9</v>
      </c>
      <c r="D56" s="8">
        <v>2.67</v>
      </c>
      <c r="E56" s="12">
        <v>5</v>
      </c>
      <c r="F56" s="8">
        <v>2.0099999999999998</v>
      </c>
      <c r="G56" s="12">
        <v>4</v>
      </c>
      <c r="H56" s="8">
        <v>4.88</v>
      </c>
      <c r="I56" s="12">
        <v>0</v>
      </c>
    </row>
    <row r="57" spans="2:9" ht="15" customHeight="1" x14ac:dyDescent="0.2">
      <c r="B57" t="s">
        <v>181</v>
      </c>
      <c r="C57" s="12">
        <v>9</v>
      </c>
      <c r="D57" s="8">
        <v>2.67</v>
      </c>
      <c r="E57" s="12">
        <v>8</v>
      </c>
      <c r="F57" s="8">
        <v>3.21</v>
      </c>
      <c r="G57" s="12">
        <v>1</v>
      </c>
      <c r="H57" s="8">
        <v>1.22</v>
      </c>
      <c r="I57" s="12">
        <v>0</v>
      </c>
    </row>
    <row r="58" spans="2:9" ht="15" customHeight="1" x14ac:dyDescent="0.2">
      <c r="B58" t="s">
        <v>166</v>
      </c>
      <c r="C58" s="12">
        <v>8</v>
      </c>
      <c r="D58" s="8">
        <v>2.37</v>
      </c>
      <c r="E58" s="12">
        <v>7</v>
      </c>
      <c r="F58" s="8">
        <v>2.81</v>
      </c>
      <c r="G58" s="12">
        <v>1</v>
      </c>
      <c r="H58" s="8">
        <v>1.22</v>
      </c>
      <c r="I58" s="12">
        <v>0</v>
      </c>
    </row>
    <row r="59" spans="2:9" ht="15" customHeight="1" x14ac:dyDescent="0.2">
      <c r="B59" t="s">
        <v>175</v>
      </c>
      <c r="C59" s="12">
        <v>8</v>
      </c>
      <c r="D59" s="8">
        <v>2.37</v>
      </c>
      <c r="E59" s="12">
        <v>7</v>
      </c>
      <c r="F59" s="8">
        <v>2.81</v>
      </c>
      <c r="G59" s="12">
        <v>1</v>
      </c>
      <c r="H59" s="8">
        <v>1.22</v>
      </c>
      <c r="I59" s="12">
        <v>0</v>
      </c>
    </row>
    <row r="60" spans="2:9" ht="15" customHeight="1" x14ac:dyDescent="0.2">
      <c r="B60" t="s">
        <v>178</v>
      </c>
      <c r="C60" s="12">
        <v>7</v>
      </c>
      <c r="D60" s="8">
        <v>2.08</v>
      </c>
      <c r="E60" s="12">
        <v>7</v>
      </c>
      <c r="F60" s="8">
        <v>2.81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171</v>
      </c>
      <c r="C61" s="12">
        <v>7</v>
      </c>
      <c r="D61" s="8">
        <v>2.08</v>
      </c>
      <c r="E61" s="12">
        <v>7</v>
      </c>
      <c r="F61" s="8">
        <v>2.81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172</v>
      </c>
      <c r="C62" s="12">
        <v>7</v>
      </c>
      <c r="D62" s="8">
        <v>2.08</v>
      </c>
      <c r="E62" s="12">
        <v>7</v>
      </c>
      <c r="F62" s="8">
        <v>2.81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159</v>
      </c>
      <c r="C63" s="12">
        <v>6</v>
      </c>
      <c r="D63" s="8">
        <v>1.78</v>
      </c>
      <c r="E63" s="12">
        <v>4</v>
      </c>
      <c r="F63" s="8">
        <v>1.61</v>
      </c>
      <c r="G63" s="12">
        <v>2</v>
      </c>
      <c r="H63" s="8">
        <v>2.44</v>
      </c>
      <c r="I63" s="12">
        <v>0</v>
      </c>
    </row>
    <row r="64" spans="2:9" ht="15" customHeight="1" x14ac:dyDescent="0.2">
      <c r="B64" t="s">
        <v>161</v>
      </c>
      <c r="C64" s="12">
        <v>6</v>
      </c>
      <c r="D64" s="8">
        <v>1.78</v>
      </c>
      <c r="E64" s="12">
        <v>4</v>
      </c>
      <c r="F64" s="8">
        <v>1.61</v>
      </c>
      <c r="G64" s="12">
        <v>2</v>
      </c>
      <c r="H64" s="8">
        <v>2.44</v>
      </c>
      <c r="I64" s="12">
        <v>0</v>
      </c>
    </row>
    <row r="65" spans="2:9" ht="15" customHeight="1" x14ac:dyDescent="0.2">
      <c r="B65" t="s">
        <v>191</v>
      </c>
      <c r="C65" s="12">
        <v>6</v>
      </c>
      <c r="D65" s="8">
        <v>1.78</v>
      </c>
      <c r="E65" s="12">
        <v>5</v>
      </c>
      <c r="F65" s="8">
        <v>2.0099999999999998</v>
      </c>
      <c r="G65" s="12">
        <v>1</v>
      </c>
      <c r="H65" s="8">
        <v>1.22</v>
      </c>
      <c r="I65" s="12">
        <v>0</v>
      </c>
    </row>
    <row r="66" spans="2:9" ht="15" customHeight="1" x14ac:dyDescent="0.2">
      <c r="B66" t="s">
        <v>163</v>
      </c>
      <c r="C66" s="12">
        <v>5</v>
      </c>
      <c r="D66" s="8">
        <v>1.48</v>
      </c>
      <c r="E66" s="12">
        <v>5</v>
      </c>
      <c r="F66" s="8">
        <v>2.0099999999999998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210</v>
      </c>
      <c r="C67" s="12">
        <v>5</v>
      </c>
      <c r="D67" s="8">
        <v>1.48</v>
      </c>
      <c r="E67" s="12">
        <v>5</v>
      </c>
      <c r="F67" s="8">
        <v>2.0099999999999998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170</v>
      </c>
      <c r="C68" s="12">
        <v>5</v>
      </c>
      <c r="D68" s="8">
        <v>1.48</v>
      </c>
      <c r="E68" s="12">
        <v>5</v>
      </c>
      <c r="F68" s="8">
        <v>2.0099999999999998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182</v>
      </c>
      <c r="C69" s="12">
        <v>5</v>
      </c>
      <c r="D69" s="8">
        <v>1.48</v>
      </c>
      <c r="E69" s="12">
        <v>4</v>
      </c>
      <c r="F69" s="8">
        <v>1.61</v>
      </c>
      <c r="G69" s="12">
        <v>1</v>
      </c>
      <c r="H69" s="8">
        <v>1.22</v>
      </c>
      <c r="I69" s="12">
        <v>0</v>
      </c>
    </row>
    <row r="70" spans="2:9" ht="15" customHeight="1" x14ac:dyDescent="0.2">
      <c r="B70" t="s">
        <v>269</v>
      </c>
      <c r="C70" s="12">
        <v>5</v>
      </c>
      <c r="D70" s="8">
        <v>1.48</v>
      </c>
      <c r="E70" s="12">
        <v>4</v>
      </c>
      <c r="F70" s="8">
        <v>1.61</v>
      </c>
      <c r="G70" s="12">
        <v>1</v>
      </c>
      <c r="H70" s="8">
        <v>1.22</v>
      </c>
      <c r="I70" s="12">
        <v>0</v>
      </c>
    </row>
    <row r="71" spans="2:9" ht="15" customHeight="1" x14ac:dyDescent="0.2">
      <c r="B71" t="s">
        <v>176</v>
      </c>
      <c r="C71" s="12">
        <v>5</v>
      </c>
      <c r="D71" s="8">
        <v>1.48</v>
      </c>
      <c r="E71" s="12">
        <v>5</v>
      </c>
      <c r="F71" s="8">
        <v>2.0099999999999998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21AA-A865-4801-BED0-04D72FC72E3D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33</v>
      </c>
      <c r="D6" s="8">
        <v>35.869999999999997</v>
      </c>
      <c r="E6" s="12">
        <v>26</v>
      </c>
      <c r="F6" s="8">
        <v>37.68</v>
      </c>
      <c r="G6" s="12">
        <v>7</v>
      </c>
      <c r="H6" s="8">
        <v>31.82</v>
      </c>
      <c r="I6" s="12">
        <v>0</v>
      </c>
    </row>
    <row r="7" spans="2:9" ht="15" customHeight="1" x14ac:dyDescent="0.2">
      <c r="B7" t="s">
        <v>62</v>
      </c>
      <c r="C7" s="12">
        <v>7</v>
      </c>
      <c r="D7" s="8">
        <v>7.61</v>
      </c>
      <c r="E7" s="12">
        <v>3</v>
      </c>
      <c r="F7" s="8">
        <v>4.3499999999999996</v>
      </c>
      <c r="G7" s="12">
        <v>4</v>
      </c>
      <c r="H7" s="8">
        <v>18.18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24</v>
      </c>
      <c r="D11" s="8">
        <v>26.09</v>
      </c>
      <c r="E11" s="12">
        <v>21</v>
      </c>
      <c r="F11" s="8">
        <v>30.43</v>
      </c>
      <c r="G11" s="12">
        <v>3</v>
      </c>
      <c r="H11" s="8">
        <v>13.64</v>
      </c>
      <c r="I11" s="12">
        <v>0</v>
      </c>
    </row>
    <row r="12" spans="2:9" ht="15" customHeight="1" x14ac:dyDescent="0.2">
      <c r="B12" t="s">
        <v>67</v>
      </c>
      <c r="C12" s="12">
        <v>1</v>
      </c>
      <c r="D12" s="8">
        <v>1.0900000000000001</v>
      </c>
      <c r="E12" s="12">
        <v>0</v>
      </c>
      <c r="F12" s="8">
        <v>0</v>
      </c>
      <c r="G12" s="12">
        <v>1</v>
      </c>
      <c r="H12" s="8">
        <v>4.55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2.17</v>
      </c>
      <c r="E13" s="12">
        <v>0</v>
      </c>
      <c r="F13" s="8">
        <v>0</v>
      </c>
      <c r="G13" s="12">
        <v>2</v>
      </c>
      <c r="H13" s="8">
        <v>9.09</v>
      </c>
      <c r="I13" s="12">
        <v>0</v>
      </c>
    </row>
    <row r="14" spans="2:9" ht="15" customHeight="1" x14ac:dyDescent="0.2">
      <c r="B14" t="s">
        <v>69</v>
      </c>
      <c r="C14" s="12">
        <v>4</v>
      </c>
      <c r="D14" s="8">
        <v>4.3499999999999996</v>
      </c>
      <c r="E14" s="12">
        <v>2</v>
      </c>
      <c r="F14" s="8">
        <v>2.9</v>
      </c>
      <c r="G14" s="12">
        <v>2</v>
      </c>
      <c r="H14" s="8">
        <v>9.09</v>
      </c>
      <c r="I14" s="12">
        <v>0</v>
      </c>
    </row>
    <row r="15" spans="2:9" ht="15" customHeight="1" x14ac:dyDescent="0.2">
      <c r="B15" t="s">
        <v>70</v>
      </c>
      <c r="C15" s="12">
        <v>7</v>
      </c>
      <c r="D15" s="8">
        <v>7.61</v>
      </c>
      <c r="E15" s="12">
        <v>5</v>
      </c>
      <c r="F15" s="8">
        <v>7.25</v>
      </c>
      <c r="G15" s="12">
        <v>2</v>
      </c>
      <c r="H15" s="8">
        <v>9.09</v>
      </c>
      <c r="I15" s="12">
        <v>0</v>
      </c>
    </row>
    <row r="16" spans="2:9" ht="15" customHeight="1" x14ac:dyDescent="0.2">
      <c r="B16" t="s">
        <v>71</v>
      </c>
      <c r="C16" s="12">
        <v>9</v>
      </c>
      <c r="D16" s="8">
        <v>9.7799999999999994</v>
      </c>
      <c r="E16" s="12">
        <v>8</v>
      </c>
      <c r="F16" s="8">
        <v>11.59</v>
      </c>
      <c r="G16" s="12">
        <v>1</v>
      </c>
      <c r="H16" s="8">
        <v>4.55</v>
      </c>
      <c r="I16" s="12">
        <v>0</v>
      </c>
    </row>
    <row r="17" spans="2:9" ht="15" customHeight="1" x14ac:dyDescent="0.2">
      <c r="B17" t="s">
        <v>72</v>
      </c>
      <c r="C17" s="12">
        <v>3</v>
      </c>
      <c r="D17" s="8">
        <v>3.26</v>
      </c>
      <c r="E17" s="12">
        <v>2</v>
      </c>
      <c r="F17" s="8">
        <v>2.9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1.0900000000000001</v>
      </c>
      <c r="E18" s="12">
        <v>1</v>
      </c>
      <c r="F18" s="8">
        <v>1.45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1</v>
      </c>
      <c r="D19" s="8">
        <v>1.0900000000000001</v>
      </c>
      <c r="E19" s="12">
        <v>1</v>
      </c>
      <c r="F19" s="8">
        <v>1.45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SUM(LTBL_07484[総数／事業所数])</f>
        <v>92</v>
      </c>
      <c r="E20" s="12">
        <f>SUBTOTAL(109,LTBL_07484[個人／事業所数])</f>
        <v>69</v>
      </c>
      <c r="G20" s="12">
        <f>SUBTOTAL(109,LTBL_07484[法人／事業所数])</f>
        <v>22</v>
      </c>
      <c r="I20" s="12">
        <f>SUBTOTAL(109,LTBL_07484[法人以外の団体／事業所数])</f>
        <v>0</v>
      </c>
    </row>
    <row r="21" spans="2:9" ht="15" customHeight="1" x14ac:dyDescent="0.2">
      <c r="E21" s="11">
        <f>LTBL_07484[[#Totals],[個人／事業所数]]/LTBL_07484[[#Totals],[総数／事業所数]]</f>
        <v>0.75</v>
      </c>
      <c r="G21" s="11">
        <f>LTBL_07484[[#Totals],[法人／事業所数]]/LTBL_07484[[#Totals],[総数／事業所数]]</f>
        <v>0.2391304347826087</v>
      </c>
      <c r="I21" s="11">
        <f>LTBL_07484[[#Totals],[法人以外の団体／事業所数]]/LTBL_07484[[#Totals],[総数／事業所数]]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19</v>
      </c>
      <c r="D24" s="8">
        <v>20.65</v>
      </c>
      <c r="E24" s="12">
        <v>13</v>
      </c>
      <c r="F24" s="8">
        <v>18.84</v>
      </c>
      <c r="G24" s="12">
        <v>6</v>
      </c>
      <c r="H24" s="8">
        <v>27.27</v>
      </c>
      <c r="I24" s="12">
        <v>0</v>
      </c>
    </row>
    <row r="25" spans="2:9" ht="15" customHeight="1" x14ac:dyDescent="0.2">
      <c r="B25" t="s">
        <v>84</v>
      </c>
      <c r="C25" s="12">
        <v>11</v>
      </c>
      <c r="D25" s="8">
        <v>11.96</v>
      </c>
      <c r="E25" s="12">
        <v>10</v>
      </c>
      <c r="F25" s="8">
        <v>14.49</v>
      </c>
      <c r="G25" s="12">
        <v>1</v>
      </c>
      <c r="H25" s="8">
        <v>4.55</v>
      </c>
      <c r="I25" s="12">
        <v>0</v>
      </c>
    </row>
    <row r="26" spans="2:9" ht="15" customHeight="1" x14ac:dyDescent="0.2">
      <c r="B26" t="s">
        <v>91</v>
      </c>
      <c r="C26" s="12">
        <v>10</v>
      </c>
      <c r="D26" s="8">
        <v>10.87</v>
      </c>
      <c r="E26" s="12">
        <v>9</v>
      </c>
      <c r="F26" s="8">
        <v>13.04</v>
      </c>
      <c r="G26" s="12">
        <v>1</v>
      </c>
      <c r="H26" s="8">
        <v>4.55</v>
      </c>
      <c r="I26" s="12">
        <v>0</v>
      </c>
    </row>
    <row r="27" spans="2:9" ht="15" customHeight="1" x14ac:dyDescent="0.2">
      <c r="B27" t="s">
        <v>89</v>
      </c>
      <c r="C27" s="12">
        <v>9</v>
      </c>
      <c r="D27" s="8">
        <v>9.7799999999999994</v>
      </c>
      <c r="E27" s="12">
        <v>8</v>
      </c>
      <c r="F27" s="8">
        <v>11.59</v>
      </c>
      <c r="G27" s="12">
        <v>1</v>
      </c>
      <c r="H27" s="8">
        <v>4.55</v>
      </c>
      <c r="I27" s="12">
        <v>0</v>
      </c>
    </row>
    <row r="28" spans="2:9" ht="15" customHeight="1" x14ac:dyDescent="0.2">
      <c r="B28" t="s">
        <v>97</v>
      </c>
      <c r="C28" s="12">
        <v>7</v>
      </c>
      <c r="D28" s="8">
        <v>7.61</v>
      </c>
      <c r="E28" s="12">
        <v>7</v>
      </c>
      <c r="F28" s="8">
        <v>10.14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96</v>
      </c>
      <c r="C29" s="12">
        <v>5</v>
      </c>
      <c r="D29" s="8">
        <v>5.43</v>
      </c>
      <c r="E29" s="12">
        <v>5</v>
      </c>
      <c r="F29" s="8">
        <v>7.25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85</v>
      </c>
      <c r="C30" s="12">
        <v>3</v>
      </c>
      <c r="D30" s="8">
        <v>3.26</v>
      </c>
      <c r="E30" s="12">
        <v>3</v>
      </c>
      <c r="F30" s="8">
        <v>4.3499999999999996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111</v>
      </c>
      <c r="C31" s="12">
        <v>3</v>
      </c>
      <c r="D31" s="8">
        <v>3.26</v>
      </c>
      <c r="E31" s="12">
        <v>2</v>
      </c>
      <c r="F31" s="8">
        <v>2.9</v>
      </c>
      <c r="G31" s="12">
        <v>1</v>
      </c>
      <c r="H31" s="8">
        <v>4.55</v>
      </c>
      <c r="I31" s="12">
        <v>0</v>
      </c>
    </row>
    <row r="32" spans="2:9" ht="15" customHeight="1" x14ac:dyDescent="0.2">
      <c r="B32" t="s">
        <v>88</v>
      </c>
      <c r="C32" s="12">
        <v>3</v>
      </c>
      <c r="D32" s="8">
        <v>3.26</v>
      </c>
      <c r="E32" s="12">
        <v>3</v>
      </c>
      <c r="F32" s="8">
        <v>4.3499999999999996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94</v>
      </c>
      <c r="C33" s="12">
        <v>3</v>
      </c>
      <c r="D33" s="8">
        <v>3.26</v>
      </c>
      <c r="E33" s="12">
        <v>1</v>
      </c>
      <c r="F33" s="8">
        <v>1.45</v>
      </c>
      <c r="G33" s="12">
        <v>2</v>
      </c>
      <c r="H33" s="8">
        <v>9.09</v>
      </c>
      <c r="I33" s="12">
        <v>0</v>
      </c>
    </row>
    <row r="34" spans="2:9" ht="15" customHeight="1" x14ac:dyDescent="0.2">
      <c r="B34" t="s">
        <v>99</v>
      </c>
      <c r="C34" s="12">
        <v>3</v>
      </c>
      <c r="D34" s="8">
        <v>3.26</v>
      </c>
      <c r="E34" s="12">
        <v>2</v>
      </c>
      <c r="F34" s="8">
        <v>2.9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92</v>
      </c>
      <c r="C35" s="12">
        <v>2</v>
      </c>
      <c r="D35" s="8">
        <v>2.17</v>
      </c>
      <c r="E35" s="12">
        <v>0</v>
      </c>
      <c r="F35" s="8">
        <v>0</v>
      </c>
      <c r="G35" s="12">
        <v>2</v>
      </c>
      <c r="H35" s="8">
        <v>9.09</v>
      </c>
      <c r="I35" s="12">
        <v>0</v>
      </c>
    </row>
    <row r="36" spans="2:9" ht="15" customHeight="1" x14ac:dyDescent="0.2">
      <c r="B36" t="s">
        <v>113</v>
      </c>
      <c r="C36" s="12">
        <v>2</v>
      </c>
      <c r="D36" s="8">
        <v>2.17</v>
      </c>
      <c r="E36" s="12">
        <v>0</v>
      </c>
      <c r="F36" s="8">
        <v>0</v>
      </c>
      <c r="G36" s="12">
        <v>2</v>
      </c>
      <c r="H36" s="8">
        <v>9.09</v>
      </c>
      <c r="I36" s="12">
        <v>0</v>
      </c>
    </row>
    <row r="37" spans="2:9" ht="15" customHeight="1" x14ac:dyDescent="0.2">
      <c r="B37" t="s">
        <v>110</v>
      </c>
      <c r="C37" s="12">
        <v>1</v>
      </c>
      <c r="D37" s="8">
        <v>1.0900000000000001</v>
      </c>
      <c r="E37" s="12">
        <v>0</v>
      </c>
      <c r="F37" s="8">
        <v>0</v>
      </c>
      <c r="G37" s="12">
        <v>1</v>
      </c>
      <c r="H37" s="8">
        <v>4.55</v>
      </c>
      <c r="I37" s="12">
        <v>0</v>
      </c>
    </row>
    <row r="38" spans="2:9" ht="15" customHeight="1" x14ac:dyDescent="0.2">
      <c r="B38" t="s">
        <v>124</v>
      </c>
      <c r="C38" s="12">
        <v>1</v>
      </c>
      <c r="D38" s="8">
        <v>1.0900000000000001</v>
      </c>
      <c r="E38" s="12">
        <v>0</v>
      </c>
      <c r="F38" s="8">
        <v>0</v>
      </c>
      <c r="G38" s="12">
        <v>1</v>
      </c>
      <c r="H38" s="8">
        <v>4.55</v>
      </c>
      <c r="I38" s="12">
        <v>0</v>
      </c>
    </row>
    <row r="39" spans="2:9" ht="15" customHeight="1" x14ac:dyDescent="0.2">
      <c r="B39" t="s">
        <v>115</v>
      </c>
      <c r="C39" s="12">
        <v>1</v>
      </c>
      <c r="D39" s="8">
        <v>1.0900000000000001</v>
      </c>
      <c r="E39" s="12">
        <v>0</v>
      </c>
      <c r="F39" s="8">
        <v>0</v>
      </c>
      <c r="G39" s="12">
        <v>1</v>
      </c>
      <c r="H39" s="8">
        <v>4.55</v>
      </c>
      <c r="I39" s="12">
        <v>0</v>
      </c>
    </row>
    <row r="40" spans="2:9" ht="15" customHeight="1" x14ac:dyDescent="0.2">
      <c r="B40" t="s">
        <v>122</v>
      </c>
      <c r="C40" s="12">
        <v>1</v>
      </c>
      <c r="D40" s="8">
        <v>1.0900000000000001</v>
      </c>
      <c r="E40" s="12">
        <v>1</v>
      </c>
      <c r="F40" s="8">
        <v>1.45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86</v>
      </c>
      <c r="C41" s="12">
        <v>1</v>
      </c>
      <c r="D41" s="8">
        <v>1.0900000000000001</v>
      </c>
      <c r="E41" s="12">
        <v>0</v>
      </c>
      <c r="F41" s="8">
        <v>0</v>
      </c>
      <c r="G41" s="12">
        <v>1</v>
      </c>
      <c r="H41" s="8">
        <v>4.55</v>
      </c>
      <c r="I41" s="12">
        <v>0</v>
      </c>
    </row>
    <row r="42" spans="2:9" ht="15" customHeight="1" x14ac:dyDescent="0.2">
      <c r="B42" t="s">
        <v>103</v>
      </c>
      <c r="C42" s="12">
        <v>1</v>
      </c>
      <c r="D42" s="8">
        <v>1.0900000000000001</v>
      </c>
      <c r="E42" s="12">
        <v>1</v>
      </c>
      <c r="F42" s="8">
        <v>1.45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109</v>
      </c>
      <c r="C43" s="12">
        <v>1</v>
      </c>
      <c r="D43" s="8">
        <v>1.0900000000000001</v>
      </c>
      <c r="E43" s="12">
        <v>0</v>
      </c>
      <c r="F43" s="8">
        <v>0</v>
      </c>
      <c r="G43" s="12">
        <v>1</v>
      </c>
      <c r="H43" s="8">
        <v>4.55</v>
      </c>
      <c r="I43" s="12">
        <v>0</v>
      </c>
    </row>
    <row r="44" spans="2:9" ht="15" customHeight="1" x14ac:dyDescent="0.2">
      <c r="B44" t="s">
        <v>93</v>
      </c>
      <c r="C44" s="12">
        <v>1</v>
      </c>
      <c r="D44" s="8">
        <v>1.0900000000000001</v>
      </c>
      <c r="E44" s="12">
        <v>1</v>
      </c>
      <c r="F44" s="8">
        <v>1.45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98</v>
      </c>
      <c r="C45" s="12">
        <v>1</v>
      </c>
      <c r="D45" s="8">
        <v>1.0900000000000001</v>
      </c>
      <c r="E45" s="12">
        <v>1</v>
      </c>
      <c r="F45" s="8">
        <v>1.45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129</v>
      </c>
      <c r="C46" s="12">
        <v>1</v>
      </c>
      <c r="D46" s="8">
        <v>1.0900000000000001</v>
      </c>
      <c r="E46" s="12">
        <v>0</v>
      </c>
      <c r="F46" s="8">
        <v>0</v>
      </c>
      <c r="G46" s="12">
        <v>1</v>
      </c>
      <c r="H46" s="8">
        <v>4.55</v>
      </c>
      <c r="I46" s="12">
        <v>0</v>
      </c>
    </row>
    <row r="47" spans="2:9" ht="15" customHeight="1" x14ac:dyDescent="0.2">
      <c r="B47" t="s">
        <v>100</v>
      </c>
      <c r="C47" s="12">
        <v>1</v>
      </c>
      <c r="D47" s="8">
        <v>1.0900000000000001</v>
      </c>
      <c r="E47" s="12">
        <v>1</v>
      </c>
      <c r="F47" s="8">
        <v>1.45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102</v>
      </c>
      <c r="C48" s="12">
        <v>1</v>
      </c>
      <c r="D48" s="8">
        <v>1.0900000000000001</v>
      </c>
      <c r="E48" s="12">
        <v>1</v>
      </c>
      <c r="F48" s="8">
        <v>1.45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339</v>
      </c>
      <c r="C51" s="10" t="s">
        <v>76</v>
      </c>
      <c r="D51" s="10" t="s">
        <v>77</v>
      </c>
      <c r="E51" s="10" t="s">
        <v>78</v>
      </c>
      <c r="F51" s="10" t="s">
        <v>79</v>
      </c>
      <c r="G51" s="10" t="s">
        <v>80</v>
      </c>
      <c r="H51" s="10" t="s">
        <v>81</v>
      </c>
      <c r="I51" s="10" t="s">
        <v>82</v>
      </c>
    </row>
    <row r="52" spans="2:9" ht="15" customHeight="1" x14ac:dyDescent="0.2">
      <c r="B52" t="s">
        <v>160</v>
      </c>
      <c r="C52" s="12">
        <v>12</v>
      </c>
      <c r="D52" s="8">
        <v>13.04</v>
      </c>
      <c r="E52" s="12">
        <v>11</v>
      </c>
      <c r="F52" s="8">
        <v>15.94</v>
      </c>
      <c r="G52" s="12">
        <v>1</v>
      </c>
      <c r="H52" s="8">
        <v>4.55</v>
      </c>
      <c r="I52" s="12">
        <v>0</v>
      </c>
    </row>
    <row r="53" spans="2:9" ht="15" customHeight="1" x14ac:dyDescent="0.2">
      <c r="B53" t="s">
        <v>158</v>
      </c>
      <c r="C53" s="12">
        <v>5</v>
      </c>
      <c r="D53" s="8">
        <v>5.43</v>
      </c>
      <c r="E53" s="12">
        <v>1</v>
      </c>
      <c r="F53" s="8">
        <v>1.45</v>
      </c>
      <c r="G53" s="12">
        <v>4</v>
      </c>
      <c r="H53" s="8">
        <v>18.18</v>
      </c>
      <c r="I53" s="12">
        <v>0</v>
      </c>
    </row>
    <row r="54" spans="2:9" ht="15" customHeight="1" x14ac:dyDescent="0.2">
      <c r="B54" t="s">
        <v>194</v>
      </c>
      <c r="C54" s="12">
        <v>5</v>
      </c>
      <c r="D54" s="8">
        <v>5.43</v>
      </c>
      <c r="E54" s="12">
        <v>5</v>
      </c>
      <c r="F54" s="8">
        <v>7.25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210</v>
      </c>
      <c r="C55" s="12">
        <v>4</v>
      </c>
      <c r="D55" s="8">
        <v>4.3499999999999996</v>
      </c>
      <c r="E55" s="12">
        <v>4</v>
      </c>
      <c r="F55" s="8">
        <v>5.8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185</v>
      </c>
      <c r="C56" s="12">
        <v>4</v>
      </c>
      <c r="D56" s="8">
        <v>4.3499999999999996</v>
      </c>
      <c r="E56" s="12">
        <v>3</v>
      </c>
      <c r="F56" s="8">
        <v>4.3499999999999996</v>
      </c>
      <c r="G56" s="12">
        <v>1</v>
      </c>
      <c r="H56" s="8">
        <v>4.55</v>
      </c>
      <c r="I56" s="12">
        <v>0</v>
      </c>
    </row>
    <row r="57" spans="2:9" ht="15" customHeight="1" x14ac:dyDescent="0.2">
      <c r="B57" t="s">
        <v>173</v>
      </c>
      <c r="C57" s="12">
        <v>4</v>
      </c>
      <c r="D57" s="8">
        <v>4.3499999999999996</v>
      </c>
      <c r="E57" s="12">
        <v>4</v>
      </c>
      <c r="F57" s="8">
        <v>5.8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196</v>
      </c>
      <c r="C58" s="12">
        <v>3</v>
      </c>
      <c r="D58" s="8">
        <v>3.26</v>
      </c>
      <c r="E58" s="12">
        <v>2</v>
      </c>
      <c r="F58" s="8">
        <v>2.9</v>
      </c>
      <c r="G58" s="12">
        <v>1</v>
      </c>
      <c r="H58" s="8">
        <v>4.55</v>
      </c>
      <c r="I58" s="12">
        <v>0</v>
      </c>
    </row>
    <row r="59" spans="2:9" ht="15" customHeight="1" x14ac:dyDescent="0.2">
      <c r="B59" t="s">
        <v>289</v>
      </c>
      <c r="C59" s="12">
        <v>3</v>
      </c>
      <c r="D59" s="8">
        <v>3.26</v>
      </c>
      <c r="E59" s="12">
        <v>2</v>
      </c>
      <c r="F59" s="8">
        <v>2.9</v>
      </c>
      <c r="G59" s="12">
        <v>1</v>
      </c>
      <c r="H59" s="8">
        <v>4.55</v>
      </c>
      <c r="I59" s="12">
        <v>0</v>
      </c>
    </row>
    <row r="60" spans="2:9" ht="15" customHeight="1" x14ac:dyDescent="0.2">
      <c r="B60" t="s">
        <v>191</v>
      </c>
      <c r="C60" s="12">
        <v>3</v>
      </c>
      <c r="D60" s="8">
        <v>3.26</v>
      </c>
      <c r="E60" s="12">
        <v>3</v>
      </c>
      <c r="F60" s="8">
        <v>4.3499999999999996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174</v>
      </c>
      <c r="C61" s="12">
        <v>3</v>
      </c>
      <c r="D61" s="8">
        <v>3.26</v>
      </c>
      <c r="E61" s="12">
        <v>3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161</v>
      </c>
      <c r="C62" s="12">
        <v>2</v>
      </c>
      <c r="D62" s="8">
        <v>2.17</v>
      </c>
      <c r="E62" s="12">
        <v>2</v>
      </c>
      <c r="F62" s="8">
        <v>2.9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222</v>
      </c>
      <c r="C63" s="12">
        <v>2</v>
      </c>
      <c r="D63" s="8">
        <v>2.17</v>
      </c>
      <c r="E63" s="12">
        <v>2</v>
      </c>
      <c r="F63" s="8">
        <v>2.9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212</v>
      </c>
      <c r="C64" s="12">
        <v>2</v>
      </c>
      <c r="D64" s="8">
        <v>2.17</v>
      </c>
      <c r="E64" s="12">
        <v>2</v>
      </c>
      <c r="F64" s="8">
        <v>2.9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178</v>
      </c>
      <c r="C65" s="12">
        <v>2</v>
      </c>
      <c r="D65" s="8">
        <v>2.17</v>
      </c>
      <c r="E65" s="12">
        <v>2</v>
      </c>
      <c r="F65" s="8">
        <v>2.9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167</v>
      </c>
      <c r="C66" s="12">
        <v>2</v>
      </c>
      <c r="D66" s="8">
        <v>2.17</v>
      </c>
      <c r="E66" s="12">
        <v>0</v>
      </c>
      <c r="F66" s="8">
        <v>0</v>
      </c>
      <c r="G66" s="12">
        <v>2</v>
      </c>
      <c r="H66" s="8">
        <v>9.09</v>
      </c>
      <c r="I66" s="12">
        <v>0</v>
      </c>
    </row>
    <row r="67" spans="2:9" ht="15" customHeight="1" x14ac:dyDescent="0.2">
      <c r="B67" t="s">
        <v>169</v>
      </c>
      <c r="C67" s="12">
        <v>2</v>
      </c>
      <c r="D67" s="8">
        <v>2.17</v>
      </c>
      <c r="E67" s="12">
        <v>0</v>
      </c>
      <c r="F67" s="8">
        <v>0</v>
      </c>
      <c r="G67" s="12">
        <v>2</v>
      </c>
      <c r="H67" s="8">
        <v>9.09</v>
      </c>
      <c r="I67" s="12">
        <v>0</v>
      </c>
    </row>
    <row r="68" spans="2:9" ht="15" customHeight="1" x14ac:dyDescent="0.2">
      <c r="B68" t="s">
        <v>181</v>
      </c>
      <c r="C68" s="12">
        <v>2</v>
      </c>
      <c r="D68" s="8">
        <v>2.17</v>
      </c>
      <c r="E68" s="12">
        <v>2</v>
      </c>
      <c r="F68" s="8">
        <v>2.9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171</v>
      </c>
      <c r="C69" s="12">
        <v>2</v>
      </c>
      <c r="D69" s="8">
        <v>2.17</v>
      </c>
      <c r="E69" s="12">
        <v>2</v>
      </c>
      <c r="F69" s="8">
        <v>2.9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186</v>
      </c>
      <c r="C70" s="12">
        <v>2</v>
      </c>
      <c r="D70" s="8">
        <v>2.17</v>
      </c>
      <c r="E70" s="12">
        <v>0</v>
      </c>
      <c r="F70" s="8">
        <v>0</v>
      </c>
      <c r="G70" s="12">
        <v>2</v>
      </c>
      <c r="H70" s="8">
        <v>9.09</v>
      </c>
      <c r="I70" s="12">
        <v>0</v>
      </c>
    </row>
    <row r="71" spans="2:9" ht="15" customHeight="1" x14ac:dyDescent="0.2">
      <c r="B71" t="s">
        <v>236</v>
      </c>
      <c r="C71" s="12">
        <v>2</v>
      </c>
      <c r="D71" s="8">
        <v>2.17</v>
      </c>
      <c r="E71" s="12">
        <v>1</v>
      </c>
      <c r="F71" s="8">
        <v>1.45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7D1D-952D-41E4-97E8-A55B83C4A68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88</v>
      </c>
      <c r="D6" s="8">
        <v>17.43</v>
      </c>
      <c r="E6" s="12">
        <v>46</v>
      </c>
      <c r="F6" s="8">
        <v>15.08</v>
      </c>
      <c r="G6" s="12">
        <v>42</v>
      </c>
      <c r="H6" s="8">
        <v>22.22</v>
      </c>
      <c r="I6" s="12">
        <v>0</v>
      </c>
    </row>
    <row r="7" spans="2:9" ht="15" customHeight="1" x14ac:dyDescent="0.2">
      <c r="B7" t="s">
        <v>62</v>
      </c>
      <c r="C7" s="12">
        <v>60</v>
      </c>
      <c r="D7" s="8">
        <v>11.88</v>
      </c>
      <c r="E7" s="12">
        <v>34</v>
      </c>
      <c r="F7" s="8">
        <v>11.15</v>
      </c>
      <c r="G7" s="12">
        <v>26</v>
      </c>
      <c r="H7" s="8">
        <v>13.76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0.4</v>
      </c>
      <c r="E9" s="12">
        <v>0</v>
      </c>
      <c r="F9" s="8">
        <v>0</v>
      </c>
      <c r="G9" s="12">
        <v>2</v>
      </c>
      <c r="H9" s="8">
        <v>1.06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0.59</v>
      </c>
      <c r="E10" s="12">
        <v>2</v>
      </c>
      <c r="F10" s="8">
        <v>0.66</v>
      </c>
      <c r="G10" s="12">
        <v>1</v>
      </c>
      <c r="H10" s="8">
        <v>0.53</v>
      </c>
      <c r="I10" s="12">
        <v>0</v>
      </c>
    </row>
    <row r="11" spans="2:9" ht="15" customHeight="1" x14ac:dyDescent="0.2">
      <c r="B11" t="s">
        <v>66</v>
      </c>
      <c r="C11" s="12">
        <v>126</v>
      </c>
      <c r="D11" s="8">
        <v>24.95</v>
      </c>
      <c r="E11" s="12">
        <v>72</v>
      </c>
      <c r="F11" s="8">
        <v>23.61</v>
      </c>
      <c r="G11" s="12">
        <v>54</v>
      </c>
      <c r="H11" s="8">
        <v>28.57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28</v>
      </c>
      <c r="D13" s="8">
        <v>5.54</v>
      </c>
      <c r="E13" s="12">
        <v>18</v>
      </c>
      <c r="F13" s="8">
        <v>5.9</v>
      </c>
      <c r="G13" s="12">
        <v>9</v>
      </c>
      <c r="H13" s="8">
        <v>4.76</v>
      </c>
      <c r="I13" s="12">
        <v>0</v>
      </c>
    </row>
    <row r="14" spans="2:9" ht="15" customHeight="1" x14ac:dyDescent="0.2">
      <c r="B14" t="s">
        <v>69</v>
      </c>
      <c r="C14" s="12">
        <v>18</v>
      </c>
      <c r="D14" s="8">
        <v>3.56</v>
      </c>
      <c r="E14" s="12">
        <v>9</v>
      </c>
      <c r="F14" s="8">
        <v>2.95</v>
      </c>
      <c r="G14" s="12">
        <v>9</v>
      </c>
      <c r="H14" s="8">
        <v>4.76</v>
      </c>
      <c r="I14" s="12">
        <v>0</v>
      </c>
    </row>
    <row r="15" spans="2:9" ht="15" customHeight="1" x14ac:dyDescent="0.2">
      <c r="B15" t="s">
        <v>70</v>
      </c>
      <c r="C15" s="12">
        <v>56</v>
      </c>
      <c r="D15" s="8">
        <v>11.09</v>
      </c>
      <c r="E15" s="12">
        <v>37</v>
      </c>
      <c r="F15" s="8">
        <v>12.13</v>
      </c>
      <c r="G15" s="12">
        <v>19</v>
      </c>
      <c r="H15" s="8">
        <v>10.050000000000001</v>
      </c>
      <c r="I15" s="12">
        <v>0</v>
      </c>
    </row>
    <row r="16" spans="2:9" ht="15" customHeight="1" x14ac:dyDescent="0.2">
      <c r="B16" t="s">
        <v>71</v>
      </c>
      <c r="C16" s="12">
        <v>71</v>
      </c>
      <c r="D16" s="8">
        <v>14.06</v>
      </c>
      <c r="E16" s="12">
        <v>60</v>
      </c>
      <c r="F16" s="8">
        <v>19.670000000000002</v>
      </c>
      <c r="G16" s="12">
        <v>11</v>
      </c>
      <c r="H16" s="8">
        <v>5.82</v>
      </c>
      <c r="I16" s="12">
        <v>0</v>
      </c>
    </row>
    <row r="17" spans="2:9" ht="15" customHeight="1" x14ac:dyDescent="0.2">
      <c r="B17" t="s">
        <v>72</v>
      </c>
      <c r="C17" s="12">
        <v>12</v>
      </c>
      <c r="D17" s="8">
        <v>2.38</v>
      </c>
      <c r="E17" s="12">
        <v>3</v>
      </c>
      <c r="F17" s="8">
        <v>0.98</v>
      </c>
      <c r="G17" s="12">
        <v>2</v>
      </c>
      <c r="H17" s="8">
        <v>1.06</v>
      </c>
      <c r="I17" s="12">
        <v>0</v>
      </c>
    </row>
    <row r="18" spans="2:9" ht="15" customHeight="1" x14ac:dyDescent="0.2">
      <c r="B18" t="s">
        <v>73</v>
      </c>
      <c r="C18" s="12">
        <v>23</v>
      </c>
      <c r="D18" s="8">
        <v>4.55</v>
      </c>
      <c r="E18" s="12">
        <v>15</v>
      </c>
      <c r="F18" s="8">
        <v>4.92</v>
      </c>
      <c r="G18" s="12">
        <v>6</v>
      </c>
      <c r="H18" s="8">
        <v>3.17</v>
      </c>
      <c r="I18" s="12">
        <v>0</v>
      </c>
    </row>
    <row r="19" spans="2:9" ht="15" customHeight="1" x14ac:dyDescent="0.2">
      <c r="B19" t="s">
        <v>74</v>
      </c>
      <c r="C19" s="12">
        <v>18</v>
      </c>
      <c r="D19" s="8">
        <v>3.56</v>
      </c>
      <c r="E19" s="12">
        <v>9</v>
      </c>
      <c r="F19" s="8">
        <v>2.95</v>
      </c>
      <c r="G19" s="12">
        <v>8</v>
      </c>
      <c r="H19" s="8">
        <v>4.2300000000000004</v>
      </c>
      <c r="I19" s="12">
        <v>0</v>
      </c>
    </row>
    <row r="20" spans="2:9" ht="15" customHeight="1" x14ac:dyDescent="0.2">
      <c r="B20" s="9" t="s">
        <v>337</v>
      </c>
      <c r="C20" s="12">
        <f>SUM(LTBL_07501[総数／事業所数])</f>
        <v>505</v>
      </c>
      <c r="E20" s="12">
        <f>SUBTOTAL(109,LTBL_07501[個人／事業所数])</f>
        <v>305</v>
      </c>
      <c r="G20" s="12">
        <f>SUBTOTAL(109,LTBL_07501[法人／事業所数])</f>
        <v>189</v>
      </c>
      <c r="I20" s="12">
        <f>SUBTOTAL(109,LTBL_07501[法人以外の団体／事業所数])</f>
        <v>0</v>
      </c>
    </row>
    <row r="21" spans="2:9" ht="15" customHeight="1" x14ac:dyDescent="0.2">
      <c r="E21" s="11">
        <f>LTBL_07501[[#Totals],[個人／事業所数]]/LTBL_07501[[#Totals],[総数／事業所数]]</f>
        <v>0.60396039603960394</v>
      </c>
      <c r="G21" s="11">
        <f>LTBL_07501[[#Totals],[法人／事業所数]]/LTBL_07501[[#Totals],[総数／事業所数]]</f>
        <v>0.37425742574257426</v>
      </c>
      <c r="I21" s="11">
        <f>LTBL_07501[[#Totals],[法人以外の団体／事業所数]]/LTBL_07501[[#Totals],[総数／事業所数]]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62</v>
      </c>
      <c r="D24" s="8">
        <v>12.28</v>
      </c>
      <c r="E24" s="12">
        <v>58</v>
      </c>
      <c r="F24" s="8">
        <v>19.02</v>
      </c>
      <c r="G24" s="12">
        <v>4</v>
      </c>
      <c r="H24" s="8">
        <v>2.12</v>
      </c>
      <c r="I24" s="12">
        <v>0</v>
      </c>
    </row>
    <row r="25" spans="2:9" ht="15" customHeight="1" x14ac:dyDescent="0.2">
      <c r="B25" t="s">
        <v>91</v>
      </c>
      <c r="C25" s="12">
        <v>50</v>
      </c>
      <c r="D25" s="8">
        <v>9.9</v>
      </c>
      <c r="E25" s="12">
        <v>25</v>
      </c>
      <c r="F25" s="8">
        <v>8.1999999999999993</v>
      </c>
      <c r="G25" s="12">
        <v>25</v>
      </c>
      <c r="H25" s="8">
        <v>13.23</v>
      </c>
      <c r="I25" s="12">
        <v>0</v>
      </c>
    </row>
    <row r="26" spans="2:9" ht="15" customHeight="1" x14ac:dyDescent="0.2">
      <c r="B26" t="s">
        <v>83</v>
      </c>
      <c r="C26" s="12">
        <v>40</v>
      </c>
      <c r="D26" s="8">
        <v>7.92</v>
      </c>
      <c r="E26" s="12">
        <v>16</v>
      </c>
      <c r="F26" s="8">
        <v>5.25</v>
      </c>
      <c r="G26" s="12">
        <v>24</v>
      </c>
      <c r="H26" s="8">
        <v>12.7</v>
      </c>
      <c r="I26" s="12">
        <v>0</v>
      </c>
    </row>
    <row r="27" spans="2:9" ht="15" customHeight="1" x14ac:dyDescent="0.2">
      <c r="B27" t="s">
        <v>96</v>
      </c>
      <c r="C27" s="12">
        <v>40</v>
      </c>
      <c r="D27" s="8">
        <v>7.92</v>
      </c>
      <c r="E27" s="12">
        <v>32</v>
      </c>
      <c r="F27" s="8">
        <v>10.49</v>
      </c>
      <c r="G27" s="12">
        <v>8</v>
      </c>
      <c r="H27" s="8">
        <v>4.2300000000000004</v>
      </c>
      <c r="I27" s="12">
        <v>0</v>
      </c>
    </row>
    <row r="28" spans="2:9" ht="15" customHeight="1" x14ac:dyDescent="0.2">
      <c r="B28" t="s">
        <v>89</v>
      </c>
      <c r="C28" s="12">
        <v>35</v>
      </c>
      <c r="D28" s="8">
        <v>6.93</v>
      </c>
      <c r="E28" s="12">
        <v>31</v>
      </c>
      <c r="F28" s="8">
        <v>10.16</v>
      </c>
      <c r="G28" s="12">
        <v>4</v>
      </c>
      <c r="H28" s="8">
        <v>2.12</v>
      </c>
      <c r="I28" s="12">
        <v>0</v>
      </c>
    </row>
    <row r="29" spans="2:9" ht="15" customHeight="1" x14ac:dyDescent="0.2">
      <c r="B29" t="s">
        <v>84</v>
      </c>
      <c r="C29" s="12">
        <v>34</v>
      </c>
      <c r="D29" s="8">
        <v>6.73</v>
      </c>
      <c r="E29" s="12">
        <v>23</v>
      </c>
      <c r="F29" s="8">
        <v>7.54</v>
      </c>
      <c r="G29" s="12">
        <v>11</v>
      </c>
      <c r="H29" s="8">
        <v>5.82</v>
      </c>
      <c r="I29" s="12">
        <v>0</v>
      </c>
    </row>
    <row r="30" spans="2:9" ht="15" customHeight="1" x14ac:dyDescent="0.2">
      <c r="B30" t="s">
        <v>92</v>
      </c>
      <c r="C30" s="12">
        <v>23</v>
      </c>
      <c r="D30" s="8">
        <v>4.55</v>
      </c>
      <c r="E30" s="12">
        <v>16</v>
      </c>
      <c r="F30" s="8">
        <v>5.25</v>
      </c>
      <c r="G30" s="12">
        <v>6</v>
      </c>
      <c r="H30" s="8">
        <v>3.17</v>
      </c>
      <c r="I30" s="12">
        <v>0</v>
      </c>
    </row>
    <row r="31" spans="2:9" ht="15" customHeight="1" x14ac:dyDescent="0.2">
      <c r="B31" t="s">
        <v>90</v>
      </c>
      <c r="C31" s="12">
        <v>20</v>
      </c>
      <c r="D31" s="8">
        <v>3.96</v>
      </c>
      <c r="E31" s="12">
        <v>9</v>
      </c>
      <c r="F31" s="8">
        <v>2.95</v>
      </c>
      <c r="G31" s="12">
        <v>11</v>
      </c>
      <c r="H31" s="8">
        <v>5.82</v>
      </c>
      <c r="I31" s="12">
        <v>0</v>
      </c>
    </row>
    <row r="32" spans="2:9" ht="15" customHeight="1" x14ac:dyDescent="0.2">
      <c r="B32" t="s">
        <v>100</v>
      </c>
      <c r="C32" s="12">
        <v>18</v>
      </c>
      <c r="D32" s="8">
        <v>3.56</v>
      </c>
      <c r="E32" s="12">
        <v>15</v>
      </c>
      <c r="F32" s="8">
        <v>4.92</v>
      </c>
      <c r="G32" s="12">
        <v>3</v>
      </c>
      <c r="H32" s="8">
        <v>1.59</v>
      </c>
      <c r="I32" s="12">
        <v>0</v>
      </c>
    </row>
    <row r="33" spans="2:9" ht="15" customHeight="1" x14ac:dyDescent="0.2">
      <c r="B33" t="s">
        <v>111</v>
      </c>
      <c r="C33" s="12">
        <v>15</v>
      </c>
      <c r="D33" s="8">
        <v>2.97</v>
      </c>
      <c r="E33" s="12">
        <v>10</v>
      </c>
      <c r="F33" s="8">
        <v>3.28</v>
      </c>
      <c r="G33" s="12">
        <v>5</v>
      </c>
      <c r="H33" s="8">
        <v>2.65</v>
      </c>
      <c r="I33" s="12">
        <v>0</v>
      </c>
    </row>
    <row r="34" spans="2:9" ht="15" customHeight="1" x14ac:dyDescent="0.2">
      <c r="B34" t="s">
        <v>85</v>
      </c>
      <c r="C34" s="12">
        <v>14</v>
      </c>
      <c r="D34" s="8">
        <v>2.77</v>
      </c>
      <c r="E34" s="12">
        <v>7</v>
      </c>
      <c r="F34" s="8">
        <v>2.2999999999999998</v>
      </c>
      <c r="G34" s="12">
        <v>7</v>
      </c>
      <c r="H34" s="8">
        <v>3.7</v>
      </c>
      <c r="I34" s="12">
        <v>0</v>
      </c>
    </row>
    <row r="35" spans="2:9" ht="15" customHeight="1" x14ac:dyDescent="0.2">
      <c r="B35" t="s">
        <v>94</v>
      </c>
      <c r="C35" s="12">
        <v>13</v>
      </c>
      <c r="D35" s="8">
        <v>2.57</v>
      </c>
      <c r="E35" s="12">
        <v>6</v>
      </c>
      <c r="F35" s="8">
        <v>1.97</v>
      </c>
      <c r="G35" s="12">
        <v>7</v>
      </c>
      <c r="H35" s="8">
        <v>3.7</v>
      </c>
      <c r="I35" s="12">
        <v>0</v>
      </c>
    </row>
    <row r="36" spans="2:9" ht="15" customHeight="1" x14ac:dyDescent="0.2">
      <c r="B36" t="s">
        <v>99</v>
      </c>
      <c r="C36" s="12">
        <v>12</v>
      </c>
      <c r="D36" s="8">
        <v>2.38</v>
      </c>
      <c r="E36" s="12">
        <v>3</v>
      </c>
      <c r="F36" s="8">
        <v>0.98</v>
      </c>
      <c r="G36" s="12">
        <v>2</v>
      </c>
      <c r="H36" s="8">
        <v>1.06</v>
      </c>
      <c r="I36" s="12">
        <v>0</v>
      </c>
    </row>
    <row r="37" spans="2:9" ht="15" customHeight="1" x14ac:dyDescent="0.2">
      <c r="B37" t="s">
        <v>102</v>
      </c>
      <c r="C37" s="12">
        <v>11</v>
      </c>
      <c r="D37" s="8">
        <v>2.1800000000000002</v>
      </c>
      <c r="E37" s="12">
        <v>7</v>
      </c>
      <c r="F37" s="8">
        <v>2.2999999999999998</v>
      </c>
      <c r="G37" s="12">
        <v>4</v>
      </c>
      <c r="H37" s="8">
        <v>2.12</v>
      </c>
      <c r="I37" s="12">
        <v>0</v>
      </c>
    </row>
    <row r="38" spans="2:9" ht="15" customHeight="1" x14ac:dyDescent="0.2">
      <c r="B38" t="s">
        <v>95</v>
      </c>
      <c r="C38" s="12">
        <v>9</v>
      </c>
      <c r="D38" s="8">
        <v>1.78</v>
      </c>
      <c r="E38" s="12">
        <v>5</v>
      </c>
      <c r="F38" s="8">
        <v>1.64</v>
      </c>
      <c r="G38" s="12">
        <v>4</v>
      </c>
      <c r="H38" s="8">
        <v>2.12</v>
      </c>
      <c r="I38" s="12">
        <v>0</v>
      </c>
    </row>
    <row r="39" spans="2:9" ht="15" customHeight="1" x14ac:dyDescent="0.2">
      <c r="B39" t="s">
        <v>86</v>
      </c>
      <c r="C39" s="12">
        <v>8</v>
      </c>
      <c r="D39" s="8">
        <v>1.58</v>
      </c>
      <c r="E39" s="12">
        <v>2</v>
      </c>
      <c r="F39" s="8">
        <v>0.66</v>
      </c>
      <c r="G39" s="12">
        <v>6</v>
      </c>
      <c r="H39" s="8">
        <v>3.17</v>
      </c>
      <c r="I39" s="12">
        <v>0</v>
      </c>
    </row>
    <row r="40" spans="2:9" ht="15" customHeight="1" x14ac:dyDescent="0.2">
      <c r="B40" t="s">
        <v>133</v>
      </c>
      <c r="C40" s="12">
        <v>7</v>
      </c>
      <c r="D40" s="8">
        <v>1.39</v>
      </c>
      <c r="E40" s="12">
        <v>7</v>
      </c>
      <c r="F40" s="8">
        <v>2.2999999999999998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113</v>
      </c>
      <c r="C41" s="12">
        <v>7</v>
      </c>
      <c r="D41" s="8">
        <v>1.39</v>
      </c>
      <c r="E41" s="12">
        <v>0</v>
      </c>
      <c r="F41" s="8">
        <v>0</v>
      </c>
      <c r="G41" s="12">
        <v>7</v>
      </c>
      <c r="H41" s="8">
        <v>3.7</v>
      </c>
      <c r="I41" s="12">
        <v>0</v>
      </c>
    </row>
    <row r="42" spans="2:9" ht="15" customHeight="1" x14ac:dyDescent="0.2">
      <c r="B42" t="s">
        <v>98</v>
      </c>
      <c r="C42" s="12">
        <v>7</v>
      </c>
      <c r="D42" s="8">
        <v>1.39</v>
      </c>
      <c r="E42" s="12">
        <v>2</v>
      </c>
      <c r="F42" s="8">
        <v>0.66</v>
      </c>
      <c r="G42" s="12">
        <v>5</v>
      </c>
      <c r="H42" s="8">
        <v>2.65</v>
      </c>
      <c r="I42" s="12">
        <v>0</v>
      </c>
    </row>
    <row r="43" spans="2:9" ht="15" customHeight="1" x14ac:dyDescent="0.2">
      <c r="B43" t="s">
        <v>105</v>
      </c>
      <c r="C43" s="12">
        <v>6</v>
      </c>
      <c r="D43" s="8">
        <v>1.19</v>
      </c>
      <c r="E43" s="12">
        <v>3</v>
      </c>
      <c r="F43" s="8">
        <v>0.98</v>
      </c>
      <c r="G43" s="12">
        <v>3</v>
      </c>
      <c r="H43" s="8">
        <v>1.59</v>
      </c>
      <c r="I43" s="12">
        <v>0</v>
      </c>
    </row>
    <row r="44" spans="2:9" ht="15" customHeight="1" x14ac:dyDescent="0.2">
      <c r="B44" t="s">
        <v>88</v>
      </c>
      <c r="C44" s="12">
        <v>6</v>
      </c>
      <c r="D44" s="8">
        <v>1.19</v>
      </c>
      <c r="E44" s="12">
        <v>3</v>
      </c>
      <c r="F44" s="8">
        <v>0.98</v>
      </c>
      <c r="G44" s="12">
        <v>3</v>
      </c>
      <c r="H44" s="8">
        <v>1.59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174</v>
      </c>
      <c r="C48" s="12">
        <v>31</v>
      </c>
      <c r="D48" s="8">
        <v>6.14</v>
      </c>
      <c r="E48" s="12">
        <v>30</v>
      </c>
      <c r="F48" s="8">
        <v>9.84</v>
      </c>
      <c r="G48" s="12">
        <v>1</v>
      </c>
      <c r="H48" s="8">
        <v>0.53</v>
      </c>
      <c r="I48" s="12">
        <v>0</v>
      </c>
    </row>
    <row r="49" spans="2:9" ht="15" customHeight="1" x14ac:dyDescent="0.2">
      <c r="B49" t="s">
        <v>173</v>
      </c>
      <c r="C49" s="12">
        <v>23</v>
      </c>
      <c r="D49" s="8">
        <v>4.55</v>
      </c>
      <c r="E49" s="12">
        <v>23</v>
      </c>
      <c r="F49" s="8">
        <v>7.54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158</v>
      </c>
      <c r="C50" s="12">
        <v>20</v>
      </c>
      <c r="D50" s="8">
        <v>3.96</v>
      </c>
      <c r="E50" s="12">
        <v>3</v>
      </c>
      <c r="F50" s="8">
        <v>0.98</v>
      </c>
      <c r="G50" s="12">
        <v>17</v>
      </c>
      <c r="H50" s="8">
        <v>8.99</v>
      </c>
      <c r="I50" s="12">
        <v>0</v>
      </c>
    </row>
    <row r="51" spans="2:9" ht="15" customHeight="1" x14ac:dyDescent="0.2">
      <c r="B51" t="s">
        <v>168</v>
      </c>
      <c r="C51" s="12">
        <v>20</v>
      </c>
      <c r="D51" s="8">
        <v>3.96</v>
      </c>
      <c r="E51" s="12">
        <v>15</v>
      </c>
      <c r="F51" s="8">
        <v>4.92</v>
      </c>
      <c r="G51" s="12">
        <v>4</v>
      </c>
      <c r="H51" s="8">
        <v>2.12</v>
      </c>
      <c r="I51" s="12">
        <v>0</v>
      </c>
    </row>
    <row r="52" spans="2:9" ht="15" customHeight="1" x14ac:dyDescent="0.2">
      <c r="B52" t="s">
        <v>160</v>
      </c>
      <c r="C52" s="12">
        <v>14</v>
      </c>
      <c r="D52" s="8">
        <v>2.77</v>
      </c>
      <c r="E52" s="12">
        <v>11</v>
      </c>
      <c r="F52" s="8">
        <v>3.61</v>
      </c>
      <c r="G52" s="12">
        <v>3</v>
      </c>
      <c r="H52" s="8">
        <v>1.59</v>
      </c>
      <c r="I52" s="12">
        <v>0</v>
      </c>
    </row>
    <row r="53" spans="2:9" ht="15" customHeight="1" x14ac:dyDescent="0.2">
      <c r="B53" t="s">
        <v>185</v>
      </c>
      <c r="C53" s="12">
        <v>13</v>
      </c>
      <c r="D53" s="8">
        <v>2.57</v>
      </c>
      <c r="E53" s="12">
        <v>5</v>
      </c>
      <c r="F53" s="8">
        <v>1.64</v>
      </c>
      <c r="G53" s="12">
        <v>8</v>
      </c>
      <c r="H53" s="8">
        <v>4.2300000000000004</v>
      </c>
      <c r="I53" s="12">
        <v>0</v>
      </c>
    </row>
    <row r="54" spans="2:9" ht="15" customHeight="1" x14ac:dyDescent="0.2">
      <c r="B54" t="s">
        <v>166</v>
      </c>
      <c r="C54" s="12">
        <v>13</v>
      </c>
      <c r="D54" s="8">
        <v>2.57</v>
      </c>
      <c r="E54" s="12">
        <v>8</v>
      </c>
      <c r="F54" s="8">
        <v>2.62</v>
      </c>
      <c r="G54" s="12">
        <v>5</v>
      </c>
      <c r="H54" s="8">
        <v>2.65</v>
      </c>
      <c r="I54" s="12">
        <v>0</v>
      </c>
    </row>
    <row r="55" spans="2:9" ht="15" customHeight="1" x14ac:dyDescent="0.2">
      <c r="B55" t="s">
        <v>176</v>
      </c>
      <c r="C55" s="12">
        <v>13</v>
      </c>
      <c r="D55" s="8">
        <v>2.57</v>
      </c>
      <c r="E55" s="12">
        <v>12</v>
      </c>
      <c r="F55" s="8">
        <v>3.93</v>
      </c>
      <c r="G55" s="12">
        <v>1</v>
      </c>
      <c r="H55" s="8">
        <v>0.53</v>
      </c>
      <c r="I55" s="12">
        <v>0</v>
      </c>
    </row>
    <row r="56" spans="2:9" ht="15" customHeight="1" x14ac:dyDescent="0.2">
      <c r="B56" t="s">
        <v>289</v>
      </c>
      <c r="C56" s="12">
        <v>12</v>
      </c>
      <c r="D56" s="8">
        <v>2.38</v>
      </c>
      <c r="E56" s="12">
        <v>9</v>
      </c>
      <c r="F56" s="8">
        <v>2.95</v>
      </c>
      <c r="G56" s="12">
        <v>3</v>
      </c>
      <c r="H56" s="8">
        <v>1.59</v>
      </c>
      <c r="I56" s="12">
        <v>0</v>
      </c>
    </row>
    <row r="57" spans="2:9" ht="15" customHeight="1" x14ac:dyDescent="0.2">
      <c r="B57" t="s">
        <v>177</v>
      </c>
      <c r="C57" s="12">
        <v>11</v>
      </c>
      <c r="D57" s="8">
        <v>2.1800000000000002</v>
      </c>
      <c r="E57" s="12">
        <v>7</v>
      </c>
      <c r="F57" s="8">
        <v>2.2999999999999998</v>
      </c>
      <c r="G57" s="12">
        <v>4</v>
      </c>
      <c r="H57" s="8">
        <v>2.12</v>
      </c>
      <c r="I57" s="12">
        <v>0</v>
      </c>
    </row>
    <row r="58" spans="2:9" ht="15" customHeight="1" x14ac:dyDescent="0.2">
      <c r="B58" t="s">
        <v>163</v>
      </c>
      <c r="C58" s="12">
        <v>10</v>
      </c>
      <c r="D58" s="8">
        <v>1.98</v>
      </c>
      <c r="E58" s="12">
        <v>9</v>
      </c>
      <c r="F58" s="8">
        <v>2.95</v>
      </c>
      <c r="G58" s="12">
        <v>1</v>
      </c>
      <c r="H58" s="8">
        <v>0.53</v>
      </c>
      <c r="I58" s="12">
        <v>0</v>
      </c>
    </row>
    <row r="59" spans="2:9" ht="15" customHeight="1" x14ac:dyDescent="0.2">
      <c r="B59" t="s">
        <v>164</v>
      </c>
      <c r="C59" s="12">
        <v>10</v>
      </c>
      <c r="D59" s="8">
        <v>1.98</v>
      </c>
      <c r="E59" s="12">
        <v>6</v>
      </c>
      <c r="F59" s="8">
        <v>1.97</v>
      </c>
      <c r="G59" s="12">
        <v>4</v>
      </c>
      <c r="H59" s="8">
        <v>2.12</v>
      </c>
      <c r="I59" s="12">
        <v>0</v>
      </c>
    </row>
    <row r="60" spans="2:9" ht="15" customHeight="1" x14ac:dyDescent="0.2">
      <c r="B60" t="s">
        <v>170</v>
      </c>
      <c r="C60" s="12">
        <v>10</v>
      </c>
      <c r="D60" s="8">
        <v>1.98</v>
      </c>
      <c r="E60" s="12">
        <v>6</v>
      </c>
      <c r="F60" s="8">
        <v>1.97</v>
      </c>
      <c r="G60" s="12">
        <v>4</v>
      </c>
      <c r="H60" s="8">
        <v>2.12</v>
      </c>
      <c r="I60" s="12">
        <v>0</v>
      </c>
    </row>
    <row r="61" spans="2:9" ht="15" customHeight="1" x14ac:dyDescent="0.2">
      <c r="B61" t="s">
        <v>171</v>
      </c>
      <c r="C61" s="12">
        <v>10</v>
      </c>
      <c r="D61" s="8">
        <v>1.98</v>
      </c>
      <c r="E61" s="12">
        <v>9</v>
      </c>
      <c r="F61" s="8">
        <v>2.95</v>
      </c>
      <c r="G61" s="12">
        <v>1</v>
      </c>
      <c r="H61" s="8">
        <v>0.53</v>
      </c>
      <c r="I61" s="12">
        <v>0</v>
      </c>
    </row>
    <row r="62" spans="2:9" ht="15" customHeight="1" x14ac:dyDescent="0.2">
      <c r="B62" t="s">
        <v>215</v>
      </c>
      <c r="C62" s="12">
        <v>9</v>
      </c>
      <c r="D62" s="8">
        <v>1.78</v>
      </c>
      <c r="E62" s="12">
        <v>5</v>
      </c>
      <c r="F62" s="8">
        <v>1.64</v>
      </c>
      <c r="G62" s="12">
        <v>4</v>
      </c>
      <c r="H62" s="8">
        <v>2.12</v>
      </c>
      <c r="I62" s="12">
        <v>0</v>
      </c>
    </row>
    <row r="63" spans="2:9" ht="15" customHeight="1" x14ac:dyDescent="0.2">
      <c r="B63" t="s">
        <v>172</v>
      </c>
      <c r="C63" s="12">
        <v>9</v>
      </c>
      <c r="D63" s="8">
        <v>1.78</v>
      </c>
      <c r="E63" s="12">
        <v>8</v>
      </c>
      <c r="F63" s="8">
        <v>2.62</v>
      </c>
      <c r="G63" s="12">
        <v>1</v>
      </c>
      <c r="H63" s="8">
        <v>0.53</v>
      </c>
      <c r="I63" s="12">
        <v>0</v>
      </c>
    </row>
    <row r="64" spans="2:9" ht="15" customHeight="1" x14ac:dyDescent="0.2">
      <c r="B64" t="s">
        <v>162</v>
      </c>
      <c r="C64" s="12">
        <v>8</v>
      </c>
      <c r="D64" s="8">
        <v>1.58</v>
      </c>
      <c r="E64" s="12">
        <v>3</v>
      </c>
      <c r="F64" s="8">
        <v>0.98</v>
      </c>
      <c r="G64" s="12">
        <v>5</v>
      </c>
      <c r="H64" s="8">
        <v>2.65</v>
      </c>
      <c r="I64" s="12">
        <v>0</v>
      </c>
    </row>
    <row r="65" spans="2:9" ht="15" customHeight="1" x14ac:dyDescent="0.2">
      <c r="B65" t="s">
        <v>191</v>
      </c>
      <c r="C65" s="12">
        <v>8</v>
      </c>
      <c r="D65" s="8">
        <v>1.58</v>
      </c>
      <c r="E65" s="12">
        <v>8</v>
      </c>
      <c r="F65" s="8">
        <v>2.62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208</v>
      </c>
      <c r="C66" s="12">
        <v>8</v>
      </c>
      <c r="D66" s="8">
        <v>1.58</v>
      </c>
      <c r="E66" s="12">
        <v>4</v>
      </c>
      <c r="F66" s="8">
        <v>1.31</v>
      </c>
      <c r="G66" s="12">
        <v>4</v>
      </c>
      <c r="H66" s="8">
        <v>2.12</v>
      </c>
      <c r="I66" s="12">
        <v>0</v>
      </c>
    </row>
    <row r="67" spans="2:9" ht="15" customHeight="1" x14ac:dyDescent="0.2">
      <c r="B67" t="s">
        <v>181</v>
      </c>
      <c r="C67" s="12">
        <v>8</v>
      </c>
      <c r="D67" s="8">
        <v>1.58</v>
      </c>
      <c r="E67" s="12">
        <v>7</v>
      </c>
      <c r="F67" s="8">
        <v>2.2999999999999998</v>
      </c>
      <c r="G67" s="12">
        <v>1</v>
      </c>
      <c r="H67" s="8">
        <v>0.53</v>
      </c>
      <c r="I67" s="12">
        <v>0</v>
      </c>
    </row>
    <row r="68" spans="2:9" ht="15" customHeight="1" x14ac:dyDescent="0.2">
      <c r="B68" t="s">
        <v>236</v>
      </c>
      <c r="C68" s="12">
        <v>8</v>
      </c>
      <c r="D68" s="8">
        <v>1.58</v>
      </c>
      <c r="E68" s="12">
        <v>0</v>
      </c>
      <c r="F68" s="8">
        <v>0</v>
      </c>
      <c r="G68" s="12">
        <v>1</v>
      </c>
      <c r="H68" s="8">
        <v>0.53</v>
      </c>
      <c r="I68" s="12">
        <v>0</v>
      </c>
    </row>
    <row r="70" spans="2:9" ht="15" customHeight="1" x14ac:dyDescent="0.2">
      <c r="B70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88D1-3924-4430-84BA-CFA86ED7FA76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57</v>
      </c>
      <c r="D6" s="8">
        <v>28.93</v>
      </c>
      <c r="E6" s="12">
        <v>35</v>
      </c>
      <c r="F6" s="8">
        <v>28.23</v>
      </c>
      <c r="G6" s="12">
        <v>22</v>
      </c>
      <c r="H6" s="8">
        <v>34.92</v>
      </c>
      <c r="I6" s="12">
        <v>0</v>
      </c>
    </row>
    <row r="7" spans="2:9" ht="15" customHeight="1" x14ac:dyDescent="0.2">
      <c r="B7" t="s">
        <v>62</v>
      </c>
      <c r="C7" s="12">
        <v>24</v>
      </c>
      <c r="D7" s="8">
        <v>12.18</v>
      </c>
      <c r="E7" s="12">
        <v>11</v>
      </c>
      <c r="F7" s="8">
        <v>8.8699999999999992</v>
      </c>
      <c r="G7" s="12">
        <v>13</v>
      </c>
      <c r="H7" s="8">
        <v>20.63</v>
      </c>
      <c r="I7" s="12">
        <v>0</v>
      </c>
    </row>
    <row r="8" spans="2:9" ht="15" customHeight="1" x14ac:dyDescent="0.2">
      <c r="B8" t="s">
        <v>63</v>
      </c>
      <c r="C8" s="12">
        <v>2</v>
      </c>
      <c r="D8" s="8">
        <v>1.02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0.51</v>
      </c>
      <c r="E9" s="12">
        <v>0</v>
      </c>
      <c r="F9" s="8">
        <v>0</v>
      </c>
      <c r="G9" s="12">
        <v>1</v>
      </c>
      <c r="H9" s="8">
        <v>1.59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2.0299999999999998</v>
      </c>
      <c r="E10" s="12">
        <v>0</v>
      </c>
      <c r="F10" s="8">
        <v>0</v>
      </c>
      <c r="G10" s="12">
        <v>3</v>
      </c>
      <c r="H10" s="8">
        <v>4.76</v>
      </c>
      <c r="I10" s="12">
        <v>0</v>
      </c>
    </row>
    <row r="11" spans="2:9" ht="15" customHeight="1" x14ac:dyDescent="0.2">
      <c r="B11" t="s">
        <v>66</v>
      </c>
      <c r="C11" s="12">
        <v>34</v>
      </c>
      <c r="D11" s="8">
        <v>17.260000000000002</v>
      </c>
      <c r="E11" s="12">
        <v>25</v>
      </c>
      <c r="F11" s="8">
        <v>20.16</v>
      </c>
      <c r="G11" s="12">
        <v>9</v>
      </c>
      <c r="H11" s="8">
        <v>14.29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5</v>
      </c>
      <c r="D13" s="8">
        <v>2.54</v>
      </c>
      <c r="E13" s="12">
        <v>2</v>
      </c>
      <c r="F13" s="8">
        <v>1.61</v>
      </c>
      <c r="G13" s="12">
        <v>3</v>
      </c>
      <c r="H13" s="8">
        <v>4.76</v>
      </c>
      <c r="I13" s="12">
        <v>0</v>
      </c>
    </row>
    <row r="14" spans="2:9" ht="15" customHeight="1" x14ac:dyDescent="0.2">
      <c r="B14" t="s">
        <v>69</v>
      </c>
      <c r="C14" s="12">
        <v>8</v>
      </c>
      <c r="D14" s="8">
        <v>4.0599999999999996</v>
      </c>
      <c r="E14" s="12">
        <v>4</v>
      </c>
      <c r="F14" s="8">
        <v>3.23</v>
      </c>
      <c r="G14" s="12">
        <v>3</v>
      </c>
      <c r="H14" s="8">
        <v>4.76</v>
      </c>
      <c r="I14" s="12">
        <v>1</v>
      </c>
    </row>
    <row r="15" spans="2:9" ht="15" customHeight="1" x14ac:dyDescent="0.2">
      <c r="B15" t="s">
        <v>70</v>
      </c>
      <c r="C15" s="12">
        <v>14</v>
      </c>
      <c r="D15" s="8">
        <v>7.11</v>
      </c>
      <c r="E15" s="12">
        <v>10</v>
      </c>
      <c r="F15" s="8">
        <v>8.06</v>
      </c>
      <c r="G15" s="12">
        <v>3</v>
      </c>
      <c r="H15" s="8">
        <v>4.76</v>
      </c>
      <c r="I15" s="12">
        <v>0</v>
      </c>
    </row>
    <row r="16" spans="2:9" ht="15" customHeight="1" x14ac:dyDescent="0.2">
      <c r="B16" t="s">
        <v>71</v>
      </c>
      <c r="C16" s="12">
        <v>21</v>
      </c>
      <c r="D16" s="8">
        <v>10.66</v>
      </c>
      <c r="E16" s="12">
        <v>18</v>
      </c>
      <c r="F16" s="8">
        <v>14.52</v>
      </c>
      <c r="G16" s="12">
        <v>3</v>
      </c>
      <c r="H16" s="8">
        <v>4.76</v>
      </c>
      <c r="I16" s="12">
        <v>0</v>
      </c>
    </row>
    <row r="17" spans="2:9" ht="15" customHeight="1" x14ac:dyDescent="0.2">
      <c r="B17" t="s">
        <v>72</v>
      </c>
      <c r="C17" s="12">
        <v>9</v>
      </c>
      <c r="D17" s="8">
        <v>4.57</v>
      </c>
      <c r="E17" s="12">
        <v>7</v>
      </c>
      <c r="F17" s="8">
        <v>5.65</v>
      </c>
      <c r="G17" s="12">
        <v>1</v>
      </c>
      <c r="H17" s="8">
        <v>1.59</v>
      </c>
      <c r="I17" s="12">
        <v>0</v>
      </c>
    </row>
    <row r="18" spans="2:9" ht="15" customHeight="1" x14ac:dyDescent="0.2">
      <c r="B18" t="s">
        <v>73</v>
      </c>
      <c r="C18" s="12">
        <v>8</v>
      </c>
      <c r="D18" s="8">
        <v>4.0599999999999996</v>
      </c>
      <c r="E18" s="12">
        <v>6</v>
      </c>
      <c r="F18" s="8">
        <v>4.84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10</v>
      </c>
      <c r="D19" s="8">
        <v>5.08</v>
      </c>
      <c r="E19" s="12">
        <v>6</v>
      </c>
      <c r="F19" s="8">
        <v>4.84</v>
      </c>
      <c r="G19" s="12">
        <v>2</v>
      </c>
      <c r="H19" s="8">
        <v>3.17</v>
      </c>
      <c r="I19" s="12">
        <v>0</v>
      </c>
    </row>
    <row r="20" spans="2:9" ht="15" customHeight="1" x14ac:dyDescent="0.2">
      <c r="B20" s="9" t="s">
        <v>337</v>
      </c>
      <c r="C20" s="12">
        <f>SUM(LTBL_07502[総数／事業所数])</f>
        <v>197</v>
      </c>
      <c r="E20" s="12">
        <f>SUBTOTAL(109,LTBL_07502[個人／事業所数])</f>
        <v>124</v>
      </c>
      <c r="G20" s="12">
        <f>SUBTOTAL(109,LTBL_07502[法人／事業所数])</f>
        <v>63</v>
      </c>
      <c r="I20" s="12">
        <f>SUBTOTAL(109,LTBL_07502[法人以外の団体／事業所数])</f>
        <v>1</v>
      </c>
    </row>
    <row r="21" spans="2:9" ht="15" customHeight="1" x14ac:dyDescent="0.2">
      <c r="E21" s="11">
        <f>LTBL_07502[[#Totals],[個人／事業所数]]/LTBL_07502[[#Totals],[総数／事業所数]]</f>
        <v>0.62944162436548223</v>
      </c>
      <c r="G21" s="11">
        <f>LTBL_07502[[#Totals],[法人／事業所数]]/LTBL_07502[[#Totals],[総数／事業所数]]</f>
        <v>0.31979695431472083</v>
      </c>
      <c r="I21" s="11">
        <f>LTBL_07502[[#Totals],[法人以外の団体／事業所数]]/LTBL_07502[[#Totals],[総数／事業所数]]</f>
        <v>5.076142131979695E-3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25</v>
      </c>
      <c r="D24" s="8">
        <v>12.69</v>
      </c>
      <c r="E24" s="12">
        <v>16</v>
      </c>
      <c r="F24" s="8">
        <v>12.9</v>
      </c>
      <c r="G24" s="12">
        <v>9</v>
      </c>
      <c r="H24" s="8">
        <v>14.29</v>
      </c>
      <c r="I24" s="12">
        <v>0</v>
      </c>
    </row>
    <row r="25" spans="2:9" ht="15" customHeight="1" x14ac:dyDescent="0.2">
      <c r="B25" t="s">
        <v>84</v>
      </c>
      <c r="C25" s="12">
        <v>22</v>
      </c>
      <c r="D25" s="8">
        <v>11.17</v>
      </c>
      <c r="E25" s="12">
        <v>15</v>
      </c>
      <c r="F25" s="8">
        <v>12.1</v>
      </c>
      <c r="G25" s="12">
        <v>7</v>
      </c>
      <c r="H25" s="8">
        <v>11.11</v>
      </c>
      <c r="I25" s="12">
        <v>0</v>
      </c>
    </row>
    <row r="26" spans="2:9" ht="15" customHeight="1" x14ac:dyDescent="0.2">
      <c r="B26" t="s">
        <v>97</v>
      </c>
      <c r="C26" s="12">
        <v>16</v>
      </c>
      <c r="D26" s="8">
        <v>8.1199999999999992</v>
      </c>
      <c r="E26" s="12">
        <v>15</v>
      </c>
      <c r="F26" s="8">
        <v>12.1</v>
      </c>
      <c r="G26" s="12">
        <v>1</v>
      </c>
      <c r="H26" s="8">
        <v>1.59</v>
      </c>
      <c r="I26" s="12">
        <v>0</v>
      </c>
    </row>
    <row r="27" spans="2:9" ht="15" customHeight="1" x14ac:dyDescent="0.2">
      <c r="B27" t="s">
        <v>89</v>
      </c>
      <c r="C27" s="12">
        <v>13</v>
      </c>
      <c r="D27" s="8">
        <v>6.6</v>
      </c>
      <c r="E27" s="12">
        <v>11</v>
      </c>
      <c r="F27" s="8">
        <v>8.8699999999999992</v>
      </c>
      <c r="G27" s="12">
        <v>2</v>
      </c>
      <c r="H27" s="8">
        <v>3.17</v>
      </c>
      <c r="I27" s="12">
        <v>0</v>
      </c>
    </row>
    <row r="28" spans="2:9" ht="15" customHeight="1" x14ac:dyDescent="0.2">
      <c r="B28" t="s">
        <v>96</v>
      </c>
      <c r="C28" s="12">
        <v>11</v>
      </c>
      <c r="D28" s="8">
        <v>5.58</v>
      </c>
      <c r="E28" s="12">
        <v>8</v>
      </c>
      <c r="F28" s="8">
        <v>6.45</v>
      </c>
      <c r="G28" s="12">
        <v>3</v>
      </c>
      <c r="H28" s="8">
        <v>4.76</v>
      </c>
      <c r="I28" s="12">
        <v>0</v>
      </c>
    </row>
    <row r="29" spans="2:9" ht="15" customHeight="1" x14ac:dyDescent="0.2">
      <c r="B29" t="s">
        <v>85</v>
      </c>
      <c r="C29" s="12">
        <v>10</v>
      </c>
      <c r="D29" s="8">
        <v>5.08</v>
      </c>
      <c r="E29" s="12">
        <v>4</v>
      </c>
      <c r="F29" s="8">
        <v>3.23</v>
      </c>
      <c r="G29" s="12">
        <v>6</v>
      </c>
      <c r="H29" s="8">
        <v>9.52</v>
      </c>
      <c r="I29" s="12">
        <v>0</v>
      </c>
    </row>
    <row r="30" spans="2:9" ht="15" customHeight="1" x14ac:dyDescent="0.2">
      <c r="B30" t="s">
        <v>99</v>
      </c>
      <c r="C30" s="12">
        <v>9</v>
      </c>
      <c r="D30" s="8">
        <v>4.57</v>
      </c>
      <c r="E30" s="12">
        <v>7</v>
      </c>
      <c r="F30" s="8">
        <v>5.65</v>
      </c>
      <c r="G30" s="12">
        <v>1</v>
      </c>
      <c r="H30" s="8">
        <v>1.59</v>
      </c>
      <c r="I30" s="12">
        <v>0</v>
      </c>
    </row>
    <row r="31" spans="2:9" ht="15" customHeight="1" x14ac:dyDescent="0.2">
      <c r="B31" t="s">
        <v>94</v>
      </c>
      <c r="C31" s="12">
        <v>6</v>
      </c>
      <c r="D31" s="8">
        <v>3.05</v>
      </c>
      <c r="E31" s="12">
        <v>3</v>
      </c>
      <c r="F31" s="8">
        <v>2.42</v>
      </c>
      <c r="G31" s="12">
        <v>2</v>
      </c>
      <c r="H31" s="8">
        <v>3.17</v>
      </c>
      <c r="I31" s="12">
        <v>1</v>
      </c>
    </row>
    <row r="32" spans="2:9" ht="15" customHeight="1" x14ac:dyDescent="0.2">
      <c r="B32" t="s">
        <v>100</v>
      </c>
      <c r="C32" s="12">
        <v>6</v>
      </c>
      <c r="D32" s="8">
        <v>3.05</v>
      </c>
      <c r="E32" s="12">
        <v>6</v>
      </c>
      <c r="F32" s="8">
        <v>4.84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90</v>
      </c>
      <c r="C33" s="12">
        <v>5</v>
      </c>
      <c r="D33" s="8">
        <v>2.54</v>
      </c>
      <c r="E33" s="12">
        <v>4</v>
      </c>
      <c r="F33" s="8">
        <v>3.23</v>
      </c>
      <c r="G33" s="12">
        <v>1</v>
      </c>
      <c r="H33" s="8">
        <v>1.59</v>
      </c>
      <c r="I33" s="12">
        <v>0</v>
      </c>
    </row>
    <row r="34" spans="2:9" ht="15" customHeight="1" x14ac:dyDescent="0.2">
      <c r="B34" t="s">
        <v>91</v>
      </c>
      <c r="C34" s="12">
        <v>5</v>
      </c>
      <c r="D34" s="8">
        <v>2.54</v>
      </c>
      <c r="E34" s="12">
        <v>3</v>
      </c>
      <c r="F34" s="8">
        <v>2.42</v>
      </c>
      <c r="G34" s="12">
        <v>2</v>
      </c>
      <c r="H34" s="8">
        <v>3.17</v>
      </c>
      <c r="I34" s="12">
        <v>0</v>
      </c>
    </row>
    <row r="35" spans="2:9" ht="15" customHeight="1" x14ac:dyDescent="0.2">
      <c r="B35" t="s">
        <v>98</v>
      </c>
      <c r="C35" s="12">
        <v>5</v>
      </c>
      <c r="D35" s="8">
        <v>2.54</v>
      </c>
      <c r="E35" s="12">
        <v>3</v>
      </c>
      <c r="F35" s="8">
        <v>2.42</v>
      </c>
      <c r="G35" s="12">
        <v>2</v>
      </c>
      <c r="H35" s="8">
        <v>3.17</v>
      </c>
      <c r="I35" s="12">
        <v>0</v>
      </c>
    </row>
    <row r="36" spans="2:9" ht="15" customHeight="1" x14ac:dyDescent="0.2">
      <c r="B36" t="s">
        <v>102</v>
      </c>
      <c r="C36" s="12">
        <v>5</v>
      </c>
      <c r="D36" s="8">
        <v>2.54</v>
      </c>
      <c r="E36" s="12">
        <v>5</v>
      </c>
      <c r="F36" s="8">
        <v>4.03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121</v>
      </c>
      <c r="C37" s="12">
        <v>4</v>
      </c>
      <c r="D37" s="8">
        <v>2.0299999999999998</v>
      </c>
      <c r="E37" s="12">
        <v>0</v>
      </c>
      <c r="F37" s="8">
        <v>0</v>
      </c>
      <c r="G37" s="12">
        <v>4</v>
      </c>
      <c r="H37" s="8">
        <v>6.35</v>
      </c>
      <c r="I37" s="12">
        <v>0</v>
      </c>
    </row>
    <row r="38" spans="2:9" ht="15" customHeight="1" x14ac:dyDescent="0.2">
      <c r="B38" t="s">
        <v>139</v>
      </c>
      <c r="C38" s="12">
        <v>4</v>
      </c>
      <c r="D38" s="8">
        <v>2.0299999999999998</v>
      </c>
      <c r="E38" s="12">
        <v>1</v>
      </c>
      <c r="F38" s="8">
        <v>0.81</v>
      </c>
      <c r="G38" s="12">
        <v>3</v>
      </c>
      <c r="H38" s="8">
        <v>4.76</v>
      </c>
      <c r="I38" s="12">
        <v>0</v>
      </c>
    </row>
    <row r="39" spans="2:9" ht="15" customHeight="1" x14ac:dyDescent="0.2">
      <c r="B39" t="s">
        <v>112</v>
      </c>
      <c r="C39" s="12">
        <v>3</v>
      </c>
      <c r="D39" s="8">
        <v>1.52</v>
      </c>
      <c r="E39" s="12">
        <v>1</v>
      </c>
      <c r="F39" s="8">
        <v>0.81</v>
      </c>
      <c r="G39" s="12">
        <v>2</v>
      </c>
      <c r="H39" s="8">
        <v>3.17</v>
      </c>
      <c r="I39" s="12">
        <v>0</v>
      </c>
    </row>
    <row r="40" spans="2:9" ht="15" customHeight="1" x14ac:dyDescent="0.2">
      <c r="B40" t="s">
        <v>108</v>
      </c>
      <c r="C40" s="12">
        <v>3</v>
      </c>
      <c r="D40" s="8">
        <v>1.52</v>
      </c>
      <c r="E40" s="12">
        <v>1</v>
      </c>
      <c r="F40" s="8">
        <v>0.81</v>
      </c>
      <c r="G40" s="12">
        <v>1</v>
      </c>
      <c r="H40" s="8">
        <v>1.59</v>
      </c>
      <c r="I40" s="12">
        <v>0</v>
      </c>
    </row>
    <row r="41" spans="2:9" ht="15" customHeight="1" x14ac:dyDescent="0.2">
      <c r="B41" t="s">
        <v>111</v>
      </c>
      <c r="C41" s="12">
        <v>2</v>
      </c>
      <c r="D41" s="8">
        <v>1.02</v>
      </c>
      <c r="E41" s="12">
        <v>2</v>
      </c>
      <c r="F41" s="8">
        <v>1.61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124</v>
      </c>
      <c r="C42" s="12">
        <v>2</v>
      </c>
      <c r="D42" s="8">
        <v>1.02</v>
      </c>
      <c r="E42" s="12">
        <v>1</v>
      </c>
      <c r="F42" s="8">
        <v>0.81</v>
      </c>
      <c r="G42" s="12">
        <v>1</v>
      </c>
      <c r="H42" s="8">
        <v>1.59</v>
      </c>
      <c r="I42" s="12">
        <v>0</v>
      </c>
    </row>
    <row r="43" spans="2:9" ht="15" customHeight="1" x14ac:dyDescent="0.2">
      <c r="B43" t="s">
        <v>115</v>
      </c>
      <c r="C43" s="12">
        <v>2</v>
      </c>
      <c r="D43" s="8">
        <v>1.02</v>
      </c>
      <c r="E43" s="12">
        <v>0</v>
      </c>
      <c r="F43" s="8">
        <v>0</v>
      </c>
      <c r="G43" s="12">
        <v>2</v>
      </c>
      <c r="H43" s="8">
        <v>3.17</v>
      </c>
      <c r="I43" s="12">
        <v>0</v>
      </c>
    </row>
    <row r="44" spans="2:9" ht="15" customHeight="1" x14ac:dyDescent="0.2">
      <c r="B44" t="s">
        <v>114</v>
      </c>
      <c r="C44" s="12">
        <v>2</v>
      </c>
      <c r="D44" s="8">
        <v>1.02</v>
      </c>
      <c r="E44" s="12">
        <v>1</v>
      </c>
      <c r="F44" s="8">
        <v>0.81</v>
      </c>
      <c r="G44" s="12">
        <v>1</v>
      </c>
      <c r="H44" s="8">
        <v>1.59</v>
      </c>
      <c r="I44" s="12">
        <v>0</v>
      </c>
    </row>
    <row r="45" spans="2:9" ht="15" customHeight="1" x14ac:dyDescent="0.2">
      <c r="B45" t="s">
        <v>126</v>
      </c>
      <c r="C45" s="12">
        <v>2</v>
      </c>
      <c r="D45" s="8">
        <v>1.02</v>
      </c>
      <c r="E45" s="12">
        <v>1</v>
      </c>
      <c r="F45" s="8">
        <v>0.81</v>
      </c>
      <c r="G45" s="12">
        <v>1</v>
      </c>
      <c r="H45" s="8">
        <v>1.59</v>
      </c>
      <c r="I45" s="12">
        <v>0</v>
      </c>
    </row>
    <row r="46" spans="2:9" ht="15" customHeight="1" x14ac:dyDescent="0.2">
      <c r="B46" t="s">
        <v>127</v>
      </c>
      <c r="C46" s="12">
        <v>2</v>
      </c>
      <c r="D46" s="8">
        <v>1.02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152</v>
      </c>
      <c r="C47" s="12">
        <v>2</v>
      </c>
      <c r="D47" s="8">
        <v>1.02</v>
      </c>
      <c r="E47" s="12">
        <v>0</v>
      </c>
      <c r="F47" s="8">
        <v>0</v>
      </c>
      <c r="G47" s="12">
        <v>2</v>
      </c>
      <c r="H47" s="8">
        <v>3.17</v>
      </c>
      <c r="I47" s="12">
        <v>0</v>
      </c>
    </row>
    <row r="48" spans="2:9" ht="15" customHeight="1" x14ac:dyDescent="0.2">
      <c r="B48" t="s">
        <v>86</v>
      </c>
      <c r="C48" s="12">
        <v>2</v>
      </c>
      <c r="D48" s="8">
        <v>1.02</v>
      </c>
      <c r="E48" s="12">
        <v>1</v>
      </c>
      <c r="F48" s="8">
        <v>0.81</v>
      </c>
      <c r="G48" s="12">
        <v>1</v>
      </c>
      <c r="H48" s="8">
        <v>1.59</v>
      </c>
      <c r="I48" s="12">
        <v>0</v>
      </c>
    </row>
    <row r="49" spans="2:9" ht="15" customHeight="1" x14ac:dyDescent="0.2">
      <c r="B49" t="s">
        <v>87</v>
      </c>
      <c r="C49" s="12">
        <v>2</v>
      </c>
      <c r="D49" s="8">
        <v>1.02</v>
      </c>
      <c r="E49" s="12">
        <v>0</v>
      </c>
      <c r="F49" s="8">
        <v>0</v>
      </c>
      <c r="G49" s="12">
        <v>2</v>
      </c>
      <c r="H49" s="8">
        <v>3.17</v>
      </c>
      <c r="I49" s="12">
        <v>0</v>
      </c>
    </row>
    <row r="50" spans="2:9" ht="15" customHeight="1" x14ac:dyDescent="0.2">
      <c r="B50" t="s">
        <v>107</v>
      </c>
      <c r="C50" s="12">
        <v>2</v>
      </c>
      <c r="D50" s="8">
        <v>1.02</v>
      </c>
      <c r="E50" s="12">
        <v>1</v>
      </c>
      <c r="F50" s="8">
        <v>0.81</v>
      </c>
      <c r="G50" s="12">
        <v>1</v>
      </c>
      <c r="H50" s="8">
        <v>1.59</v>
      </c>
      <c r="I50" s="12">
        <v>0</v>
      </c>
    </row>
    <row r="51" spans="2:9" ht="15" customHeight="1" x14ac:dyDescent="0.2">
      <c r="B51" t="s">
        <v>88</v>
      </c>
      <c r="C51" s="12">
        <v>2</v>
      </c>
      <c r="D51" s="8">
        <v>1.02</v>
      </c>
      <c r="E51" s="12">
        <v>2</v>
      </c>
      <c r="F51" s="8">
        <v>1.61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103</v>
      </c>
      <c r="C52" s="12">
        <v>2</v>
      </c>
      <c r="D52" s="8">
        <v>1.02</v>
      </c>
      <c r="E52" s="12">
        <v>2</v>
      </c>
      <c r="F52" s="8">
        <v>1.61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95</v>
      </c>
      <c r="C53" s="12">
        <v>2</v>
      </c>
      <c r="D53" s="8">
        <v>1.02</v>
      </c>
      <c r="E53" s="12">
        <v>2</v>
      </c>
      <c r="F53" s="8">
        <v>1.61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101</v>
      </c>
      <c r="C54" s="12">
        <v>2</v>
      </c>
      <c r="D54" s="8">
        <v>1.02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339</v>
      </c>
      <c r="C57" s="10" t="s">
        <v>76</v>
      </c>
      <c r="D57" s="10" t="s">
        <v>77</v>
      </c>
      <c r="E57" s="10" t="s">
        <v>78</v>
      </c>
      <c r="F57" s="10" t="s">
        <v>79</v>
      </c>
      <c r="G57" s="10" t="s">
        <v>80</v>
      </c>
      <c r="H57" s="10" t="s">
        <v>81</v>
      </c>
      <c r="I57" s="10" t="s">
        <v>82</v>
      </c>
    </row>
    <row r="58" spans="2:9" ht="15" customHeight="1" x14ac:dyDescent="0.2">
      <c r="B58" t="s">
        <v>160</v>
      </c>
      <c r="C58" s="12">
        <v>11</v>
      </c>
      <c r="D58" s="8">
        <v>5.58</v>
      </c>
      <c r="E58" s="12">
        <v>6</v>
      </c>
      <c r="F58" s="8">
        <v>4.84</v>
      </c>
      <c r="G58" s="12">
        <v>5</v>
      </c>
      <c r="H58" s="8">
        <v>7.94</v>
      </c>
      <c r="I58" s="12">
        <v>0</v>
      </c>
    </row>
    <row r="59" spans="2:9" ht="15" customHeight="1" x14ac:dyDescent="0.2">
      <c r="B59" t="s">
        <v>174</v>
      </c>
      <c r="C59" s="12">
        <v>10</v>
      </c>
      <c r="D59" s="8">
        <v>5.08</v>
      </c>
      <c r="E59" s="12">
        <v>10</v>
      </c>
      <c r="F59" s="8">
        <v>8.06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194</v>
      </c>
      <c r="C60" s="12">
        <v>7</v>
      </c>
      <c r="D60" s="8">
        <v>3.55</v>
      </c>
      <c r="E60" s="12">
        <v>6</v>
      </c>
      <c r="F60" s="8">
        <v>4.84</v>
      </c>
      <c r="G60" s="12">
        <v>1</v>
      </c>
      <c r="H60" s="8">
        <v>1.59</v>
      </c>
      <c r="I60" s="12">
        <v>0</v>
      </c>
    </row>
    <row r="61" spans="2:9" ht="15" customHeight="1" x14ac:dyDescent="0.2">
      <c r="B61" t="s">
        <v>158</v>
      </c>
      <c r="C61" s="12">
        <v>6</v>
      </c>
      <c r="D61" s="8">
        <v>3.05</v>
      </c>
      <c r="E61" s="12">
        <v>2</v>
      </c>
      <c r="F61" s="8">
        <v>1.61</v>
      </c>
      <c r="G61" s="12">
        <v>4</v>
      </c>
      <c r="H61" s="8">
        <v>6.35</v>
      </c>
      <c r="I61" s="12">
        <v>0</v>
      </c>
    </row>
    <row r="62" spans="2:9" ht="15" customHeight="1" x14ac:dyDescent="0.2">
      <c r="B62" t="s">
        <v>159</v>
      </c>
      <c r="C62" s="12">
        <v>6</v>
      </c>
      <c r="D62" s="8">
        <v>3.05</v>
      </c>
      <c r="E62" s="12">
        <v>6</v>
      </c>
      <c r="F62" s="8">
        <v>4.84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161</v>
      </c>
      <c r="C63" s="12">
        <v>6</v>
      </c>
      <c r="D63" s="8">
        <v>3.05</v>
      </c>
      <c r="E63" s="12">
        <v>3</v>
      </c>
      <c r="F63" s="8">
        <v>2.42</v>
      </c>
      <c r="G63" s="12">
        <v>3</v>
      </c>
      <c r="H63" s="8">
        <v>4.76</v>
      </c>
      <c r="I63" s="12">
        <v>0</v>
      </c>
    </row>
    <row r="64" spans="2:9" ht="15" customHeight="1" x14ac:dyDescent="0.2">
      <c r="B64" t="s">
        <v>163</v>
      </c>
      <c r="C64" s="12">
        <v>6</v>
      </c>
      <c r="D64" s="8">
        <v>3.05</v>
      </c>
      <c r="E64" s="12">
        <v>5</v>
      </c>
      <c r="F64" s="8">
        <v>4.03</v>
      </c>
      <c r="G64" s="12">
        <v>1</v>
      </c>
      <c r="H64" s="8">
        <v>1.59</v>
      </c>
      <c r="I64" s="12">
        <v>0</v>
      </c>
    </row>
    <row r="65" spans="2:9" ht="15" customHeight="1" x14ac:dyDescent="0.2">
      <c r="B65" t="s">
        <v>170</v>
      </c>
      <c r="C65" s="12">
        <v>5</v>
      </c>
      <c r="D65" s="8">
        <v>2.54</v>
      </c>
      <c r="E65" s="12">
        <v>4</v>
      </c>
      <c r="F65" s="8">
        <v>3.23</v>
      </c>
      <c r="G65" s="12">
        <v>1</v>
      </c>
      <c r="H65" s="8">
        <v>1.59</v>
      </c>
      <c r="I65" s="12">
        <v>0</v>
      </c>
    </row>
    <row r="66" spans="2:9" ht="15" customHeight="1" x14ac:dyDescent="0.2">
      <c r="B66" t="s">
        <v>173</v>
      </c>
      <c r="C66" s="12">
        <v>5</v>
      </c>
      <c r="D66" s="8">
        <v>2.54</v>
      </c>
      <c r="E66" s="12">
        <v>5</v>
      </c>
      <c r="F66" s="8">
        <v>4.03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175</v>
      </c>
      <c r="C67" s="12">
        <v>5</v>
      </c>
      <c r="D67" s="8">
        <v>2.54</v>
      </c>
      <c r="E67" s="12">
        <v>4</v>
      </c>
      <c r="F67" s="8">
        <v>3.23</v>
      </c>
      <c r="G67" s="12">
        <v>1</v>
      </c>
      <c r="H67" s="8">
        <v>1.59</v>
      </c>
      <c r="I67" s="12">
        <v>0</v>
      </c>
    </row>
    <row r="68" spans="2:9" ht="15" customHeight="1" x14ac:dyDescent="0.2">
      <c r="B68" t="s">
        <v>176</v>
      </c>
      <c r="C68" s="12">
        <v>5</v>
      </c>
      <c r="D68" s="8">
        <v>2.54</v>
      </c>
      <c r="E68" s="12">
        <v>5</v>
      </c>
      <c r="F68" s="8">
        <v>4.03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177</v>
      </c>
      <c r="C69" s="12">
        <v>5</v>
      </c>
      <c r="D69" s="8">
        <v>2.54</v>
      </c>
      <c r="E69" s="12">
        <v>5</v>
      </c>
      <c r="F69" s="8">
        <v>4.03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164</v>
      </c>
      <c r="C70" s="12">
        <v>4</v>
      </c>
      <c r="D70" s="8">
        <v>2.0299999999999998</v>
      </c>
      <c r="E70" s="12">
        <v>3</v>
      </c>
      <c r="F70" s="8">
        <v>2.42</v>
      </c>
      <c r="G70" s="12">
        <v>1</v>
      </c>
      <c r="H70" s="8">
        <v>1.59</v>
      </c>
      <c r="I70" s="12">
        <v>0</v>
      </c>
    </row>
    <row r="71" spans="2:9" ht="15" customHeight="1" x14ac:dyDescent="0.2">
      <c r="B71" t="s">
        <v>181</v>
      </c>
      <c r="C71" s="12">
        <v>4</v>
      </c>
      <c r="D71" s="8">
        <v>2.0299999999999998</v>
      </c>
      <c r="E71" s="12">
        <v>2</v>
      </c>
      <c r="F71" s="8">
        <v>1.61</v>
      </c>
      <c r="G71" s="12">
        <v>2</v>
      </c>
      <c r="H71" s="8">
        <v>3.17</v>
      </c>
      <c r="I71" s="12">
        <v>0</v>
      </c>
    </row>
    <row r="72" spans="2:9" ht="15" customHeight="1" x14ac:dyDescent="0.2">
      <c r="B72" t="s">
        <v>201</v>
      </c>
      <c r="C72" s="12">
        <v>3</v>
      </c>
      <c r="D72" s="8">
        <v>1.52</v>
      </c>
      <c r="E72" s="12">
        <v>2</v>
      </c>
      <c r="F72" s="8">
        <v>1.61</v>
      </c>
      <c r="G72" s="12">
        <v>1</v>
      </c>
      <c r="H72" s="8">
        <v>1.59</v>
      </c>
      <c r="I72" s="12">
        <v>0</v>
      </c>
    </row>
    <row r="73" spans="2:9" ht="15" customHeight="1" x14ac:dyDescent="0.2">
      <c r="B73" t="s">
        <v>187</v>
      </c>
      <c r="C73" s="12">
        <v>3</v>
      </c>
      <c r="D73" s="8">
        <v>1.52</v>
      </c>
      <c r="E73" s="12">
        <v>2</v>
      </c>
      <c r="F73" s="8">
        <v>1.61</v>
      </c>
      <c r="G73" s="12">
        <v>1</v>
      </c>
      <c r="H73" s="8">
        <v>1.59</v>
      </c>
      <c r="I73" s="12">
        <v>0</v>
      </c>
    </row>
    <row r="74" spans="2:9" ht="15" customHeight="1" x14ac:dyDescent="0.2">
      <c r="B74" t="s">
        <v>303</v>
      </c>
      <c r="C74" s="12">
        <v>3</v>
      </c>
      <c r="D74" s="8">
        <v>1.52</v>
      </c>
      <c r="E74" s="12">
        <v>0</v>
      </c>
      <c r="F74" s="8">
        <v>0</v>
      </c>
      <c r="G74" s="12">
        <v>3</v>
      </c>
      <c r="H74" s="8">
        <v>4.76</v>
      </c>
      <c r="I74" s="12">
        <v>0</v>
      </c>
    </row>
    <row r="75" spans="2:9" ht="15" customHeight="1" x14ac:dyDescent="0.2">
      <c r="B75" t="s">
        <v>178</v>
      </c>
      <c r="C75" s="12">
        <v>3</v>
      </c>
      <c r="D75" s="8">
        <v>1.52</v>
      </c>
      <c r="E75" s="12">
        <v>2</v>
      </c>
      <c r="F75" s="8">
        <v>1.61</v>
      </c>
      <c r="G75" s="12">
        <v>1</v>
      </c>
      <c r="H75" s="8">
        <v>1.59</v>
      </c>
      <c r="I75" s="12">
        <v>0</v>
      </c>
    </row>
    <row r="76" spans="2:9" ht="15" customHeight="1" x14ac:dyDescent="0.2">
      <c r="B76" t="s">
        <v>208</v>
      </c>
      <c r="C76" s="12">
        <v>3</v>
      </c>
      <c r="D76" s="8">
        <v>1.52</v>
      </c>
      <c r="E76" s="12">
        <v>1</v>
      </c>
      <c r="F76" s="8">
        <v>0.81</v>
      </c>
      <c r="G76" s="12">
        <v>2</v>
      </c>
      <c r="H76" s="8">
        <v>3.17</v>
      </c>
      <c r="I76" s="12">
        <v>0</v>
      </c>
    </row>
    <row r="77" spans="2:9" ht="15" customHeight="1" x14ac:dyDescent="0.2">
      <c r="B77" t="s">
        <v>304</v>
      </c>
      <c r="C77" s="12">
        <v>3</v>
      </c>
      <c r="D77" s="8">
        <v>1.52</v>
      </c>
      <c r="E77" s="12">
        <v>1</v>
      </c>
      <c r="F77" s="8">
        <v>0.81</v>
      </c>
      <c r="G77" s="12">
        <v>2</v>
      </c>
      <c r="H77" s="8">
        <v>3.17</v>
      </c>
      <c r="I77" s="12">
        <v>0</v>
      </c>
    </row>
    <row r="78" spans="2:9" ht="15" customHeight="1" x14ac:dyDescent="0.2">
      <c r="B78" t="s">
        <v>169</v>
      </c>
      <c r="C78" s="12">
        <v>3</v>
      </c>
      <c r="D78" s="8">
        <v>1.52</v>
      </c>
      <c r="E78" s="12">
        <v>2</v>
      </c>
      <c r="F78" s="8">
        <v>1.61</v>
      </c>
      <c r="G78" s="12">
        <v>1</v>
      </c>
      <c r="H78" s="8">
        <v>1.59</v>
      </c>
      <c r="I78" s="12">
        <v>0</v>
      </c>
    </row>
    <row r="79" spans="2:9" ht="15" customHeight="1" x14ac:dyDescent="0.2">
      <c r="B79" t="s">
        <v>269</v>
      </c>
      <c r="C79" s="12">
        <v>3</v>
      </c>
      <c r="D79" s="8">
        <v>1.52</v>
      </c>
      <c r="E79" s="12">
        <v>2</v>
      </c>
      <c r="F79" s="8">
        <v>1.61</v>
      </c>
      <c r="G79" s="12">
        <v>1</v>
      </c>
      <c r="H79" s="8">
        <v>1.59</v>
      </c>
      <c r="I79" s="12">
        <v>0</v>
      </c>
    </row>
    <row r="80" spans="2:9" ht="15" customHeight="1" x14ac:dyDescent="0.2">
      <c r="B80" t="s">
        <v>184</v>
      </c>
      <c r="C80" s="12">
        <v>3</v>
      </c>
      <c r="D80" s="8">
        <v>1.52</v>
      </c>
      <c r="E80" s="12">
        <v>3</v>
      </c>
      <c r="F80" s="8">
        <v>2.42</v>
      </c>
      <c r="G80" s="12">
        <v>0</v>
      </c>
      <c r="H80" s="8">
        <v>0</v>
      </c>
      <c r="I80" s="12">
        <v>0</v>
      </c>
    </row>
    <row r="82" spans="2:2" ht="15" customHeight="1" x14ac:dyDescent="0.2">
      <c r="B8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4A8F-42B5-4BD5-B23E-CF57CE4AF2E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22</v>
      </c>
      <c r="D5" s="8">
        <v>0.05</v>
      </c>
      <c r="E5" s="12">
        <v>5</v>
      </c>
      <c r="F5" s="8">
        <v>0.02</v>
      </c>
      <c r="G5" s="12">
        <v>17</v>
      </c>
      <c r="H5" s="8">
        <v>7.0000000000000007E-2</v>
      </c>
      <c r="I5" s="12">
        <v>0</v>
      </c>
    </row>
    <row r="6" spans="2:9" ht="15" customHeight="1" x14ac:dyDescent="0.2">
      <c r="B6" t="s">
        <v>61</v>
      </c>
      <c r="C6" s="12">
        <v>7663</v>
      </c>
      <c r="D6" s="8">
        <v>16.09</v>
      </c>
      <c r="E6" s="12">
        <v>2532</v>
      </c>
      <c r="F6" s="8">
        <v>10.41</v>
      </c>
      <c r="G6" s="12">
        <v>5130</v>
      </c>
      <c r="H6" s="8">
        <v>22.51</v>
      </c>
      <c r="I6" s="12">
        <v>1</v>
      </c>
    </row>
    <row r="7" spans="2:9" ht="15" customHeight="1" x14ac:dyDescent="0.2">
      <c r="B7" t="s">
        <v>62</v>
      </c>
      <c r="C7" s="12">
        <v>3698</v>
      </c>
      <c r="D7" s="8">
        <v>7.76</v>
      </c>
      <c r="E7" s="12">
        <v>1342</v>
      </c>
      <c r="F7" s="8">
        <v>5.52</v>
      </c>
      <c r="G7" s="12">
        <v>2352</v>
      </c>
      <c r="H7" s="8">
        <v>10.32</v>
      </c>
      <c r="I7" s="12">
        <v>2</v>
      </c>
    </row>
    <row r="8" spans="2:9" ht="15" customHeight="1" x14ac:dyDescent="0.2">
      <c r="B8" t="s">
        <v>63</v>
      </c>
      <c r="C8" s="12">
        <v>121</v>
      </c>
      <c r="D8" s="8">
        <v>0.25</v>
      </c>
      <c r="E8" s="12">
        <v>2</v>
      </c>
      <c r="F8" s="8">
        <v>0.01</v>
      </c>
      <c r="G8" s="12">
        <v>96</v>
      </c>
      <c r="H8" s="8">
        <v>0.42</v>
      </c>
      <c r="I8" s="12">
        <v>0</v>
      </c>
    </row>
    <row r="9" spans="2:9" ht="15" customHeight="1" x14ac:dyDescent="0.2">
      <c r="B9" t="s">
        <v>64</v>
      </c>
      <c r="C9" s="12">
        <v>326</v>
      </c>
      <c r="D9" s="8">
        <v>0.68</v>
      </c>
      <c r="E9" s="12">
        <v>28</v>
      </c>
      <c r="F9" s="8">
        <v>0.12</v>
      </c>
      <c r="G9" s="12">
        <v>295</v>
      </c>
      <c r="H9" s="8">
        <v>1.29</v>
      </c>
      <c r="I9" s="12">
        <v>2</v>
      </c>
    </row>
    <row r="10" spans="2:9" ht="15" customHeight="1" x14ac:dyDescent="0.2">
      <c r="B10" t="s">
        <v>65</v>
      </c>
      <c r="C10" s="12">
        <v>456</v>
      </c>
      <c r="D10" s="8">
        <v>0.96</v>
      </c>
      <c r="E10" s="12">
        <v>104</v>
      </c>
      <c r="F10" s="8">
        <v>0.43</v>
      </c>
      <c r="G10" s="12">
        <v>341</v>
      </c>
      <c r="H10" s="8">
        <v>1.5</v>
      </c>
      <c r="I10" s="12">
        <v>10</v>
      </c>
    </row>
    <row r="11" spans="2:9" ht="15" customHeight="1" x14ac:dyDescent="0.2">
      <c r="B11" t="s">
        <v>66</v>
      </c>
      <c r="C11" s="12">
        <v>11275</v>
      </c>
      <c r="D11" s="8">
        <v>23.67</v>
      </c>
      <c r="E11" s="12">
        <v>5246</v>
      </c>
      <c r="F11" s="8">
        <v>21.57</v>
      </c>
      <c r="G11" s="12">
        <v>5989</v>
      </c>
      <c r="H11" s="8">
        <v>26.28</v>
      </c>
      <c r="I11" s="12">
        <v>38</v>
      </c>
    </row>
    <row r="12" spans="2:9" ht="15" customHeight="1" x14ac:dyDescent="0.2">
      <c r="B12" t="s">
        <v>67</v>
      </c>
      <c r="C12" s="12">
        <v>394</v>
      </c>
      <c r="D12" s="8">
        <v>0.83</v>
      </c>
      <c r="E12" s="12">
        <v>62</v>
      </c>
      <c r="F12" s="8">
        <v>0.25</v>
      </c>
      <c r="G12" s="12">
        <v>332</v>
      </c>
      <c r="H12" s="8">
        <v>1.46</v>
      </c>
      <c r="I12" s="12">
        <v>0</v>
      </c>
    </row>
    <row r="13" spans="2:9" ht="15" customHeight="1" x14ac:dyDescent="0.2">
      <c r="B13" t="s">
        <v>68</v>
      </c>
      <c r="C13" s="12">
        <v>4083</v>
      </c>
      <c r="D13" s="8">
        <v>8.57</v>
      </c>
      <c r="E13" s="12">
        <v>1876</v>
      </c>
      <c r="F13" s="8">
        <v>7.71</v>
      </c>
      <c r="G13" s="12">
        <v>2196</v>
      </c>
      <c r="H13" s="8">
        <v>9.64</v>
      </c>
      <c r="I13" s="12">
        <v>5</v>
      </c>
    </row>
    <row r="14" spans="2:9" ht="15" customHeight="1" x14ac:dyDescent="0.2">
      <c r="B14" t="s">
        <v>69</v>
      </c>
      <c r="C14" s="12">
        <v>2192</v>
      </c>
      <c r="D14" s="8">
        <v>4.5999999999999996</v>
      </c>
      <c r="E14" s="12">
        <v>984</v>
      </c>
      <c r="F14" s="8">
        <v>4.05</v>
      </c>
      <c r="G14" s="12">
        <v>1194</v>
      </c>
      <c r="H14" s="8">
        <v>5.24</v>
      </c>
      <c r="I14" s="12">
        <v>4</v>
      </c>
    </row>
    <row r="15" spans="2:9" ht="15" customHeight="1" x14ac:dyDescent="0.2">
      <c r="B15" t="s">
        <v>70</v>
      </c>
      <c r="C15" s="12">
        <v>5562</v>
      </c>
      <c r="D15" s="8">
        <v>11.68</v>
      </c>
      <c r="E15" s="12">
        <v>4209</v>
      </c>
      <c r="F15" s="8">
        <v>17.3</v>
      </c>
      <c r="G15" s="12">
        <v>1320</v>
      </c>
      <c r="H15" s="8">
        <v>5.79</v>
      </c>
      <c r="I15" s="12">
        <v>4</v>
      </c>
    </row>
    <row r="16" spans="2:9" ht="15" customHeight="1" x14ac:dyDescent="0.2">
      <c r="B16" t="s">
        <v>71</v>
      </c>
      <c r="C16" s="12">
        <v>6276</v>
      </c>
      <c r="D16" s="8">
        <v>13.18</v>
      </c>
      <c r="E16" s="12">
        <v>5003</v>
      </c>
      <c r="F16" s="8">
        <v>20.57</v>
      </c>
      <c r="G16" s="12">
        <v>1238</v>
      </c>
      <c r="H16" s="8">
        <v>5.43</v>
      </c>
      <c r="I16" s="12">
        <v>9</v>
      </c>
    </row>
    <row r="17" spans="2:9" ht="15" customHeight="1" x14ac:dyDescent="0.2">
      <c r="B17" t="s">
        <v>72</v>
      </c>
      <c r="C17" s="12">
        <v>1525</v>
      </c>
      <c r="D17" s="8">
        <v>3.2</v>
      </c>
      <c r="E17" s="12">
        <v>971</v>
      </c>
      <c r="F17" s="8">
        <v>3.99</v>
      </c>
      <c r="G17" s="12">
        <v>381</v>
      </c>
      <c r="H17" s="8">
        <v>1.67</v>
      </c>
      <c r="I17" s="12">
        <v>9</v>
      </c>
    </row>
    <row r="18" spans="2:9" ht="15" customHeight="1" x14ac:dyDescent="0.2">
      <c r="B18" t="s">
        <v>73</v>
      </c>
      <c r="C18" s="12">
        <v>2183</v>
      </c>
      <c r="D18" s="8">
        <v>4.58</v>
      </c>
      <c r="E18" s="12">
        <v>1270</v>
      </c>
      <c r="F18" s="8">
        <v>5.22</v>
      </c>
      <c r="G18" s="12">
        <v>821</v>
      </c>
      <c r="H18" s="8">
        <v>3.6</v>
      </c>
      <c r="I18" s="12">
        <v>5</v>
      </c>
    </row>
    <row r="19" spans="2:9" ht="15" customHeight="1" x14ac:dyDescent="0.2">
      <c r="B19" t="s">
        <v>74</v>
      </c>
      <c r="C19" s="12">
        <v>1852</v>
      </c>
      <c r="D19" s="8">
        <v>3.89</v>
      </c>
      <c r="E19" s="12">
        <v>691</v>
      </c>
      <c r="F19" s="8">
        <v>2.84</v>
      </c>
      <c r="G19" s="12">
        <v>1083</v>
      </c>
      <c r="H19" s="8">
        <v>4.75</v>
      </c>
      <c r="I19" s="12">
        <v>35</v>
      </c>
    </row>
    <row r="20" spans="2:9" ht="15" customHeight="1" x14ac:dyDescent="0.2">
      <c r="B20" s="9" t="s">
        <v>337</v>
      </c>
      <c r="C20" s="12">
        <f>SUM(LTBL_07000[総数／事業所数])</f>
        <v>47628</v>
      </c>
      <c r="E20" s="12">
        <f>SUBTOTAL(109,LTBL_07000[個人／事業所数])</f>
        <v>24325</v>
      </c>
      <c r="G20" s="12">
        <f>SUBTOTAL(109,LTBL_07000[法人／事業所数])</f>
        <v>22785</v>
      </c>
      <c r="I20" s="12">
        <f>SUBTOTAL(109,LTBL_07000[法人以外の団体／事業所数])</f>
        <v>124</v>
      </c>
    </row>
    <row r="21" spans="2:9" ht="15" customHeight="1" x14ac:dyDescent="0.2">
      <c r="E21" s="11">
        <f>LTBL_07000[[#Totals],[個人／事業所数]]/LTBL_07000[[#Totals],[総数／事業所数]]</f>
        <v>0.51072898295120517</v>
      </c>
      <c r="G21" s="11">
        <f>LTBL_07000[[#Totals],[法人／事業所数]]/LTBL_07000[[#Totals],[総数／事業所数]]</f>
        <v>0.47839506172839508</v>
      </c>
      <c r="I21" s="11">
        <f>LTBL_07000[[#Totals],[法人以外の団体／事業所数]]/LTBL_07000[[#Totals],[総数／事業所数]]</f>
        <v>2.6035105400184764E-3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5414</v>
      </c>
      <c r="D24" s="8">
        <v>11.37</v>
      </c>
      <c r="E24" s="12">
        <v>4700</v>
      </c>
      <c r="F24" s="8">
        <v>19.32</v>
      </c>
      <c r="G24" s="12">
        <v>711</v>
      </c>
      <c r="H24" s="8">
        <v>3.12</v>
      </c>
      <c r="I24" s="12">
        <v>0</v>
      </c>
    </row>
    <row r="25" spans="2:9" ht="15" customHeight="1" x14ac:dyDescent="0.2">
      <c r="B25" t="s">
        <v>96</v>
      </c>
      <c r="C25" s="12">
        <v>4394</v>
      </c>
      <c r="D25" s="8">
        <v>9.23</v>
      </c>
      <c r="E25" s="12">
        <v>3660</v>
      </c>
      <c r="F25" s="8">
        <v>15.05</v>
      </c>
      <c r="G25" s="12">
        <v>732</v>
      </c>
      <c r="H25" s="8">
        <v>3.21</v>
      </c>
      <c r="I25" s="12">
        <v>2</v>
      </c>
    </row>
    <row r="26" spans="2:9" ht="15" customHeight="1" x14ac:dyDescent="0.2">
      <c r="B26" t="s">
        <v>91</v>
      </c>
      <c r="C26" s="12">
        <v>3545</v>
      </c>
      <c r="D26" s="8">
        <v>7.44</v>
      </c>
      <c r="E26" s="12">
        <v>1714</v>
      </c>
      <c r="F26" s="8">
        <v>7.05</v>
      </c>
      <c r="G26" s="12">
        <v>1819</v>
      </c>
      <c r="H26" s="8">
        <v>7.98</v>
      </c>
      <c r="I26" s="12">
        <v>11</v>
      </c>
    </row>
    <row r="27" spans="2:9" ht="15" customHeight="1" x14ac:dyDescent="0.2">
      <c r="B27" t="s">
        <v>92</v>
      </c>
      <c r="C27" s="12">
        <v>3310</v>
      </c>
      <c r="D27" s="8">
        <v>6.95</v>
      </c>
      <c r="E27" s="12">
        <v>1798</v>
      </c>
      <c r="F27" s="8">
        <v>7.39</v>
      </c>
      <c r="G27" s="12">
        <v>1501</v>
      </c>
      <c r="H27" s="8">
        <v>6.59</v>
      </c>
      <c r="I27" s="12">
        <v>5</v>
      </c>
    </row>
    <row r="28" spans="2:9" ht="15" customHeight="1" x14ac:dyDescent="0.2">
      <c r="B28" t="s">
        <v>83</v>
      </c>
      <c r="C28" s="12">
        <v>3250</v>
      </c>
      <c r="D28" s="8">
        <v>6.82</v>
      </c>
      <c r="E28" s="12">
        <v>940</v>
      </c>
      <c r="F28" s="8">
        <v>3.86</v>
      </c>
      <c r="G28" s="12">
        <v>2309</v>
      </c>
      <c r="H28" s="8">
        <v>10.130000000000001</v>
      </c>
      <c r="I28" s="12">
        <v>1</v>
      </c>
    </row>
    <row r="29" spans="2:9" ht="15" customHeight="1" x14ac:dyDescent="0.2">
      <c r="B29" t="s">
        <v>84</v>
      </c>
      <c r="C29" s="12">
        <v>2603</v>
      </c>
      <c r="D29" s="8">
        <v>5.47</v>
      </c>
      <c r="E29" s="12">
        <v>1192</v>
      </c>
      <c r="F29" s="8">
        <v>4.9000000000000004</v>
      </c>
      <c r="G29" s="12">
        <v>1411</v>
      </c>
      <c r="H29" s="8">
        <v>6.19</v>
      </c>
      <c r="I29" s="12">
        <v>0</v>
      </c>
    </row>
    <row r="30" spans="2:9" ht="15" customHeight="1" x14ac:dyDescent="0.2">
      <c r="B30" t="s">
        <v>89</v>
      </c>
      <c r="C30" s="12">
        <v>2445</v>
      </c>
      <c r="D30" s="8">
        <v>5.13</v>
      </c>
      <c r="E30" s="12">
        <v>1694</v>
      </c>
      <c r="F30" s="8">
        <v>6.96</v>
      </c>
      <c r="G30" s="12">
        <v>728</v>
      </c>
      <c r="H30" s="8">
        <v>3.2</v>
      </c>
      <c r="I30" s="12">
        <v>22</v>
      </c>
    </row>
    <row r="31" spans="2:9" ht="15" customHeight="1" x14ac:dyDescent="0.2">
      <c r="B31" t="s">
        <v>85</v>
      </c>
      <c r="C31" s="12">
        <v>1810</v>
      </c>
      <c r="D31" s="8">
        <v>3.8</v>
      </c>
      <c r="E31" s="12">
        <v>400</v>
      </c>
      <c r="F31" s="8">
        <v>1.64</v>
      </c>
      <c r="G31" s="12">
        <v>1410</v>
      </c>
      <c r="H31" s="8">
        <v>6.19</v>
      </c>
      <c r="I31" s="12">
        <v>0</v>
      </c>
    </row>
    <row r="32" spans="2:9" ht="15" customHeight="1" x14ac:dyDescent="0.2">
      <c r="B32" t="s">
        <v>99</v>
      </c>
      <c r="C32" s="12">
        <v>1525</v>
      </c>
      <c r="D32" s="8">
        <v>3.2</v>
      </c>
      <c r="E32" s="12">
        <v>971</v>
      </c>
      <c r="F32" s="8">
        <v>3.99</v>
      </c>
      <c r="G32" s="12">
        <v>381</v>
      </c>
      <c r="H32" s="8">
        <v>1.67</v>
      </c>
      <c r="I32" s="12">
        <v>9</v>
      </c>
    </row>
    <row r="33" spans="2:9" ht="15" customHeight="1" x14ac:dyDescent="0.2">
      <c r="B33" t="s">
        <v>100</v>
      </c>
      <c r="C33" s="12">
        <v>1456</v>
      </c>
      <c r="D33" s="8">
        <v>3.06</v>
      </c>
      <c r="E33" s="12">
        <v>1251</v>
      </c>
      <c r="F33" s="8">
        <v>5.14</v>
      </c>
      <c r="G33" s="12">
        <v>203</v>
      </c>
      <c r="H33" s="8">
        <v>0.89</v>
      </c>
      <c r="I33" s="12">
        <v>0</v>
      </c>
    </row>
    <row r="34" spans="2:9" ht="15" customHeight="1" x14ac:dyDescent="0.2">
      <c r="B34" t="s">
        <v>90</v>
      </c>
      <c r="C34" s="12">
        <v>1448</v>
      </c>
      <c r="D34" s="8">
        <v>3.04</v>
      </c>
      <c r="E34" s="12">
        <v>766</v>
      </c>
      <c r="F34" s="8">
        <v>3.15</v>
      </c>
      <c r="G34" s="12">
        <v>681</v>
      </c>
      <c r="H34" s="8">
        <v>2.99</v>
      </c>
      <c r="I34" s="12">
        <v>1</v>
      </c>
    </row>
    <row r="35" spans="2:9" ht="15" customHeight="1" x14ac:dyDescent="0.2">
      <c r="B35" t="s">
        <v>88</v>
      </c>
      <c r="C35" s="12">
        <v>1145</v>
      </c>
      <c r="D35" s="8">
        <v>2.4</v>
      </c>
      <c r="E35" s="12">
        <v>577</v>
      </c>
      <c r="F35" s="8">
        <v>2.37</v>
      </c>
      <c r="G35" s="12">
        <v>567</v>
      </c>
      <c r="H35" s="8">
        <v>2.4900000000000002</v>
      </c>
      <c r="I35" s="12">
        <v>1</v>
      </c>
    </row>
    <row r="36" spans="2:9" ht="15" customHeight="1" x14ac:dyDescent="0.2">
      <c r="B36" t="s">
        <v>94</v>
      </c>
      <c r="C36" s="12">
        <v>1064</v>
      </c>
      <c r="D36" s="8">
        <v>2.23</v>
      </c>
      <c r="E36" s="12">
        <v>361</v>
      </c>
      <c r="F36" s="8">
        <v>1.48</v>
      </c>
      <c r="G36" s="12">
        <v>694</v>
      </c>
      <c r="H36" s="8">
        <v>3.05</v>
      </c>
      <c r="I36" s="12">
        <v>3</v>
      </c>
    </row>
    <row r="37" spans="2:9" ht="15" customHeight="1" x14ac:dyDescent="0.2">
      <c r="B37" t="s">
        <v>93</v>
      </c>
      <c r="C37" s="12">
        <v>1029</v>
      </c>
      <c r="D37" s="8">
        <v>2.16</v>
      </c>
      <c r="E37" s="12">
        <v>620</v>
      </c>
      <c r="F37" s="8">
        <v>2.5499999999999998</v>
      </c>
      <c r="G37" s="12">
        <v>409</v>
      </c>
      <c r="H37" s="8">
        <v>1.8</v>
      </c>
      <c r="I37" s="12">
        <v>0</v>
      </c>
    </row>
    <row r="38" spans="2:9" ht="15" customHeight="1" x14ac:dyDescent="0.2">
      <c r="B38" t="s">
        <v>102</v>
      </c>
      <c r="C38" s="12">
        <v>771</v>
      </c>
      <c r="D38" s="8">
        <v>1.62</v>
      </c>
      <c r="E38" s="12">
        <v>508</v>
      </c>
      <c r="F38" s="8">
        <v>2.09</v>
      </c>
      <c r="G38" s="12">
        <v>263</v>
      </c>
      <c r="H38" s="8">
        <v>1.1499999999999999</v>
      </c>
      <c r="I38" s="12">
        <v>0</v>
      </c>
    </row>
    <row r="39" spans="2:9" ht="15" customHeight="1" x14ac:dyDescent="0.2">
      <c r="B39" t="s">
        <v>101</v>
      </c>
      <c r="C39" s="12">
        <v>727</v>
      </c>
      <c r="D39" s="8">
        <v>1.53</v>
      </c>
      <c r="E39" s="12">
        <v>19</v>
      </c>
      <c r="F39" s="8">
        <v>0.08</v>
      </c>
      <c r="G39" s="12">
        <v>618</v>
      </c>
      <c r="H39" s="8">
        <v>2.71</v>
      </c>
      <c r="I39" s="12">
        <v>5</v>
      </c>
    </row>
    <row r="40" spans="2:9" ht="15" customHeight="1" x14ac:dyDescent="0.2">
      <c r="B40" t="s">
        <v>95</v>
      </c>
      <c r="C40" s="12">
        <v>723</v>
      </c>
      <c r="D40" s="8">
        <v>1.52</v>
      </c>
      <c r="E40" s="12">
        <v>473</v>
      </c>
      <c r="F40" s="8">
        <v>1.94</v>
      </c>
      <c r="G40" s="12">
        <v>247</v>
      </c>
      <c r="H40" s="8">
        <v>1.08</v>
      </c>
      <c r="I40" s="12">
        <v>2</v>
      </c>
    </row>
    <row r="41" spans="2:9" ht="15" customHeight="1" x14ac:dyDescent="0.2">
      <c r="B41" t="s">
        <v>86</v>
      </c>
      <c r="C41" s="12">
        <v>638</v>
      </c>
      <c r="D41" s="8">
        <v>1.34</v>
      </c>
      <c r="E41" s="12">
        <v>104</v>
      </c>
      <c r="F41" s="8">
        <v>0.43</v>
      </c>
      <c r="G41" s="12">
        <v>534</v>
      </c>
      <c r="H41" s="8">
        <v>2.34</v>
      </c>
      <c r="I41" s="12">
        <v>0</v>
      </c>
    </row>
    <row r="42" spans="2:9" ht="15" customHeight="1" x14ac:dyDescent="0.2">
      <c r="B42" t="s">
        <v>87</v>
      </c>
      <c r="C42" s="12">
        <v>566</v>
      </c>
      <c r="D42" s="8">
        <v>1.19</v>
      </c>
      <c r="E42" s="12">
        <v>39</v>
      </c>
      <c r="F42" s="8">
        <v>0.16</v>
      </c>
      <c r="G42" s="12">
        <v>527</v>
      </c>
      <c r="H42" s="8">
        <v>2.31</v>
      </c>
      <c r="I42" s="12">
        <v>0</v>
      </c>
    </row>
    <row r="43" spans="2:9" ht="15" customHeight="1" x14ac:dyDescent="0.2">
      <c r="B43" t="s">
        <v>98</v>
      </c>
      <c r="C43" s="12">
        <v>565</v>
      </c>
      <c r="D43" s="8">
        <v>1.19</v>
      </c>
      <c r="E43" s="12">
        <v>220</v>
      </c>
      <c r="F43" s="8">
        <v>0.9</v>
      </c>
      <c r="G43" s="12">
        <v>338</v>
      </c>
      <c r="H43" s="8">
        <v>1.48</v>
      </c>
      <c r="I43" s="12">
        <v>1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2678</v>
      </c>
      <c r="D47" s="8">
        <v>5.62</v>
      </c>
      <c r="E47" s="12">
        <v>2419</v>
      </c>
      <c r="F47" s="8">
        <v>9.94</v>
      </c>
      <c r="G47" s="12">
        <v>259</v>
      </c>
      <c r="H47" s="8">
        <v>1.1399999999999999</v>
      </c>
      <c r="I47" s="12">
        <v>0</v>
      </c>
    </row>
    <row r="48" spans="2:9" ht="15" customHeight="1" x14ac:dyDescent="0.2">
      <c r="B48" t="s">
        <v>168</v>
      </c>
      <c r="C48" s="12">
        <v>2181</v>
      </c>
      <c r="D48" s="8">
        <v>4.58</v>
      </c>
      <c r="E48" s="12">
        <v>1444</v>
      </c>
      <c r="F48" s="8">
        <v>5.94</v>
      </c>
      <c r="G48" s="12">
        <v>734</v>
      </c>
      <c r="H48" s="8">
        <v>3.22</v>
      </c>
      <c r="I48" s="12">
        <v>0</v>
      </c>
    </row>
    <row r="49" spans="2:9" ht="15" customHeight="1" x14ac:dyDescent="0.2">
      <c r="B49" t="s">
        <v>173</v>
      </c>
      <c r="C49" s="12">
        <v>1922</v>
      </c>
      <c r="D49" s="8">
        <v>4.04</v>
      </c>
      <c r="E49" s="12">
        <v>1862</v>
      </c>
      <c r="F49" s="8">
        <v>7.65</v>
      </c>
      <c r="G49" s="12">
        <v>60</v>
      </c>
      <c r="H49" s="8">
        <v>0.26</v>
      </c>
      <c r="I49" s="12">
        <v>0</v>
      </c>
    </row>
    <row r="50" spans="2:9" ht="15" customHeight="1" x14ac:dyDescent="0.2">
      <c r="B50" t="s">
        <v>170</v>
      </c>
      <c r="C50" s="12">
        <v>1143</v>
      </c>
      <c r="D50" s="8">
        <v>2.4</v>
      </c>
      <c r="E50" s="12">
        <v>876</v>
      </c>
      <c r="F50" s="8">
        <v>3.6</v>
      </c>
      <c r="G50" s="12">
        <v>266</v>
      </c>
      <c r="H50" s="8">
        <v>1.17</v>
      </c>
      <c r="I50" s="12">
        <v>1</v>
      </c>
    </row>
    <row r="51" spans="2:9" ht="15" customHeight="1" x14ac:dyDescent="0.2">
      <c r="B51" t="s">
        <v>176</v>
      </c>
      <c r="C51" s="12">
        <v>1007</v>
      </c>
      <c r="D51" s="8">
        <v>2.11</v>
      </c>
      <c r="E51" s="12">
        <v>896</v>
      </c>
      <c r="F51" s="8">
        <v>3.68</v>
      </c>
      <c r="G51" s="12">
        <v>111</v>
      </c>
      <c r="H51" s="8">
        <v>0.49</v>
      </c>
      <c r="I51" s="12">
        <v>0</v>
      </c>
    </row>
    <row r="52" spans="2:9" ht="15" customHeight="1" x14ac:dyDescent="0.2">
      <c r="B52" t="s">
        <v>160</v>
      </c>
      <c r="C52" s="12">
        <v>996</v>
      </c>
      <c r="D52" s="8">
        <v>2.09</v>
      </c>
      <c r="E52" s="12">
        <v>521</v>
      </c>
      <c r="F52" s="8">
        <v>2.14</v>
      </c>
      <c r="G52" s="12">
        <v>475</v>
      </c>
      <c r="H52" s="8">
        <v>2.08</v>
      </c>
      <c r="I52" s="12">
        <v>0</v>
      </c>
    </row>
    <row r="53" spans="2:9" ht="15" customHeight="1" x14ac:dyDescent="0.2">
      <c r="B53" t="s">
        <v>158</v>
      </c>
      <c r="C53" s="12">
        <v>990</v>
      </c>
      <c r="D53" s="8">
        <v>2.08</v>
      </c>
      <c r="E53" s="12">
        <v>147</v>
      </c>
      <c r="F53" s="8">
        <v>0.6</v>
      </c>
      <c r="G53" s="12">
        <v>842</v>
      </c>
      <c r="H53" s="8">
        <v>3.7</v>
      </c>
      <c r="I53" s="12">
        <v>1</v>
      </c>
    </row>
    <row r="54" spans="2:9" ht="15" customHeight="1" x14ac:dyDescent="0.2">
      <c r="B54" t="s">
        <v>172</v>
      </c>
      <c r="C54" s="12">
        <v>990</v>
      </c>
      <c r="D54" s="8">
        <v>2.08</v>
      </c>
      <c r="E54" s="12">
        <v>933</v>
      </c>
      <c r="F54" s="8">
        <v>3.84</v>
      </c>
      <c r="G54" s="12">
        <v>57</v>
      </c>
      <c r="H54" s="8">
        <v>0.25</v>
      </c>
      <c r="I54" s="12">
        <v>0</v>
      </c>
    </row>
    <row r="55" spans="2:9" ht="15" customHeight="1" x14ac:dyDescent="0.2">
      <c r="B55" t="s">
        <v>166</v>
      </c>
      <c r="C55" s="12">
        <v>975</v>
      </c>
      <c r="D55" s="8">
        <v>2.0499999999999998</v>
      </c>
      <c r="E55" s="12">
        <v>589</v>
      </c>
      <c r="F55" s="8">
        <v>2.42</v>
      </c>
      <c r="G55" s="12">
        <v>382</v>
      </c>
      <c r="H55" s="8">
        <v>1.68</v>
      </c>
      <c r="I55" s="12">
        <v>3</v>
      </c>
    </row>
    <row r="56" spans="2:9" ht="15" customHeight="1" x14ac:dyDescent="0.2">
      <c r="B56" t="s">
        <v>171</v>
      </c>
      <c r="C56" s="12">
        <v>914</v>
      </c>
      <c r="D56" s="8">
        <v>1.92</v>
      </c>
      <c r="E56" s="12">
        <v>783</v>
      </c>
      <c r="F56" s="8">
        <v>3.22</v>
      </c>
      <c r="G56" s="12">
        <v>131</v>
      </c>
      <c r="H56" s="8">
        <v>0.56999999999999995</v>
      </c>
      <c r="I56" s="12">
        <v>0</v>
      </c>
    </row>
    <row r="57" spans="2:9" ht="15" customHeight="1" x14ac:dyDescent="0.2">
      <c r="B57" t="s">
        <v>175</v>
      </c>
      <c r="C57" s="12">
        <v>807</v>
      </c>
      <c r="D57" s="8">
        <v>1.69</v>
      </c>
      <c r="E57" s="12">
        <v>633</v>
      </c>
      <c r="F57" s="8">
        <v>2.6</v>
      </c>
      <c r="G57" s="12">
        <v>170</v>
      </c>
      <c r="H57" s="8">
        <v>0.75</v>
      </c>
      <c r="I57" s="12">
        <v>4</v>
      </c>
    </row>
    <row r="58" spans="2:9" ht="15" customHeight="1" x14ac:dyDescent="0.2">
      <c r="B58" t="s">
        <v>164</v>
      </c>
      <c r="C58" s="12">
        <v>798</v>
      </c>
      <c r="D58" s="8">
        <v>1.68</v>
      </c>
      <c r="E58" s="12">
        <v>369</v>
      </c>
      <c r="F58" s="8">
        <v>1.52</v>
      </c>
      <c r="G58" s="12">
        <v>428</v>
      </c>
      <c r="H58" s="8">
        <v>1.88</v>
      </c>
      <c r="I58" s="12">
        <v>1</v>
      </c>
    </row>
    <row r="59" spans="2:9" ht="15" customHeight="1" x14ac:dyDescent="0.2">
      <c r="B59" t="s">
        <v>163</v>
      </c>
      <c r="C59" s="12">
        <v>793</v>
      </c>
      <c r="D59" s="8">
        <v>1.66</v>
      </c>
      <c r="E59" s="12">
        <v>498</v>
      </c>
      <c r="F59" s="8">
        <v>2.0499999999999998</v>
      </c>
      <c r="G59" s="12">
        <v>283</v>
      </c>
      <c r="H59" s="8">
        <v>1.24</v>
      </c>
      <c r="I59" s="12">
        <v>12</v>
      </c>
    </row>
    <row r="60" spans="2:9" ht="15" customHeight="1" x14ac:dyDescent="0.2">
      <c r="B60" t="s">
        <v>161</v>
      </c>
      <c r="C60" s="12">
        <v>784</v>
      </c>
      <c r="D60" s="8">
        <v>1.65</v>
      </c>
      <c r="E60" s="12">
        <v>207</v>
      </c>
      <c r="F60" s="8">
        <v>0.85</v>
      </c>
      <c r="G60" s="12">
        <v>577</v>
      </c>
      <c r="H60" s="8">
        <v>2.5299999999999998</v>
      </c>
      <c r="I60" s="12">
        <v>0</v>
      </c>
    </row>
    <row r="61" spans="2:9" ht="15" customHeight="1" x14ac:dyDescent="0.2">
      <c r="B61" t="s">
        <v>177</v>
      </c>
      <c r="C61" s="12">
        <v>770</v>
      </c>
      <c r="D61" s="8">
        <v>1.62</v>
      </c>
      <c r="E61" s="12">
        <v>508</v>
      </c>
      <c r="F61" s="8">
        <v>2.09</v>
      </c>
      <c r="G61" s="12">
        <v>262</v>
      </c>
      <c r="H61" s="8">
        <v>1.1499999999999999</v>
      </c>
      <c r="I61" s="12">
        <v>0</v>
      </c>
    </row>
    <row r="62" spans="2:9" ht="15" customHeight="1" x14ac:dyDescent="0.2">
      <c r="B62" t="s">
        <v>159</v>
      </c>
      <c r="C62" s="12">
        <v>699</v>
      </c>
      <c r="D62" s="8">
        <v>1.47</v>
      </c>
      <c r="E62" s="12">
        <v>137</v>
      </c>
      <c r="F62" s="8">
        <v>0.56000000000000005</v>
      </c>
      <c r="G62" s="12">
        <v>562</v>
      </c>
      <c r="H62" s="8">
        <v>2.4700000000000002</v>
      </c>
      <c r="I62" s="12">
        <v>0</v>
      </c>
    </row>
    <row r="63" spans="2:9" ht="15" customHeight="1" x14ac:dyDescent="0.2">
      <c r="B63" t="s">
        <v>162</v>
      </c>
      <c r="C63" s="12">
        <v>683</v>
      </c>
      <c r="D63" s="8">
        <v>1.43</v>
      </c>
      <c r="E63" s="12">
        <v>162</v>
      </c>
      <c r="F63" s="8">
        <v>0.67</v>
      </c>
      <c r="G63" s="12">
        <v>521</v>
      </c>
      <c r="H63" s="8">
        <v>2.29</v>
      </c>
      <c r="I63" s="12">
        <v>0</v>
      </c>
    </row>
    <row r="64" spans="2:9" ht="15" customHeight="1" x14ac:dyDescent="0.2">
      <c r="B64" t="s">
        <v>169</v>
      </c>
      <c r="C64" s="12">
        <v>678</v>
      </c>
      <c r="D64" s="8">
        <v>1.42</v>
      </c>
      <c r="E64" s="12">
        <v>181</v>
      </c>
      <c r="F64" s="8">
        <v>0.74</v>
      </c>
      <c r="G64" s="12">
        <v>493</v>
      </c>
      <c r="H64" s="8">
        <v>2.16</v>
      </c>
      <c r="I64" s="12">
        <v>0</v>
      </c>
    </row>
    <row r="65" spans="2:9" ht="15" customHeight="1" x14ac:dyDescent="0.2">
      <c r="B65" t="s">
        <v>165</v>
      </c>
      <c r="C65" s="12">
        <v>677</v>
      </c>
      <c r="D65" s="8">
        <v>1.42</v>
      </c>
      <c r="E65" s="12">
        <v>209</v>
      </c>
      <c r="F65" s="8">
        <v>0.86</v>
      </c>
      <c r="G65" s="12">
        <v>468</v>
      </c>
      <c r="H65" s="8">
        <v>2.0499999999999998</v>
      </c>
      <c r="I65" s="12">
        <v>0</v>
      </c>
    </row>
    <row r="66" spans="2:9" ht="15" customHeight="1" x14ac:dyDescent="0.2">
      <c r="B66" t="s">
        <v>167</v>
      </c>
      <c r="C66" s="12">
        <v>633</v>
      </c>
      <c r="D66" s="8">
        <v>1.33</v>
      </c>
      <c r="E66" s="12">
        <v>150</v>
      </c>
      <c r="F66" s="8">
        <v>0.62</v>
      </c>
      <c r="G66" s="12">
        <v>480</v>
      </c>
      <c r="H66" s="8">
        <v>2.11</v>
      </c>
      <c r="I66" s="12">
        <v>3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EA04-4639-4AEC-B7F9-E23F683B9260}">
  <sheetPr>
    <pageSetUpPr fitToPage="1"/>
  </sheetPr>
  <dimension ref="B2:I10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41</v>
      </c>
      <c r="D6" s="8">
        <v>24.7</v>
      </c>
      <c r="E6" s="12">
        <v>16</v>
      </c>
      <c r="F6" s="8">
        <v>16.670000000000002</v>
      </c>
      <c r="G6" s="12">
        <v>25</v>
      </c>
      <c r="H6" s="8">
        <v>38.46</v>
      </c>
      <c r="I6" s="12">
        <v>0</v>
      </c>
    </row>
    <row r="7" spans="2:9" ht="15" customHeight="1" x14ac:dyDescent="0.2">
      <c r="B7" t="s">
        <v>62</v>
      </c>
      <c r="C7" s="12">
        <v>22</v>
      </c>
      <c r="D7" s="8">
        <v>13.25</v>
      </c>
      <c r="E7" s="12">
        <v>8</v>
      </c>
      <c r="F7" s="8">
        <v>8.33</v>
      </c>
      <c r="G7" s="12">
        <v>14</v>
      </c>
      <c r="H7" s="8">
        <v>21.54</v>
      </c>
      <c r="I7" s="12">
        <v>0</v>
      </c>
    </row>
    <row r="8" spans="2:9" ht="15" customHeight="1" x14ac:dyDescent="0.2">
      <c r="B8" t="s">
        <v>63</v>
      </c>
      <c r="C8" s="12">
        <v>3</v>
      </c>
      <c r="D8" s="8">
        <v>1.81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0.6</v>
      </c>
      <c r="E9" s="12">
        <v>0</v>
      </c>
      <c r="F9" s="8">
        <v>0</v>
      </c>
      <c r="G9" s="12">
        <v>1</v>
      </c>
      <c r="H9" s="8">
        <v>1.54</v>
      </c>
      <c r="I9" s="12">
        <v>0</v>
      </c>
    </row>
    <row r="10" spans="2:9" ht="15" customHeight="1" x14ac:dyDescent="0.2">
      <c r="B10" t="s">
        <v>65</v>
      </c>
      <c r="C10" s="12">
        <v>1</v>
      </c>
      <c r="D10" s="8">
        <v>0.6</v>
      </c>
      <c r="E10" s="12">
        <v>0</v>
      </c>
      <c r="F10" s="8">
        <v>0</v>
      </c>
      <c r="G10" s="12">
        <v>1</v>
      </c>
      <c r="H10" s="8">
        <v>1.54</v>
      </c>
      <c r="I10" s="12">
        <v>0</v>
      </c>
    </row>
    <row r="11" spans="2:9" ht="15" customHeight="1" x14ac:dyDescent="0.2">
      <c r="B11" t="s">
        <v>66</v>
      </c>
      <c r="C11" s="12">
        <v>37</v>
      </c>
      <c r="D11" s="8">
        <v>22.29</v>
      </c>
      <c r="E11" s="12">
        <v>30</v>
      </c>
      <c r="F11" s="8">
        <v>31.25</v>
      </c>
      <c r="G11" s="12">
        <v>7</v>
      </c>
      <c r="H11" s="8">
        <v>10.77</v>
      </c>
      <c r="I11" s="12">
        <v>0</v>
      </c>
    </row>
    <row r="12" spans="2:9" ht="15" customHeight="1" x14ac:dyDescent="0.2">
      <c r="B12" t="s">
        <v>67</v>
      </c>
      <c r="C12" s="12">
        <v>1</v>
      </c>
      <c r="D12" s="8">
        <v>0.6</v>
      </c>
      <c r="E12" s="12">
        <v>0</v>
      </c>
      <c r="F12" s="8">
        <v>0</v>
      </c>
      <c r="G12" s="12">
        <v>1</v>
      </c>
      <c r="H12" s="8">
        <v>1.54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1.2</v>
      </c>
      <c r="E13" s="12">
        <v>1</v>
      </c>
      <c r="F13" s="8">
        <v>1.04</v>
      </c>
      <c r="G13" s="12">
        <v>1</v>
      </c>
      <c r="H13" s="8">
        <v>1.54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3.01</v>
      </c>
      <c r="E14" s="12">
        <v>3</v>
      </c>
      <c r="F14" s="8">
        <v>3.13</v>
      </c>
      <c r="G14" s="12">
        <v>1</v>
      </c>
      <c r="H14" s="8">
        <v>1.54</v>
      </c>
      <c r="I14" s="12">
        <v>0</v>
      </c>
    </row>
    <row r="15" spans="2:9" ht="15" customHeight="1" x14ac:dyDescent="0.2">
      <c r="B15" t="s">
        <v>70</v>
      </c>
      <c r="C15" s="12">
        <v>18</v>
      </c>
      <c r="D15" s="8">
        <v>10.84</v>
      </c>
      <c r="E15" s="12">
        <v>13</v>
      </c>
      <c r="F15" s="8">
        <v>13.54</v>
      </c>
      <c r="G15" s="12">
        <v>4</v>
      </c>
      <c r="H15" s="8">
        <v>6.15</v>
      </c>
      <c r="I15" s="12">
        <v>0</v>
      </c>
    </row>
    <row r="16" spans="2:9" ht="15" customHeight="1" x14ac:dyDescent="0.2">
      <c r="B16" t="s">
        <v>71</v>
      </c>
      <c r="C16" s="12">
        <v>21</v>
      </c>
      <c r="D16" s="8">
        <v>12.65</v>
      </c>
      <c r="E16" s="12">
        <v>19</v>
      </c>
      <c r="F16" s="8">
        <v>19.79</v>
      </c>
      <c r="G16" s="12">
        <v>2</v>
      </c>
      <c r="H16" s="8">
        <v>3.08</v>
      </c>
      <c r="I16" s="12">
        <v>0</v>
      </c>
    </row>
    <row r="17" spans="2:9" ht="15" customHeight="1" x14ac:dyDescent="0.2">
      <c r="B17" t="s">
        <v>72</v>
      </c>
      <c r="C17" s="12">
        <v>1</v>
      </c>
      <c r="D17" s="8">
        <v>0.6</v>
      </c>
      <c r="E17" s="12">
        <v>1</v>
      </c>
      <c r="F17" s="8">
        <v>1.04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3</v>
      </c>
      <c r="D18" s="8">
        <v>1.81</v>
      </c>
      <c r="E18" s="12">
        <v>2</v>
      </c>
      <c r="F18" s="8">
        <v>2.08</v>
      </c>
      <c r="G18" s="12">
        <v>1</v>
      </c>
      <c r="H18" s="8">
        <v>1.54</v>
      </c>
      <c r="I18" s="12">
        <v>0</v>
      </c>
    </row>
    <row r="19" spans="2:9" ht="15" customHeight="1" x14ac:dyDescent="0.2">
      <c r="B19" t="s">
        <v>74</v>
      </c>
      <c r="C19" s="12">
        <v>10</v>
      </c>
      <c r="D19" s="8">
        <v>6.02</v>
      </c>
      <c r="E19" s="12">
        <v>3</v>
      </c>
      <c r="F19" s="8">
        <v>3.13</v>
      </c>
      <c r="G19" s="12">
        <v>7</v>
      </c>
      <c r="H19" s="8">
        <v>10.77</v>
      </c>
      <c r="I19" s="12">
        <v>0</v>
      </c>
    </row>
    <row r="20" spans="2:9" ht="15" customHeight="1" x14ac:dyDescent="0.2">
      <c r="B20" s="9" t="s">
        <v>337</v>
      </c>
      <c r="C20" s="12">
        <f>SUM(LTBL_07503[総数／事業所数])</f>
        <v>166</v>
      </c>
      <c r="E20" s="12">
        <f>SUBTOTAL(109,LTBL_07503[個人／事業所数])</f>
        <v>96</v>
      </c>
      <c r="G20" s="12">
        <f>SUBTOTAL(109,LTBL_07503[法人／事業所数])</f>
        <v>65</v>
      </c>
      <c r="I20" s="12">
        <f>SUBTOTAL(109,LTBL_07503[法人以外の団体／事業所数])</f>
        <v>0</v>
      </c>
    </row>
    <row r="21" spans="2:9" ht="15" customHeight="1" x14ac:dyDescent="0.2">
      <c r="E21" s="11">
        <f>LTBL_07503[[#Totals],[個人／事業所数]]/LTBL_07503[[#Totals],[総数／事業所数]]</f>
        <v>0.57831325301204817</v>
      </c>
      <c r="G21" s="11">
        <f>LTBL_07503[[#Totals],[法人／事業所数]]/LTBL_07503[[#Totals],[総数／事業所数]]</f>
        <v>0.39156626506024095</v>
      </c>
      <c r="I21" s="11">
        <f>LTBL_07503[[#Totals],[法人以外の団体／事業所数]]/LTBL_07503[[#Totals],[総数／事業所数]]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89</v>
      </c>
      <c r="C24" s="12">
        <v>20</v>
      </c>
      <c r="D24" s="8">
        <v>12.05</v>
      </c>
      <c r="E24" s="12">
        <v>20</v>
      </c>
      <c r="F24" s="8">
        <v>20.83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97</v>
      </c>
      <c r="C25" s="12">
        <v>19</v>
      </c>
      <c r="D25" s="8">
        <v>11.45</v>
      </c>
      <c r="E25" s="12">
        <v>19</v>
      </c>
      <c r="F25" s="8">
        <v>19.79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83</v>
      </c>
      <c r="C26" s="12">
        <v>18</v>
      </c>
      <c r="D26" s="8">
        <v>10.84</v>
      </c>
      <c r="E26" s="12">
        <v>5</v>
      </c>
      <c r="F26" s="8">
        <v>5.21</v>
      </c>
      <c r="G26" s="12">
        <v>13</v>
      </c>
      <c r="H26" s="8">
        <v>20</v>
      </c>
      <c r="I26" s="12">
        <v>0</v>
      </c>
    </row>
    <row r="27" spans="2:9" ht="15" customHeight="1" x14ac:dyDescent="0.2">
      <c r="B27" t="s">
        <v>84</v>
      </c>
      <c r="C27" s="12">
        <v>16</v>
      </c>
      <c r="D27" s="8">
        <v>9.64</v>
      </c>
      <c r="E27" s="12">
        <v>8</v>
      </c>
      <c r="F27" s="8">
        <v>8.33</v>
      </c>
      <c r="G27" s="12">
        <v>8</v>
      </c>
      <c r="H27" s="8">
        <v>12.31</v>
      </c>
      <c r="I27" s="12">
        <v>0</v>
      </c>
    </row>
    <row r="28" spans="2:9" ht="15" customHeight="1" x14ac:dyDescent="0.2">
      <c r="B28" t="s">
        <v>96</v>
      </c>
      <c r="C28" s="12">
        <v>12</v>
      </c>
      <c r="D28" s="8">
        <v>7.23</v>
      </c>
      <c r="E28" s="12">
        <v>11</v>
      </c>
      <c r="F28" s="8">
        <v>11.46</v>
      </c>
      <c r="G28" s="12">
        <v>1</v>
      </c>
      <c r="H28" s="8">
        <v>1.54</v>
      </c>
      <c r="I28" s="12">
        <v>0</v>
      </c>
    </row>
    <row r="29" spans="2:9" ht="15" customHeight="1" x14ac:dyDescent="0.2">
      <c r="B29" t="s">
        <v>111</v>
      </c>
      <c r="C29" s="12">
        <v>10</v>
      </c>
      <c r="D29" s="8">
        <v>6.02</v>
      </c>
      <c r="E29" s="12">
        <v>6</v>
      </c>
      <c r="F29" s="8">
        <v>6.25</v>
      </c>
      <c r="G29" s="12">
        <v>4</v>
      </c>
      <c r="H29" s="8">
        <v>6.15</v>
      </c>
      <c r="I29" s="12">
        <v>0</v>
      </c>
    </row>
    <row r="30" spans="2:9" ht="15" customHeight="1" x14ac:dyDescent="0.2">
      <c r="B30" t="s">
        <v>91</v>
      </c>
      <c r="C30" s="12">
        <v>10</v>
      </c>
      <c r="D30" s="8">
        <v>6.02</v>
      </c>
      <c r="E30" s="12">
        <v>6</v>
      </c>
      <c r="F30" s="8">
        <v>6.25</v>
      </c>
      <c r="G30" s="12">
        <v>4</v>
      </c>
      <c r="H30" s="8">
        <v>6.15</v>
      </c>
      <c r="I30" s="12">
        <v>0</v>
      </c>
    </row>
    <row r="31" spans="2:9" ht="15" customHeight="1" x14ac:dyDescent="0.2">
      <c r="B31" t="s">
        <v>85</v>
      </c>
      <c r="C31" s="12">
        <v>7</v>
      </c>
      <c r="D31" s="8">
        <v>4.22</v>
      </c>
      <c r="E31" s="12">
        <v>3</v>
      </c>
      <c r="F31" s="8">
        <v>3.13</v>
      </c>
      <c r="G31" s="12">
        <v>4</v>
      </c>
      <c r="H31" s="8">
        <v>6.15</v>
      </c>
      <c r="I31" s="12">
        <v>0</v>
      </c>
    </row>
    <row r="32" spans="2:9" ht="15" customHeight="1" x14ac:dyDescent="0.2">
      <c r="B32" t="s">
        <v>102</v>
      </c>
      <c r="C32" s="12">
        <v>7</v>
      </c>
      <c r="D32" s="8">
        <v>4.22</v>
      </c>
      <c r="E32" s="12">
        <v>3</v>
      </c>
      <c r="F32" s="8">
        <v>3.13</v>
      </c>
      <c r="G32" s="12">
        <v>4</v>
      </c>
      <c r="H32" s="8">
        <v>6.15</v>
      </c>
      <c r="I32" s="12">
        <v>0</v>
      </c>
    </row>
    <row r="33" spans="2:9" ht="15" customHeight="1" x14ac:dyDescent="0.2">
      <c r="B33" t="s">
        <v>113</v>
      </c>
      <c r="C33" s="12">
        <v>5</v>
      </c>
      <c r="D33" s="8">
        <v>3.01</v>
      </c>
      <c r="E33" s="12">
        <v>2</v>
      </c>
      <c r="F33" s="8">
        <v>2.08</v>
      </c>
      <c r="G33" s="12">
        <v>2</v>
      </c>
      <c r="H33" s="8">
        <v>3.08</v>
      </c>
      <c r="I33" s="12">
        <v>0</v>
      </c>
    </row>
    <row r="34" spans="2:9" ht="15" customHeight="1" x14ac:dyDescent="0.2">
      <c r="B34" t="s">
        <v>124</v>
      </c>
      <c r="C34" s="12">
        <v>3</v>
      </c>
      <c r="D34" s="8">
        <v>1.81</v>
      </c>
      <c r="E34" s="12">
        <v>1</v>
      </c>
      <c r="F34" s="8">
        <v>1.04</v>
      </c>
      <c r="G34" s="12">
        <v>2</v>
      </c>
      <c r="H34" s="8">
        <v>3.08</v>
      </c>
      <c r="I34" s="12">
        <v>0</v>
      </c>
    </row>
    <row r="35" spans="2:9" ht="15" customHeight="1" x14ac:dyDescent="0.2">
      <c r="B35" t="s">
        <v>127</v>
      </c>
      <c r="C35" s="12">
        <v>3</v>
      </c>
      <c r="D35" s="8">
        <v>1.81</v>
      </c>
      <c r="E35" s="12">
        <v>0</v>
      </c>
      <c r="F35" s="8">
        <v>0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122</v>
      </c>
      <c r="C36" s="12">
        <v>2</v>
      </c>
      <c r="D36" s="8">
        <v>1.2</v>
      </c>
      <c r="E36" s="12">
        <v>0</v>
      </c>
      <c r="F36" s="8">
        <v>0</v>
      </c>
      <c r="G36" s="12">
        <v>2</v>
      </c>
      <c r="H36" s="8">
        <v>3.08</v>
      </c>
      <c r="I36" s="12">
        <v>0</v>
      </c>
    </row>
    <row r="37" spans="2:9" ht="15" customHeight="1" x14ac:dyDescent="0.2">
      <c r="B37" t="s">
        <v>90</v>
      </c>
      <c r="C37" s="12">
        <v>2</v>
      </c>
      <c r="D37" s="8">
        <v>1.2</v>
      </c>
      <c r="E37" s="12">
        <v>2</v>
      </c>
      <c r="F37" s="8">
        <v>2.08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93</v>
      </c>
      <c r="C38" s="12">
        <v>2</v>
      </c>
      <c r="D38" s="8">
        <v>1.2</v>
      </c>
      <c r="E38" s="12">
        <v>2</v>
      </c>
      <c r="F38" s="8">
        <v>2.08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94</v>
      </c>
      <c r="C39" s="12">
        <v>2</v>
      </c>
      <c r="D39" s="8">
        <v>1.2</v>
      </c>
      <c r="E39" s="12">
        <v>1</v>
      </c>
      <c r="F39" s="8">
        <v>1.04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100</v>
      </c>
      <c r="C40" s="12">
        <v>2</v>
      </c>
      <c r="D40" s="8">
        <v>1.2</v>
      </c>
      <c r="E40" s="12">
        <v>2</v>
      </c>
      <c r="F40" s="8">
        <v>2.08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110</v>
      </c>
      <c r="C41" s="12">
        <v>1</v>
      </c>
      <c r="D41" s="8">
        <v>0.6</v>
      </c>
      <c r="E41" s="12">
        <v>0</v>
      </c>
      <c r="F41" s="8">
        <v>0</v>
      </c>
      <c r="G41" s="12">
        <v>1</v>
      </c>
      <c r="H41" s="8">
        <v>1.54</v>
      </c>
      <c r="I41" s="12">
        <v>0</v>
      </c>
    </row>
    <row r="42" spans="2:9" ht="15" customHeight="1" x14ac:dyDescent="0.2">
      <c r="B42" t="s">
        <v>132</v>
      </c>
      <c r="C42" s="12">
        <v>1</v>
      </c>
      <c r="D42" s="8">
        <v>0.6</v>
      </c>
      <c r="E42" s="12">
        <v>0</v>
      </c>
      <c r="F42" s="8">
        <v>0</v>
      </c>
      <c r="G42" s="12">
        <v>1</v>
      </c>
      <c r="H42" s="8">
        <v>1.54</v>
      </c>
      <c r="I42" s="12">
        <v>0</v>
      </c>
    </row>
    <row r="43" spans="2:9" ht="15" customHeight="1" x14ac:dyDescent="0.2">
      <c r="B43" t="s">
        <v>116</v>
      </c>
      <c r="C43" s="12">
        <v>1</v>
      </c>
      <c r="D43" s="8">
        <v>0.6</v>
      </c>
      <c r="E43" s="12">
        <v>1</v>
      </c>
      <c r="F43" s="8">
        <v>1.04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144</v>
      </c>
      <c r="C44" s="12">
        <v>1</v>
      </c>
      <c r="D44" s="8">
        <v>0.6</v>
      </c>
      <c r="E44" s="12">
        <v>0</v>
      </c>
      <c r="F44" s="8">
        <v>0</v>
      </c>
      <c r="G44" s="12">
        <v>1</v>
      </c>
      <c r="H44" s="8">
        <v>1.54</v>
      </c>
      <c r="I44" s="12">
        <v>0</v>
      </c>
    </row>
    <row r="45" spans="2:9" ht="15" customHeight="1" x14ac:dyDescent="0.2">
      <c r="B45" t="s">
        <v>121</v>
      </c>
      <c r="C45" s="12">
        <v>1</v>
      </c>
      <c r="D45" s="8">
        <v>0.6</v>
      </c>
      <c r="E45" s="12">
        <v>0</v>
      </c>
      <c r="F45" s="8">
        <v>0</v>
      </c>
      <c r="G45" s="12">
        <v>1</v>
      </c>
      <c r="H45" s="8">
        <v>1.54</v>
      </c>
      <c r="I45" s="12">
        <v>0</v>
      </c>
    </row>
    <row r="46" spans="2:9" ht="15" customHeight="1" x14ac:dyDescent="0.2">
      <c r="B46" t="s">
        <v>112</v>
      </c>
      <c r="C46" s="12">
        <v>1</v>
      </c>
      <c r="D46" s="8">
        <v>0.6</v>
      </c>
      <c r="E46" s="12">
        <v>0</v>
      </c>
      <c r="F46" s="8">
        <v>0</v>
      </c>
      <c r="G46" s="12">
        <v>1</v>
      </c>
      <c r="H46" s="8">
        <v>1.54</v>
      </c>
      <c r="I46" s="12">
        <v>0</v>
      </c>
    </row>
    <row r="47" spans="2:9" ht="15" customHeight="1" x14ac:dyDescent="0.2">
      <c r="B47" t="s">
        <v>114</v>
      </c>
      <c r="C47" s="12">
        <v>1</v>
      </c>
      <c r="D47" s="8">
        <v>0.6</v>
      </c>
      <c r="E47" s="12">
        <v>0</v>
      </c>
      <c r="F47" s="8">
        <v>0</v>
      </c>
      <c r="G47" s="12">
        <v>1</v>
      </c>
      <c r="H47" s="8">
        <v>1.54</v>
      </c>
      <c r="I47" s="12">
        <v>0</v>
      </c>
    </row>
    <row r="48" spans="2:9" ht="15" customHeight="1" x14ac:dyDescent="0.2">
      <c r="B48" t="s">
        <v>134</v>
      </c>
      <c r="C48" s="12">
        <v>1</v>
      </c>
      <c r="D48" s="8">
        <v>0.6</v>
      </c>
      <c r="E48" s="12">
        <v>0</v>
      </c>
      <c r="F48" s="8">
        <v>0</v>
      </c>
      <c r="G48" s="12">
        <v>1</v>
      </c>
      <c r="H48" s="8">
        <v>1.54</v>
      </c>
      <c r="I48" s="12">
        <v>0</v>
      </c>
    </row>
    <row r="49" spans="2:9" ht="15" customHeight="1" x14ac:dyDescent="0.2">
      <c r="B49" t="s">
        <v>136</v>
      </c>
      <c r="C49" s="12">
        <v>1</v>
      </c>
      <c r="D49" s="8">
        <v>0.6</v>
      </c>
      <c r="E49" s="12">
        <v>0</v>
      </c>
      <c r="F49" s="8">
        <v>0</v>
      </c>
      <c r="G49" s="12">
        <v>1</v>
      </c>
      <c r="H49" s="8">
        <v>1.54</v>
      </c>
      <c r="I49" s="12">
        <v>0</v>
      </c>
    </row>
    <row r="50" spans="2:9" ht="15" customHeight="1" x14ac:dyDescent="0.2">
      <c r="B50" t="s">
        <v>106</v>
      </c>
      <c r="C50" s="12">
        <v>1</v>
      </c>
      <c r="D50" s="8">
        <v>0.6</v>
      </c>
      <c r="E50" s="12">
        <v>1</v>
      </c>
      <c r="F50" s="8">
        <v>1.04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86</v>
      </c>
      <c r="C51" s="12">
        <v>1</v>
      </c>
      <c r="D51" s="8">
        <v>0.6</v>
      </c>
      <c r="E51" s="12">
        <v>0</v>
      </c>
      <c r="F51" s="8">
        <v>0</v>
      </c>
      <c r="G51" s="12">
        <v>1</v>
      </c>
      <c r="H51" s="8">
        <v>1.54</v>
      </c>
      <c r="I51" s="12">
        <v>0</v>
      </c>
    </row>
    <row r="52" spans="2:9" ht="15" customHeight="1" x14ac:dyDescent="0.2">
      <c r="B52" t="s">
        <v>87</v>
      </c>
      <c r="C52" s="12">
        <v>1</v>
      </c>
      <c r="D52" s="8">
        <v>0.6</v>
      </c>
      <c r="E52" s="12">
        <v>0</v>
      </c>
      <c r="F52" s="8">
        <v>0</v>
      </c>
      <c r="G52" s="12">
        <v>1</v>
      </c>
      <c r="H52" s="8">
        <v>1.54</v>
      </c>
      <c r="I52" s="12">
        <v>0</v>
      </c>
    </row>
    <row r="53" spans="2:9" ht="15" customHeight="1" x14ac:dyDescent="0.2">
      <c r="B53" t="s">
        <v>148</v>
      </c>
      <c r="C53" s="12">
        <v>1</v>
      </c>
      <c r="D53" s="8">
        <v>0.6</v>
      </c>
      <c r="E53" s="12">
        <v>0</v>
      </c>
      <c r="F53" s="8">
        <v>0</v>
      </c>
      <c r="G53" s="12">
        <v>1</v>
      </c>
      <c r="H53" s="8">
        <v>1.54</v>
      </c>
      <c r="I53" s="12">
        <v>0</v>
      </c>
    </row>
    <row r="54" spans="2:9" ht="15" customHeight="1" x14ac:dyDescent="0.2">
      <c r="B54" t="s">
        <v>88</v>
      </c>
      <c r="C54" s="12">
        <v>1</v>
      </c>
      <c r="D54" s="8">
        <v>0.6</v>
      </c>
      <c r="E54" s="12">
        <v>1</v>
      </c>
      <c r="F54" s="8">
        <v>1.04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109</v>
      </c>
      <c r="C55" s="12">
        <v>1</v>
      </c>
      <c r="D55" s="8">
        <v>0.6</v>
      </c>
      <c r="E55" s="12">
        <v>0</v>
      </c>
      <c r="F55" s="8">
        <v>0</v>
      </c>
      <c r="G55" s="12">
        <v>1</v>
      </c>
      <c r="H55" s="8">
        <v>1.54</v>
      </c>
      <c r="I55" s="12">
        <v>0</v>
      </c>
    </row>
    <row r="56" spans="2:9" ht="15" customHeight="1" x14ac:dyDescent="0.2">
      <c r="B56" t="s">
        <v>92</v>
      </c>
      <c r="C56" s="12">
        <v>1</v>
      </c>
      <c r="D56" s="8">
        <v>0.6</v>
      </c>
      <c r="E56" s="12">
        <v>1</v>
      </c>
      <c r="F56" s="8">
        <v>1.04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1</v>
      </c>
      <c r="D57" s="8">
        <v>0.6</v>
      </c>
      <c r="E57" s="12">
        <v>0</v>
      </c>
      <c r="F57" s="8">
        <v>0</v>
      </c>
      <c r="G57" s="12">
        <v>1</v>
      </c>
      <c r="H57" s="8">
        <v>1.54</v>
      </c>
      <c r="I57" s="12">
        <v>0</v>
      </c>
    </row>
    <row r="58" spans="2:9" ht="15" customHeight="1" x14ac:dyDescent="0.2">
      <c r="B58" t="s">
        <v>153</v>
      </c>
      <c r="C58" s="12">
        <v>1</v>
      </c>
      <c r="D58" s="8">
        <v>0.6</v>
      </c>
      <c r="E58" s="12">
        <v>0</v>
      </c>
      <c r="F58" s="8">
        <v>0</v>
      </c>
      <c r="G58" s="12">
        <v>1</v>
      </c>
      <c r="H58" s="8">
        <v>1.54</v>
      </c>
      <c r="I58" s="12">
        <v>0</v>
      </c>
    </row>
    <row r="59" spans="2:9" ht="15" customHeight="1" x14ac:dyDescent="0.2">
      <c r="B59" t="s">
        <v>95</v>
      </c>
      <c r="C59" s="12">
        <v>1</v>
      </c>
      <c r="D59" s="8">
        <v>0.6</v>
      </c>
      <c r="E59" s="12">
        <v>0</v>
      </c>
      <c r="F59" s="8">
        <v>0</v>
      </c>
      <c r="G59" s="12">
        <v>1</v>
      </c>
      <c r="H59" s="8">
        <v>1.54</v>
      </c>
      <c r="I59" s="12">
        <v>0</v>
      </c>
    </row>
    <row r="60" spans="2:9" ht="15" customHeight="1" x14ac:dyDescent="0.2">
      <c r="B60" t="s">
        <v>98</v>
      </c>
      <c r="C60" s="12">
        <v>1</v>
      </c>
      <c r="D60" s="8">
        <v>0.6</v>
      </c>
      <c r="E60" s="12">
        <v>0</v>
      </c>
      <c r="F60" s="8">
        <v>0</v>
      </c>
      <c r="G60" s="12">
        <v>1</v>
      </c>
      <c r="H60" s="8">
        <v>1.54</v>
      </c>
      <c r="I60" s="12">
        <v>0</v>
      </c>
    </row>
    <row r="61" spans="2:9" ht="15" customHeight="1" x14ac:dyDescent="0.2">
      <c r="B61" t="s">
        <v>129</v>
      </c>
      <c r="C61" s="12">
        <v>1</v>
      </c>
      <c r="D61" s="8">
        <v>0.6</v>
      </c>
      <c r="E61" s="12">
        <v>0</v>
      </c>
      <c r="F61" s="8">
        <v>0</v>
      </c>
      <c r="G61" s="12">
        <v>1</v>
      </c>
      <c r="H61" s="8">
        <v>1.54</v>
      </c>
      <c r="I61" s="12">
        <v>0</v>
      </c>
    </row>
    <row r="62" spans="2:9" ht="15" customHeight="1" x14ac:dyDescent="0.2">
      <c r="B62" t="s">
        <v>99</v>
      </c>
      <c r="C62" s="12">
        <v>1</v>
      </c>
      <c r="D62" s="8">
        <v>0.6</v>
      </c>
      <c r="E62" s="12">
        <v>1</v>
      </c>
      <c r="F62" s="8">
        <v>1.04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101</v>
      </c>
      <c r="C63" s="12">
        <v>1</v>
      </c>
      <c r="D63" s="8">
        <v>0.6</v>
      </c>
      <c r="E63" s="12">
        <v>0</v>
      </c>
      <c r="F63" s="8">
        <v>0</v>
      </c>
      <c r="G63" s="12">
        <v>1</v>
      </c>
      <c r="H63" s="8">
        <v>1.54</v>
      </c>
      <c r="I63" s="12">
        <v>0</v>
      </c>
    </row>
    <row r="64" spans="2:9" ht="15" customHeight="1" x14ac:dyDescent="0.2">
      <c r="B64" t="s">
        <v>120</v>
      </c>
      <c r="C64" s="12">
        <v>1</v>
      </c>
      <c r="D64" s="8">
        <v>0.6</v>
      </c>
      <c r="E64" s="12">
        <v>0</v>
      </c>
      <c r="F64" s="8">
        <v>0</v>
      </c>
      <c r="G64" s="12">
        <v>1</v>
      </c>
      <c r="H64" s="8">
        <v>1.54</v>
      </c>
      <c r="I64" s="12">
        <v>0</v>
      </c>
    </row>
    <row r="65" spans="2:9" ht="15" customHeight="1" x14ac:dyDescent="0.2">
      <c r="B65" t="s">
        <v>108</v>
      </c>
      <c r="C65" s="12">
        <v>1</v>
      </c>
      <c r="D65" s="8">
        <v>0.6</v>
      </c>
      <c r="E65" s="12">
        <v>0</v>
      </c>
      <c r="F65" s="8">
        <v>0</v>
      </c>
      <c r="G65" s="12">
        <v>1</v>
      </c>
      <c r="H65" s="8">
        <v>1.54</v>
      </c>
      <c r="I65" s="12">
        <v>0</v>
      </c>
    </row>
    <row r="66" spans="2:9" ht="15" customHeight="1" x14ac:dyDescent="0.2">
      <c r="B66" t="s">
        <v>140</v>
      </c>
      <c r="C66" s="12">
        <v>1</v>
      </c>
      <c r="D66" s="8">
        <v>0.6</v>
      </c>
      <c r="E66" s="12">
        <v>0</v>
      </c>
      <c r="F66" s="8">
        <v>0</v>
      </c>
      <c r="G66" s="12">
        <v>1</v>
      </c>
      <c r="H66" s="8">
        <v>1.54</v>
      </c>
      <c r="I66" s="12">
        <v>0</v>
      </c>
    </row>
    <row r="69" spans="2:9" ht="33" customHeight="1" x14ac:dyDescent="0.2">
      <c r="B69" t="s">
        <v>339</v>
      </c>
      <c r="C69" s="10" t="s">
        <v>76</v>
      </c>
      <c r="D69" s="10" t="s">
        <v>77</v>
      </c>
      <c r="E69" s="10" t="s">
        <v>78</v>
      </c>
      <c r="F69" s="10" t="s">
        <v>79</v>
      </c>
      <c r="G69" s="10" t="s">
        <v>80</v>
      </c>
      <c r="H69" s="10" t="s">
        <v>81</v>
      </c>
      <c r="I69" s="10" t="s">
        <v>82</v>
      </c>
    </row>
    <row r="70" spans="2:9" ht="15" customHeight="1" x14ac:dyDescent="0.2">
      <c r="B70" t="s">
        <v>173</v>
      </c>
      <c r="C70" s="12">
        <v>12</v>
      </c>
      <c r="D70" s="8">
        <v>7.23</v>
      </c>
      <c r="E70" s="12">
        <v>12</v>
      </c>
      <c r="F70" s="8">
        <v>12.5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289</v>
      </c>
      <c r="C71" s="12">
        <v>9</v>
      </c>
      <c r="D71" s="8">
        <v>5.42</v>
      </c>
      <c r="E71" s="12">
        <v>6</v>
      </c>
      <c r="F71" s="8">
        <v>6.25</v>
      </c>
      <c r="G71" s="12">
        <v>3</v>
      </c>
      <c r="H71" s="8">
        <v>4.62</v>
      </c>
      <c r="I71" s="12">
        <v>0</v>
      </c>
    </row>
    <row r="72" spans="2:9" ht="15" customHeight="1" x14ac:dyDescent="0.2">
      <c r="B72" t="s">
        <v>163</v>
      </c>
      <c r="C72" s="12">
        <v>9</v>
      </c>
      <c r="D72" s="8">
        <v>5.42</v>
      </c>
      <c r="E72" s="12">
        <v>9</v>
      </c>
      <c r="F72" s="8">
        <v>9.3800000000000008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160</v>
      </c>
      <c r="C73" s="12">
        <v>7</v>
      </c>
      <c r="D73" s="8">
        <v>4.22</v>
      </c>
      <c r="E73" s="12">
        <v>4</v>
      </c>
      <c r="F73" s="8">
        <v>4.17</v>
      </c>
      <c r="G73" s="12">
        <v>3</v>
      </c>
      <c r="H73" s="8">
        <v>4.62</v>
      </c>
      <c r="I73" s="12">
        <v>0</v>
      </c>
    </row>
    <row r="74" spans="2:9" ht="15" customHeight="1" x14ac:dyDescent="0.2">
      <c r="B74" t="s">
        <v>177</v>
      </c>
      <c r="C74" s="12">
        <v>7</v>
      </c>
      <c r="D74" s="8">
        <v>4.22</v>
      </c>
      <c r="E74" s="12">
        <v>3</v>
      </c>
      <c r="F74" s="8">
        <v>3.13</v>
      </c>
      <c r="G74" s="12">
        <v>4</v>
      </c>
      <c r="H74" s="8">
        <v>6.15</v>
      </c>
      <c r="I74" s="12">
        <v>0</v>
      </c>
    </row>
    <row r="75" spans="2:9" ht="15" customHeight="1" x14ac:dyDescent="0.2">
      <c r="B75" t="s">
        <v>158</v>
      </c>
      <c r="C75" s="12">
        <v>6</v>
      </c>
      <c r="D75" s="8">
        <v>3.61</v>
      </c>
      <c r="E75" s="12">
        <v>0</v>
      </c>
      <c r="F75" s="8">
        <v>0</v>
      </c>
      <c r="G75" s="12">
        <v>6</v>
      </c>
      <c r="H75" s="8">
        <v>9.23</v>
      </c>
      <c r="I75" s="12">
        <v>0</v>
      </c>
    </row>
    <row r="76" spans="2:9" ht="15" customHeight="1" x14ac:dyDescent="0.2">
      <c r="B76" t="s">
        <v>185</v>
      </c>
      <c r="C76" s="12">
        <v>6</v>
      </c>
      <c r="D76" s="8">
        <v>3.61</v>
      </c>
      <c r="E76" s="12">
        <v>2</v>
      </c>
      <c r="F76" s="8">
        <v>2.08</v>
      </c>
      <c r="G76" s="12">
        <v>4</v>
      </c>
      <c r="H76" s="8">
        <v>6.15</v>
      </c>
      <c r="I76" s="12">
        <v>0</v>
      </c>
    </row>
    <row r="77" spans="2:9" ht="15" customHeight="1" x14ac:dyDescent="0.2">
      <c r="B77" t="s">
        <v>181</v>
      </c>
      <c r="C77" s="12">
        <v>6</v>
      </c>
      <c r="D77" s="8">
        <v>3.61</v>
      </c>
      <c r="E77" s="12">
        <v>5</v>
      </c>
      <c r="F77" s="8">
        <v>5.21</v>
      </c>
      <c r="G77" s="12">
        <v>1</v>
      </c>
      <c r="H77" s="8">
        <v>1.54</v>
      </c>
      <c r="I77" s="12">
        <v>0</v>
      </c>
    </row>
    <row r="78" spans="2:9" ht="15" customHeight="1" x14ac:dyDescent="0.2">
      <c r="B78" t="s">
        <v>174</v>
      </c>
      <c r="C78" s="12">
        <v>6</v>
      </c>
      <c r="D78" s="8">
        <v>3.61</v>
      </c>
      <c r="E78" s="12">
        <v>6</v>
      </c>
      <c r="F78" s="8">
        <v>6.25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201</v>
      </c>
      <c r="C79" s="12">
        <v>4</v>
      </c>
      <c r="D79" s="8">
        <v>2.41</v>
      </c>
      <c r="E79" s="12">
        <v>4</v>
      </c>
      <c r="F79" s="8">
        <v>4.17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191</v>
      </c>
      <c r="C80" s="12">
        <v>4</v>
      </c>
      <c r="D80" s="8">
        <v>2.41</v>
      </c>
      <c r="E80" s="12">
        <v>4</v>
      </c>
      <c r="F80" s="8">
        <v>4.17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159</v>
      </c>
      <c r="C81" s="12">
        <v>3</v>
      </c>
      <c r="D81" s="8">
        <v>1.81</v>
      </c>
      <c r="E81" s="12">
        <v>1</v>
      </c>
      <c r="F81" s="8">
        <v>1.04</v>
      </c>
      <c r="G81" s="12">
        <v>2</v>
      </c>
      <c r="H81" s="8">
        <v>3.08</v>
      </c>
      <c r="I81" s="12">
        <v>0</v>
      </c>
    </row>
    <row r="82" spans="2:9" ht="15" customHeight="1" x14ac:dyDescent="0.2">
      <c r="B82" t="s">
        <v>162</v>
      </c>
      <c r="C82" s="12">
        <v>3</v>
      </c>
      <c r="D82" s="8">
        <v>1.81</v>
      </c>
      <c r="E82" s="12">
        <v>3</v>
      </c>
      <c r="F82" s="8">
        <v>3.13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178</v>
      </c>
      <c r="C83" s="12">
        <v>3</v>
      </c>
      <c r="D83" s="8">
        <v>1.81</v>
      </c>
      <c r="E83" s="12">
        <v>3</v>
      </c>
      <c r="F83" s="8">
        <v>3.13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282</v>
      </c>
      <c r="C84" s="12">
        <v>3</v>
      </c>
      <c r="D84" s="8">
        <v>1.81</v>
      </c>
      <c r="E84" s="12">
        <v>2</v>
      </c>
      <c r="F84" s="8">
        <v>2.08</v>
      </c>
      <c r="G84" s="12">
        <v>1</v>
      </c>
      <c r="H84" s="8">
        <v>1.54</v>
      </c>
      <c r="I84" s="12">
        <v>0</v>
      </c>
    </row>
    <row r="85" spans="2:9" ht="15" customHeight="1" x14ac:dyDescent="0.2">
      <c r="B85" t="s">
        <v>305</v>
      </c>
      <c r="C85" s="12">
        <v>2</v>
      </c>
      <c r="D85" s="8">
        <v>1.2</v>
      </c>
      <c r="E85" s="12">
        <v>0</v>
      </c>
      <c r="F85" s="8">
        <v>0</v>
      </c>
      <c r="G85" s="12">
        <v>2</v>
      </c>
      <c r="H85" s="8">
        <v>3.08</v>
      </c>
      <c r="I85" s="12">
        <v>0</v>
      </c>
    </row>
    <row r="86" spans="2:9" ht="15" customHeight="1" x14ac:dyDescent="0.2">
      <c r="B86" t="s">
        <v>194</v>
      </c>
      <c r="C86" s="12">
        <v>2</v>
      </c>
      <c r="D86" s="8">
        <v>1.2</v>
      </c>
      <c r="E86" s="12">
        <v>1</v>
      </c>
      <c r="F86" s="8">
        <v>1.04</v>
      </c>
      <c r="G86" s="12">
        <v>1</v>
      </c>
      <c r="H86" s="8">
        <v>1.54</v>
      </c>
      <c r="I86" s="12">
        <v>0</v>
      </c>
    </row>
    <row r="87" spans="2:9" ht="15" customHeight="1" x14ac:dyDescent="0.2">
      <c r="B87" t="s">
        <v>196</v>
      </c>
      <c r="C87" s="12">
        <v>2</v>
      </c>
      <c r="D87" s="8">
        <v>1.2</v>
      </c>
      <c r="E87" s="12">
        <v>0</v>
      </c>
      <c r="F87" s="8">
        <v>0</v>
      </c>
      <c r="G87" s="12">
        <v>2</v>
      </c>
      <c r="H87" s="8">
        <v>3.08</v>
      </c>
      <c r="I87" s="12">
        <v>0</v>
      </c>
    </row>
    <row r="88" spans="2:9" ht="15" customHeight="1" x14ac:dyDescent="0.2">
      <c r="B88" t="s">
        <v>202</v>
      </c>
      <c r="C88" s="12">
        <v>2</v>
      </c>
      <c r="D88" s="8">
        <v>1.2</v>
      </c>
      <c r="E88" s="12">
        <v>1</v>
      </c>
      <c r="F88" s="8">
        <v>1.04</v>
      </c>
      <c r="G88" s="12">
        <v>1</v>
      </c>
      <c r="H88" s="8">
        <v>1.54</v>
      </c>
      <c r="I88" s="12">
        <v>0</v>
      </c>
    </row>
    <row r="89" spans="2:9" ht="15" customHeight="1" x14ac:dyDescent="0.2">
      <c r="B89" t="s">
        <v>195</v>
      </c>
      <c r="C89" s="12">
        <v>2</v>
      </c>
      <c r="D89" s="8">
        <v>1.2</v>
      </c>
      <c r="E89" s="12">
        <v>2</v>
      </c>
      <c r="F89" s="8">
        <v>2.08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187</v>
      </c>
      <c r="C90" s="12">
        <v>2</v>
      </c>
      <c r="D90" s="8">
        <v>1.2</v>
      </c>
      <c r="E90" s="12">
        <v>0</v>
      </c>
      <c r="F90" s="8">
        <v>0</v>
      </c>
      <c r="G90" s="12">
        <v>2</v>
      </c>
      <c r="H90" s="8">
        <v>3.08</v>
      </c>
      <c r="I90" s="12">
        <v>0</v>
      </c>
    </row>
    <row r="91" spans="2:9" ht="15" customHeight="1" x14ac:dyDescent="0.2">
      <c r="B91" t="s">
        <v>161</v>
      </c>
      <c r="C91" s="12">
        <v>2</v>
      </c>
      <c r="D91" s="8">
        <v>1.2</v>
      </c>
      <c r="E91" s="12">
        <v>0</v>
      </c>
      <c r="F91" s="8">
        <v>0</v>
      </c>
      <c r="G91" s="12">
        <v>2</v>
      </c>
      <c r="H91" s="8">
        <v>3.08</v>
      </c>
      <c r="I91" s="12">
        <v>0</v>
      </c>
    </row>
    <row r="92" spans="2:9" ht="15" customHeight="1" x14ac:dyDescent="0.2">
      <c r="B92" t="s">
        <v>306</v>
      </c>
      <c r="C92" s="12">
        <v>2</v>
      </c>
      <c r="D92" s="8">
        <v>1.2</v>
      </c>
      <c r="E92" s="12">
        <v>0</v>
      </c>
      <c r="F92" s="8">
        <v>0</v>
      </c>
      <c r="G92" s="12">
        <v>2</v>
      </c>
      <c r="H92" s="8">
        <v>3.08</v>
      </c>
      <c r="I92" s="12">
        <v>0</v>
      </c>
    </row>
    <row r="93" spans="2:9" ht="15" customHeight="1" x14ac:dyDescent="0.2">
      <c r="B93" t="s">
        <v>242</v>
      </c>
      <c r="C93" s="12">
        <v>2</v>
      </c>
      <c r="D93" s="8">
        <v>1.2</v>
      </c>
      <c r="E93" s="12">
        <v>1</v>
      </c>
      <c r="F93" s="8">
        <v>1.04</v>
      </c>
      <c r="G93" s="12">
        <v>1</v>
      </c>
      <c r="H93" s="8">
        <v>1.54</v>
      </c>
      <c r="I93" s="12">
        <v>0</v>
      </c>
    </row>
    <row r="94" spans="2:9" ht="15" customHeight="1" x14ac:dyDescent="0.2">
      <c r="B94" t="s">
        <v>209</v>
      </c>
      <c r="C94" s="12">
        <v>2</v>
      </c>
      <c r="D94" s="8">
        <v>1.2</v>
      </c>
      <c r="E94" s="12">
        <v>0</v>
      </c>
      <c r="F94" s="8">
        <v>0</v>
      </c>
      <c r="G94" s="12">
        <v>2</v>
      </c>
      <c r="H94" s="8">
        <v>3.08</v>
      </c>
      <c r="I94" s="12">
        <v>0</v>
      </c>
    </row>
    <row r="95" spans="2:9" ht="15" customHeight="1" x14ac:dyDescent="0.2">
      <c r="B95" t="s">
        <v>297</v>
      </c>
      <c r="C95" s="12">
        <v>2</v>
      </c>
      <c r="D95" s="8">
        <v>1.2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207</v>
      </c>
      <c r="C96" s="12">
        <v>2</v>
      </c>
      <c r="D96" s="8">
        <v>1.2</v>
      </c>
      <c r="E96" s="12">
        <v>2</v>
      </c>
      <c r="F96" s="8">
        <v>2.08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170</v>
      </c>
      <c r="C97" s="12">
        <v>2</v>
      </c>
      <c r="D97" s="8">
        <v>1.2</v>
      </c>
      <c r="E97" s="12">
        <v>2</v>
      </c>
      <c r="F97" s="8">
        <v>2.08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171</v>
      </c>
      <c r="C98" s="12">
        <v>2</v>
      </c>
      <c r="D98" s="8">
        <v>1.2</v>
      </c>
      <c r="E98" s="12">
        <v>2</v>
      </c>
      <c r="F98" s="8">
        <v>2.08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186</v>
      </c>
      <c r="C99" s="12">
        <v>2</v>
      </c>
      <c r="D99" s="8">
        <v>1.2</v>
      </c>
      <c r="E99" s="12">
        <v>0</v>
      </c>
      <c r="F99" s="8">
        <v>0</v>
      </c>
      <c r="G99" s="12">
        <v>1</v>
      </c>
      <c r="H99" s="8">
        <v>1.54</v>
      </c>
      <c r="I99" s="12">
        <v>0</v>
      </c>
    </row>
    <row r="100" spans="2:9" ht="15" customHeight="1" x14ac:dyDescent="0.2">
      <c r="B100" t="s">
        <v>286</v>
      </c>
      <c r="C100" s="12">
        <v>2</v>
      </c>
      <c r="D100" s="8">
        <v>1.2</v>
      </c>
      <c r="E100" s="12">
        <v>2</v>
      </c>
      <c r="F100" s="8">
        <v>2.08</v>
      </c>
      <c r="G100" s="12">
        <v>0</v>
      </c>
      <c r="H100" s="8">
        <v>0</v>
      </c>
      <c r="I100" s="12">
        <v>0</v>
      </c>
    </row>
    <row r="102" spans="2:9" ht="15" customHeight="1" x14ac:dyDescent="0.2">
      <c r="B10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15E1-2085-4775-9661-A6EF4A5BEA6F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40</v>
      </c>
      <c r="D6" s="8">
        <v>20.83</v>
      </c>
      <c r="E6" s="12">
        <v>27</v>
      </c>
      <c r="F6" s="8">
        <v>19.29</v>
      </c>
      <c r="G6" s="12">
        <v>13</v>
      </c>
      <c r="H6" s="8">
        <v>26.53</v>
      </c>
      <c r="I6" s="12">
        <v>0</v>
      </c>
    </row>
    <row r="7" spans="2:9" ht="15" customHeight="1" x14ac:dyDescent="0.2">
      <c r="B7" t="s">
        <v>62</v>
      </c>
      <c r="C7" s="12">
        <v>35</v>
      </c>
      <c r="D7" s="8">
        <v>18.23</v>
      </c>
      <c r="E7" s="12">
        <v>22</v>
      </c>
      <c r="F7" s="8">
        <v>15.71</v>
      </c>
      <c r="G7" s="12">
        <v>13</v>
      </c>
      <c r="H7" s="8">
        <v>26.53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0.52</v>
      </c>
      <c r="E8" s="12">
        <v>0</v>
      </c>
      <c r="F8" s="8">
        <v>0</v>
      </c>
      <c r="G8" s="12">
        <v>1</v>
      </c>
      <c r="H8" s="8">
        <v>2.04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2.08</v>
      </c>
      <c r="E10" s="12">
        <v>0</v>
      </c>
      <c r="F10" s="8">
        <v>0</v>
      </c>
      <c r="G10" s="12">
        <v>4</v>
      </c>
      <c r="H10" s="8">
        <v>8.16</v>
      </c>
      <c r="I10" s="12">
        <v>0</v>
      </c>
    </row>
    <row r="11" spans="2:9" ht="15" customHeight="1" x14ac:dyDescent="0.2">
      <c r="B11" t="s">
        <v>66</v>
      </c>
      <c r="C11" s="12">
        <v>38</v>
      </c>
      <c r="D11" s="8">
        <v>19.79</v>
      </c>
      <c r="E11" s="12">
        <v>29</v>
      </c>
      <c r="F11" s="8">
        <v>20.71</v>
      </c>
      <c r="G11" s="12">
        <v>9</v>
      </c>
      <c r="H11" s="8">
        <v>18.37</v>
      </c>
      <c r="I11" s="12">
        <v>0</v>
      </c>
    </row>
    <row r="12" spans="2:9" ht="15" customHeight="1" x14ac:dyDescent="0.2">
      <c r="B12" t="s">
        <v>67</v>
      </c>
      <c r="C12" s="12">
        <v>2</v>
      </c>
      <c r="D12" s="8">
        <v>1.04</v>
      </c>
      <c r="E12" s="12">
        <v>1</v>
      </c>
      <c r="F12" s="8">
        <v>0.71</v>
      </c>
      <c r="G12" s="12">
        <v>1</v>
      </c>
      <c r="H12" s="8">
        <v>2.04</v>
      </c>
      <c r="I12" s="12">
        <v>0</v>
      </c>
    </row>
    <row r="13" spans="2:9" ht="15" customHeight="1" x14ac:dyDescent="0.2">
      <c r="B13" t="s">
        <v>68</v>
      </c>
      <c r="C13" s="12">
        <v>7</v>
      </c>
      <c r="D13" s="8">
        <v>3.65</v>
      </c>
      <c r="E13" s="12">
        <v>6</v>
      </c>
      <c r="F13" s="8">
        <v>4.29</v>
      </c>
      <c r="G13" s="12">
        <v>1</v>
      </c>
      <c r="H13" s="8">
        <v>2.04</v>
      </c>
      <c r="I13" s="12">
        <v>0</v>
      </c>
    </row>
    <row r="14" spans="2:9" ht="15" customHeight="1" x14ac:dyDescent="0.2">
      <c r="B14" t="s">
        <v>69</v>
      </c>
      <c r="C14" s="12">
        <v>5</v>
      </c>
      <c r="D14" s="8">
        <v>2.6</v>
      </c>
      <c r="E14" s="12">
        <v>4</v>
      </c>
      <c r="F14" s="8">
        <v>2.86</v>
      </c>
      <c r="G14" s="12">
        <v>1</v>
      </c>
      <c r="H14" s="8">
        <v>2.04</v>
      </c>
      <c r="I14" s="12">
        <v>0</v>
      </c>
    </row>
    <row r="15" spans="2:9" ht="15" customHeight="1" x14ac:dyDescent="0.2">
      <c r="B15" t="s">
        <v>70</v>
      </c>
      <c r="C15" s="12">
        <v>17</v>
      </c>
      <c r="D15" s="8">
        <v>8.85</v>
      </c>
      <c r="E15" s="12">
        <v>14</v>
      </c>
      <c r="F15" s="8">
        <v>10</v>
      </c>
      <c r="G15" s="12">
        <v>3</v>
      </c>
      <c r="H15" s="8">
        <v>6.12</v>
      </c>
      <c r="I15" s="12">
        <v>0</v>
      </c>
    </row>
    <row r="16" spans="2:9" ht="15" customHeight="1" x14ac:dyDescent="0.2">
      <c r="B16" t="s">
        <v>71</v>
      </c>
      <c r="C16" s="12">
        <v>26</v>
      </c>
      <c r="D16" s="8">
        <v>13.54</v>
      </c>
      <c r="E16" s="12">
        <v>24</v>
      </c>
      <c r="F16" s="8">
        <v>17.14</v>
      </c>
      <c r="G16" s="12">
        <v>1</v>
      </c>
      <c r="H16" s="8">
        <v>2.04</v>
      </c>
      <c r="I16" s="12">
        <v>0</v>
      </c>
    </row>
    <row r="17" spans="2:9" ht="15" customHeight="1" x14ac:dyDescent="0.2">
      <c r="B17" t="s">
        <v>72</v>
      </c>
      <c r="C17" s="12">
        <v>5</v>
      </c>
      <c r="D17" s="8">
        <v>2.6</v>
      </c>
      <c r="E17" s="12">
        <v>4</v>
      </c>
      <c r="F17" s="8">
        <v>2.86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8</v>
      </c>
      <c r="D18" s="8">
        <v>4.17</v>
      </c>
      <c r="E18" s="12">
        <v>5</v>
      </c>
      <c r="F18" s="8">
        <v>3.57</v>
      </c>
      <c r="G18" s="12">
        <v>2</v>
      </c>
      <c r="H18" s="8">
        <v>4.08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2.08</v>
      </c>
      <c r="E19" s="12">
        <v>4</v>
      </c>
      <c r="F19" s="8">
        <v>2.86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SUM(LTBL_07504[総数／事業所数])</f>
        <v>192</v>
      </c>
      <c r="E20" s="12">
        <f>SUBTOTAL(109,LTBL_07504[個人／事業所数])</f>
        <v>140</v>
      </c>
      <c r="G20" s="12">
        <f>SUBTOTAL(109,LTBL_07504[法人／事業所数])</f>
        <v>49</v>
      </c>
      <c r="I20" s="12">
        <f>SUBTOTAL(109,LTBL_07504[法人以外の団体／事業所数])</f>
        <v>0</v>
      </c>
    </row>
    <row r="21" spans="2:9" ht="15" customHeight="1" x14ac:dyDescent="0.2">
      <c r="E21" s="11">
        <f>LTBL_07504[[#Totals],[個人／事業所数]]/LTBL_07504[[#Totals],[総数／事業所数]]</f>
        <v>0.72916666666666663</v>
      </c>
      <c r="G21" s="11">
        <f>LTBL_07504[[#Totals],[法人／事業所数]]/LTBL_07504[[#Totals],[総数／事業所数]]</f>
        <v>0.25520833333333331</v>
      </c>
      <c r="I21" s="11">
        <f>LTBL_07504[[#Totals],[法人以外の団体／事業所数]]/LTBL_07504[[#Totals],[総数／事業所数]]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25</v>
      </c>
      <c r="D24" s="8">
        <v>13.02</v>
      </c>
      <c r="E24" s="12">
        <v>24</v>
      </c>
      <c r="F24" s="8">
        <v>17.14</v>
      </c>
      <c r="G24" s="12">
        <v>1</v>
      </c>
      <c r="H24" s="8">
        <v>2.04</v>
      </c>
      <c r="I24" s="12">
        <v>0</v>
      </c>
    </row>
    <row r="25" spans="2:9" ht="15" customHeight="1" x14ac:dyDescent="0.2">
      <c r="B25" t="s">
        <v>83</v>
      </c>
      <c r="C25" s="12">
        <v>18</v>
      </c>
      <c r="D25" s="8">
        <v>9.3800000000000008</v>
      </c>
      <c r="E25" s="12">
        <v>12</v>
      </c>
      <c r="F25" s="8">
        <v>8.57</v>
      </c>
      <c r="G25" s="12">
        <v>6</v>
      </c>
      <c r="H25" s="8">
        <v>12.24</v>
      </c>
      <c r="I25" s="12">
        <v>0</v>
      </c>
    </row>
    <row r="26" spans="2:9" ht="15" customHeight="1" x14ac:dyDescent="0.2">
      <c r="B26" t="s">
        <v>84</v>
      </c>
      <c r="C26" s="12">
        <v>17</v>
      </c>
      <c r="D26" s="8">
        <v>8.85</v>
      </c>
      <c r="E26" s="12">
        <v>13</v>
      </c>
      <c r="F26" s="8">
        <v>9.2899999999999991</v>
      </c>
      <c r="G26" s="12">
        <v>4</v>
      </c>
      <c r="H26" s="8">
        <v>8.16</v>
      </c>
      <c r="I26" s="12">
        <v>0</v>
      </c>
    </row>
    <row r="27" spans="2:9" ht="15" customHeight="1" x14ac:dyDescent="0.2">
      <c r="B27" t="s">
        <v>96</v>
      </c>
      <c r="C27" s="12">
        <v>16</v>
      </c>
      <c r="D27" s="8">
        <v>8.33</v>
      </c>
      <c r="E27" s="12">
        <v>14</v>
      </c>
      <c r="F27" s="8">
        <v>10</v>
      </c>
      <c r="G27" s="12">
        <v>2</v>
      </c>
      <c r="H27" s="8">
        <v>4.08</v>
      </c>
      <c r="I27" s="12">
        <v>0</v>
      </c>
    </row>
    <row r="28" spans="2:9" ht="15" customHeight="1" x14ac:dyDescent="0.2">
      <c r="B28" t="s">
        <v>89</v>
      </c>
      <c r="C28" s="12">
        <v>14</v>
      </c>
      <c r="D28" s="8">
        <v>7.29</v>
      </c>
      <c r="E28" s="12">
        <v>11</v>
      </c>
      <c r="F28" s="8">
        <v>7.86</v>
      </c>
      <c r="G28" s="12">
        <v>3</v>
      </c>
      <c r="H28" s="8">
        <v>6.12</v>
      </c>
      <c r="I28" s="12">
        <v>0</v>
      </c>
    </row>
    <row r="29" spans="2:9" ht="15" customHeight="1" x14ac:dyDescent="0.2">
      <c r="B29" t="s">
        <v>91</v>
      </c>
      <c r="C29" s="12">
        <v>11</v>
      </c>
      <c r="D29" s="8">
        <v>5.73</v>
      </c>
      <c r="E29" s="12">
        <v>9</v>
      </c>
      <c r="F29" s="8">
        <v>6.43</v>
      </c>
      <c r="G29" s="12">
        <v>2</v>
      </c>
      <c r="H29" s="8">
        <v>4.08</v>
      </c>
      <c r="I29" s="12">
        <v>0</v>
      </c>
    </row>
    <row r="30" spans="2:9" ht="15" customHeight="1" x14ac:dyDescent="0.2">
      <c r="B30" t="s">
        <v>111</v>
      </c>
      <c r="C30" s="12">
        <v>9</v>
      </c>
      <c r="D30" s="8">
        <v>4.6900000000000004</v>
      </c>
      <c r="E30" s="12">
        <v>6</v>
      </c>
      <c r="F30" s="8">
        <v>4.29</v>
      </c>
      <c r="G30" s="12">
        <v>3</v>
      </c>
      <c r="H30" s="8">
        <v>6.12</v>
      </c>
      <c r="I30" s="12">
        <v>0</v>
      </c>
    </row>
    <row r="31" spans="2:9" ht="15" customHeight="1" x14ac:dyDescent="0.2">
      <c r="B31" t="s">
        <v>90</v>
      </c>
      <c r="C31" s="12">
        <v>6</v>
      </c>
      <c r="D31" s="8">
        <v>3.13</v>
      </c>
      <c r="E31" s="12">
        <v>5</v>
      </c>
      <c r="F31" s="8">
        <v>3.57</v>
      </c>
      <c r="G31" s="12">
        <v>1</v>
      </c>
      <c r="H31" s="8">
        <v>2.04</v>
      </c>
      <c r="I31" s="12">
        <v>0</v>
      </c>
    </row>
    <row r="32" spans="2:9" ht="15" customHeight="1" x14ac:dyDescent="0.2">
      <c r="B32" t="s">
        <v>92</v>
      </c>
      <c r="C32" s="12">
        <v>6</v>
      </c>
      <c r="D32" s="8">
        <v>3.13</v>
      </c>
      <c r="E32" s="12">
        <v>5</v>
      </c>
      <c r="F32" s="8">
        <v>3.57</v>
      </c>
      <c r="G32" s="12">
        <v>1</v>
      </c>
      <c r="H32" s="8">
        <v>2.04</v>
      </c>
      <c r="I32" s="12">
        <v>0</v>
      </c>
    </row>
    <row r="33" spans="2:9" ht="15" customHeight="1" x14ac:dyDescent="0.2">
      <c r="B33" t="s">
        <v>85</v>
      </c>
      <c r="C33" s="12">
        <v>5</v>
      </c>
      <c r="D33" s="8">
        <v>2.6</v>
      </c>
      <c r="E33" s="12">
        <v>2</v>
      </c>
      <c r="F33" s="8">
        <v>1.43</v>
      </c>
      <c r="G33" s="12">
        <v>3</v>
      </c>
      <c r="H33" s="8">
        <v>6.12</v>
      </c>
      <c r="I33" s="12">
        <v>0</v>
      </c>
    </row>
    <row r="34" spans="2:9" ht="15" customHeight="1" x14ac:dyDescent="0.2">
      <c r="B34" t="s">
        <v>115</v>
      </c>
      <c r="C34" s="12">
        <v>5</v>
      </c>
      <c r="D34" s="8">
        <v>2.6</v>
      </c>
      <c r="E34" s="12">
        <v>3</v>
      </c>
      <c r="F34" s="8">
        <v>2.14</v>
      </c>
      <c r="G34" s="12">
        <v>2</v>
      </c>
      <c r="H34" s="8">
        <v>4.08</v>
      </c>
      <c r="I34" s="12">
        <v>0</v>
      </c>
    </row>
    <row r="35" spans="2:9" ht="15" customHeight="1" x14ac:dyDescent="0.2">
      <c r="B35" t="s">
        <v>99</v>
      </c>
      <c r="C35" s="12">
        <v>5</v>
      </c>
      <c r="D35" s="8">
        <v>2.6</v>
      </c>
      <c r="E35" s="12">
        <v>4</v>
      </c>
      <c r="F35" s="8">
        <v>2.86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100</v>
      </c>
      <c r="C36" s="12">
        <v>5</v>
      </c>
      <c r="D36" s="8">
        <v>2.6</v>
      </c>
      <c r="E36" s="12">
        <v>5</v>
      </c>
      <c r="F36" s="8">
        <v>3.57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133</v>
      </c>
      <c r="C37" s="12">
        <v>4</v>
      </c>
      <c r="D37" s="8">
        <v>2.08</v>
      </c>
      <c r="E37" s="12">
        <v>4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88</v>
      </c>
      <c r="C38" s="12">
        <v>4</v>
      </c>
      <c r="D38" s="8">
        <v>2.08</v>
      </c>
      <c r="E38" s="12">
        <v>3</v>
      </c>
      <c r="F38" s="8">
        <v>2.14</v>
      </c>
      <c r="G38" s="12">
        <v>1</v>
      </c>
      <c r="H38" s="8">
        <v>2.04</v>
      </c>
      <c r="I38" s="12">
        <v>0</v>
      </c>
    </row>
    <row r="39" spans="2:9" ht="15" customHeight="1" x14ac:dyDescent="0.2">
      <c r="B39" t="s">
        <v>94</v>
      </c>
      <c r="C39" s="12">
        <v>4</v>
      </c>
      <c r="D39" s="8">
        <v>2.08</v>
      </c>
      <c r="E39" s="12">
        <v>3</v>
      </c>
      <c r="F39" s="8">
        <v>2.14</v>
      </c>
      <c r="G39" s="12">
        <v>1</v>
      </c>
      <c r="H39" s="8">
        <v>2.04</v>
      </c>
      <c r="I39" s="12">
        <v>0</v>
      </c>
    </row>
    <row r="40" spans="2:9" ht="15" customHeight="1" x14ac:dyDescent="0.2">
      <c r="B40" t="s">
        <v>110</v>
      </c>
      <c r="C40" s="12">
        <v>3</v>
      </c>
      <c r="D40" s="8">
        <v>1.56</v>
      </c>
      <c r="E40" s="12">
        <v>1</v>
      </c>
      <c r="F40" s="8">
        <v>0.71</v>
      </c>
      <c r="G40" s="12">
        <v>2</v>
      </c>
      <c r="H40" s="8">
        <v>4.08</v>
      </c>
      <c r="I40" s="12">
        <v>0</v>
      </c>
    </row>
    <row r="41" spans="2:9" ht="15" customHeight="1" x14ac:dyDescent="0.2">
      <c r="B41" t="s">
        <v>142</v>
      </c>
      <c r="C41" s="12">
        <v>3</v>
      </c>
      <c r="D41" s="8">
        <v>1.56</v>
      </c>
      <c r="E41" s="12">
        <v>1</v>
      </c>
      <c r="F41" s="8">
        <v>0.71</v>
      </c>
      <c r="G41" s="12">
        <v>2</v>
      </c>
      <c r="H41" s="8">
        <v>4.08</v>
      </c>
      <c r="I41" s="12">
        <v>0</v>
      </c>
    </row>
    <row r="42" spans="2:9" ht="15" customHeight="1" x14ac:dyDescent="0.2">
      <c r="B42" t="s">
        <v>117</v>
      </c>
      <c r="C42" s="12">
        <v>3</v>
      </c>
      <c r="D42" s="8">
        <v>1.56</v>
      </c>
      <c r="E42" s="12">
        <v>0</v>
      </c>
      <c r="F42" s="8">
        <v>0</v>
      </c>
      <c r="G42" s="12">
        <v>3</v>
      </c>
      <c r="H42" s="8">
        <v>6.12</v>
      </c>
      <c r="I42" s="12">
        <v>0</v>
      </c>
    </row>
    <row r="43" spans="2:9" ht="15" customHeight="1" x14ac:dyDescent="0.2">
      <c r="B43" t="s">
        <v>101</v>
      </c>
      <c r="C43" s="12">
        <v>3</v>
      </c>
      <c r="D43" s="8">
        <v>1.56</v>
      </c>
      <c r="E43" s="12">
        <v>0</v>
      </c>
      <c r="F43" s="8">
        <v>0</v>
      </c>
      <c r="G43" s="12">
        <v>2</v>
      </c>
      <c r="H43" s="8">
        <v>4.08</v>
      </c>
      <c r="I43" s="12">
        <v>0</v>
      </c>
    </row>
    <row r="44" spans="2:9" ht="15" customHeight="1" x14ac:dyDescent="0.2">
      <c r="B44" t="s">
        <v>102</v>
      </c>
      <c r="C44" s="12">
        <v>3</v>
      </c>
      <c r="D44" s="8">
        <v>1.56</v>
      </c>
      <c r="E44" s="12">
        <v>3</v>
      </c>
      <c r="F44" s="8">
        <v>2.14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173</v>
      </c>
      <c r="C48" s="12">
        <v>13</v>
      </c>
      <c r="D48" s="8">
        <v>6.77</v>
      </c>
      <c r="E48" s="12">
        <v>13</v>
      </c>
      <c r="F48" s="8">
        <v>9.2899999999999991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174</v>
      </c>
      <c r="C49" s="12">
        <v>10</v>
      </c>
      <c r="D49" s="8">
        <v>5.21</v>
      </c>
      <c r="E49" s="12">
        <v>10</v>
      </c>
      <c r="F49" s="8">
        <v>7.14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160</v>
      </c>
      <c r="C50" s="12">
        <v>9</v>
      </c>
      <c r="D50" s="8">
        <v>4.6900000000000004</v>
      </c>
      <c r="E50" s="12">
        <v>9</v>
      </c>
      <c r="F50" s="8">
        <v>6.43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289</v>
      </c>
      <c r="C51" s="12">
        <v>7</v>
      </c>
      <c r="D51" s="8">
        <v>3.65</v>
      </c>
      <c r="E51" s="12">
        <v>4</v>
      </c>
      <c r="F51" s="8">
        <v>2.86</v>
      </c>
      <c r="G51" s="12">
        <v>3</v>
      </c>
      <c r="H51" s="8">
        <v>6.12</v>
      </c>
      <c r="I51" s="12">
        <v>0</v>
      </c>
    </row>
    <row r="52" spans="2:9" ht="15" customHeight="1" x14ac:dyDescent="0.2">
      <c r="B52" t="s">
        <v>170</v>
      </c>
      <c r="C52" s="12">
        <v>7</v>
      </c>
      <c r="D52" s="8">
        <v>3.65</v>
      </c>
      <c r="E52" s="12">
        <v>5</v>
      </c>
      <c r="F52" s="8">
        <v>3.57</v>
      </c>
      <c r="G52" s="12">
        <v>2</v>
      </c>
      <c r="H52" s="8">
        <v>4.08</v>
      </c>
      <c r="I52" s="12">
        <v>0</v>
      </c>
    </row>
    <row r="53" spans="2:9" ht="15" customHeight="1" x14ac:dyDescent="0.2">
      <c r="B53" t="s">
        <v>158</v>
      </c>
      <c r="C53" s="12">
        <v>6</v>
      </c>
      <c r="D53" s="8">
        <v>3.13</v>
      </c>
      <c r="E53" s="12">
        <v>1</v>
      </c>
      <c r="F53" s="8">
        <v>0.71</v>
      </c>
      <c r="G53" s="12">
        <v>5</v>
      </c>
      <c r="H53" s="8">
        <v>10.199999999999999</v>
      </c>
      <c r="I53" s="12">
        <v>0</v>
      </c>
    </row>
    <row r="54" spans="2:9" ht="15" customHeight="1" x14ac:dyDescent="0.2">
      <c r="B54" t="s">
        <v>168</v>
      </c>
      <c r="C54" s="12">
        <v>6</v>
      </c>
      <c r="D54" s="8">
        <v>3.13</v>
      </c>
      <c r="E54" s="12">
        <v>5</v>
      </c>
      <c r="F54" s="8">
        <v>3.57</v>
      </c>
      <c r="G54" s="12">
        <v>1</v>
      </c>
      <c r="H54" s="8">
        <v>2.04</v>
      </c>
      <c r="I54" s="12">
        <v>0</v>
      </c>
    </row>
    <row r="55" spans="2:9" ht="15" customHeight="1" x14ac:dyDescent="0.2">
      <c r="B55" t="s">
        <v>191</v>
      </c>
      <c r="C55" s="12">
        <v>5</v>
      </c>
      <c r="D55" s="8">
        <v>2.6</v>
      </c>
      <c r="E55" s="12">
        <v>5</v>
      </c>
      <c r="F55" s="8">
        <v>3.57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194</v>
      </c>
      <c r="C56" s="12">
        <v>4</v>
      </c>
      <c r="D56" s="8">
        <v>2.08</v>
      </c>
      <c r="E56" s="12">
        <v>3</v>
      </c>
      <c r="F56" s="8">
        <v>2.14</v>
      </c>
      <c r="G56" s="12">
        <v>1</v>
      </c>
      <c r="H56" s="8">
        <v>2.04</v>
      </c>
      <c r="I56" s="12">
        <v>0</v>
      </c>
    </row>
    <row r="57" spans="2:9" ht="15" customHeight="1" x14ac:dyDescent="0.2">
      <c r="B57" t="s">
        <v>202</v>
      </c>
      <c r="C57" s="12">
        <v>4</v>
      </c>
      <c r="D57" s="8">
        <v>2.08</v>
      </c>
      <c r="E57" s="12">
        <v>4</v>
      </c>
      <c r="F57" s="8">
        <v>2.86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193</v>
      </c>
      <c r="C58" s="12">
        <v>4</v>
      </c>
      <c r="D58" s="8">
        <v>2.08</v>
      </c>
      <c r="E58" s="12">
        <v>4</v>
      </c>
      <c r="F58" s="8">
        <v>2.86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176</v>
      </c>
      <c r="C59" s="12">
        <v>4</v>
      </c>
      <c r="D59" s="8">
        <v>2.08</v>
      </c>
      <c r="E59" s="12">
        <v>4</v>
      </c>
      <c r="F59" s="8">
        <v>2.86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196</v>
      </c>
      <c r="C60" s="12">
        <v>3</v>
      </c>
      <c r="D60" s="8">
        <v>1.56</v>
      </c>
      <c r="E60" s="12">
        <v>1</v>
      </c>
      <c r="F60" s="8">
        <v>0.71</v>
      </c>
      <c r="G60" s="12">
        <v>2</v>
      </c>
      <c r="H60" s="8">
        <v>4.08</v>
      </c>
      <c r="I60" s="12">
        <v>0</v>
      </c>
    </row>
    <row r="61" spans="2:9" ht="15" customHeight="1" x14ac:dyDescent="0.2">
      <c r="B61" t="s">
        <v>195</v>
      </c>
      <c r="C61" s="12">
        <v>3</v>
      </c>
      <c r="D61" s="8">
        <v>1.56</v>
      </c>
      <c r="E61" s="12">
        <v>3</v>
      </c>
      <c r="F61" s="8">
        <v>2.14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162</v>
      </c>
      <c r="C62" s="12">
        <v>3</v>
      </c>
      <c r="D62" s="8">
        <v>1.56</v>
      </c>
      <c r="E62" s="12">
        <v>1</v>
      </c>
      <c r="F62" s="8">
        <v>0.71</v>
      </c>
      <c r="G62" s="12">
        <v>2</v>
      </c>
      <c r="H62" s="8">
        <v>4.08</v>
      </c>
      <c r="I62" s="12">
        <v>0</v>
      </c>
    </row>
    <row r="63" spans="2:9" ht="15" customHeight="1" x14ac:dyDescent="0.2">
      <c r="B63" t="s">
        <v>284</v>
      </c>
      <c r="C63" s="12">
        <v>3</v>
      </c>
      <c r="D63" s="8">
        <v>1.56</v>
      </c>
      <c r="E63" s="12">
        <v>0</v>
      </c>
      <c r="F63" s="8">
        <v>0</v>
      </c>
      <c r="G63" s="12">
        <v>3</v>
      </c>
      <c r="H63" s="8">
        <v>6.12</v>
      </c>
      <c r="I63" s="12">
        <v>0</v>
      </c>
    </row>
    <row r="64" spans="2:9" ht="15" customHeight="1" x14ac:dyDescent="0.2">
      <c r="B64" t="s">
        <v>212</v>
      </c>
      <c r="C64" s="12">
        <v>3</v>
      </c>
      <c r="D64" s="8">
        <v>1.56</v>
      </c>
      <c r="E64" s="12">
        <v>2</v>
      </c>
      <c r="F64" s="8">
        <v>1.43</v>
      </c>
      <c r="G64" s="12">
        <v>1</v>
      </c>
      <c r="H64" s="8">
        <v>2.04</v>
      </c>
      <c r="I64" s="12">
        <v>0</v>
      </c>
    </row>
    <row r="65" spans="2:9" ht="15" customHeight="1" x14ac:dyDescent="0.2">
      <c r="B65" t="s">
        <v>165</v>
      </c>
      <c r="C65" s="12">
        <v>3</v>
      </c>
      <c r="D65" s="8">
        <v>1.56</v>
      </c>
      <c r="E65" s="12">
        <v>1</v>
      </c>
      <c r="F65" s="8">
        <v>0.71</v>
      </c>
      <c r="G65" s="12">
        <v>2</v>
      </c>
      <c r="H65" s="8">
        <v>4.08</v>
      </c>
      <c r="I65" s="12">
        <v>0</v>
      </c>
    </row>
    <row r="66" spans="2:9" ht="15" customHeight="1" x14ac:dyDescent="0.2">
      <c r="B66" t="s">
        <v>166</v>
      </c>
      <c r="C66" s="12">
        <v>3</v>
      </c>
      <c r="D66" s="8">
        <v>1.56</v>
      </c>
      <c r="E66" s="12">
        <v>3</v>
      </c>
      <c r="F66" s="8">
        <v>2.14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169</v>
      </c>
      <c r="C67" s="12">
        <v>3</v>
      </c>
      <c r="D67" s="8">
        <v>1.56</v>
      </c>
      <c r="E67" s="12">
        <v>2</v>
      </c>
      <c r="F67" s="8">
        <v>1.43</v>
      </c>
      <c r="G67" s="12">
        <v>1</v>
      </c>
      <c r="H67" s="8">
        <v>2.04</v>
      </c>
      <c r="I67" s="12">
        <v>0</v>
      </c>
    </row>
    <row r="68" spans="2:9" ht="15" customHeight="1" x14ac:dyDescent="0.2">
      <c r="B68" t="s">
        <v>181</v>
      </c>
      <c r="C68" s="12">
        <v>3</v>
      </c>
      <c r="D68" s="8">
        <v>1.56</v>
      </c>
      <c r="E68" s="12">
        <v>3</v>
      </c>
      <c r="F68" s="8">
        <v>2.14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172</v>
      </c>
      <c r="C69" s="12">
        <v>3</v>
      </c>
      <c r="D69" s="8">
        <v>1.56</v>
      </c>
      <c r="E69" s="12">
        <v>3</v>
      </c>
      <c r="F69" s="8">
        <v>2.14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175</v>
      </c>
      <c r="C70" s="12">
        <v>3</v>
      </c>
      <c r="D70" s="8">
        <v>1.56</v>
      </c>
      <c r="E70" s="12">
        <v>3</v>
      </c>
      <c r="F70" s="8">
        <v>2.14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200</v>
      </c>
      <c r="C71" s="12">
        <v>3</v>
      </c>
      <c r="D71" s="8">
        <v>1.56</v>
      </c>
      <c r="E71" s="12">
        <v>0</v>
      </c>
      <c r="F71" s="8">
        <v>0</v>
      </c>
      <c r="G71" s="12">
        <v>2</v>
      </c>
      <c r="H71" s="8">
        <v>4.08</v>
      </c>
      <c r="I71" s="12">
        <v>0</v>
      </c>
    </row>
    <row r="72" spans="2:9" ht="15" customHeight="1" x14ac:dyDescent="0.2">
      <c r="B72" t="s">
        <v>177</v>
      </c>
      <c r="C72" s="12">
        <v>3</v>
      </c>
      <c r="D72" s="8">
        <v>1.56</v>
      </c>
      <c r="E72" s="12">
        <v>3</v>
      </c>
      <c r="F72" s="8">
        <v>2.14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30E0-AED2-4AE6-A85B-1DB3B1FEAE5A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51</v>
      </c>
      <c r="D6" s="8">
        <v>28.81</v>
      </c>
      <c r="E6" s="12">
        <v>34</v>
      </c>
      <c r="F6" s="8">
        <v>25.56</v>
      </c>
      <c r="G6" s="12">
        <v>17</v>
      </c>
      <c r="H6" s="8">
        <v>38.64</v>
      </c>
      <c r="I6" s="12">
        <v>0</v>
      </c>
    </row>
    <row r="7" spans="2:9" ht="15" customHeight="1" x14ac:dyDescent="0.2">
      <c r="B7" t="s">
        <v>62</v>
      </c>
      <c r="C7" s="12">
        <v>26</v>
      </c>
      <c r="D7" s="8">
        <v>14.69</v>
      </c>
      <c r="E7" s="12">
        <v>18</v>
      </c>
      <c r="F7" s="8">
        <v>13.53</v>
      </c>
      <c r="G7" s="12">
        <v>8</v>
      </c>
      <c r="H7" s="8">
        <v>18.18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3</v>
      </c>
      <c r="D10" s="8">
        <v>1.69</v>
      </c>
      <c r="E10" s="12">
        <v>1</v>
      </c>
      <c r="F10" s="8">
        <v>0.75</v>
      </c>
      <c r="G10" s="12">
        <v>2</v>
      </c>
      <c r="H10" s="8">
        <v>4.55</v>
      </c>
      <c r="I10" s="12">
        <v>0</v>
      </c>
    </row>
    <row r="11" spans="2:9" ht="15" customHeight="1" x14ac:dyDescent="0.2">
      <c r="B11" t="s">
        <v>66</v>
      </c>
      <c r="C11" s="12">
        <v>43</v>
      </c>
      <c r="D11" s="8">
        <v>24.29</v>
      </c>
      <c r="E11" s="12">
        <v>35</v>
      </c>
      <c r="F11" s="8">
        <v>26.32</v>
      </c>
      <c r="G11" s="12">
        <v>8</v>
      </c>
      <c r="H11" s="8">
        <v>18.18</v>
      </c>
      <c r="I11" s="12">
        <v>0</v>
      </c>
    </row>
    <row r="12" spans="2:9" ht="15" customHeight="1" x14ac:dyDescent="0.2">
      <c r="B12" t="s">
        <v>67</v>
      </c>
      <c r="C12" s="12">
        <v>1</v>
      </c>
      <c r="D12" s="8">
        <v>0.56000000000000005</v>
      </c>
      <c r="E12" s="12">
        <v>0</v>
      </c>
      <c r="F12" s="8">
        <v>0</v>
      </c>
      <c r="G12" s="12">
        <v>1</v>
      </c>
      <c r="H12" s="8">
        <v>2.27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1.1299999999999999</v>
      </c>
      <c r="E13" s="12">
        <v>0</v>
      </c>
      <c r="F13" s="8">
        <v>0</v>
      </c>
      <c r="G13" s="12">
        <v>2</v>
      </c>
      <c r="H13" s="8">
        <v>4.55</v>
      </c>
      <c r="I13" s="12">
        <v>0</v>
      </c>
    </row>
    <row r="14" spans="2:9" ht="15" customHeight="1" x14ac:dyDescent="0.2">
      <c r="B14" t="s">
        <v>69</v>
      </c>
      <c r="C14" s="12">
        <v>2</v>
      </c>
      <c r="D14" s="8">
        <v>1.1299999999999999</v>
      </c>
      <c r="E14" s="12">
        <v>2</v>
      </c>
      <c r="F14" s="8">
        <v>1.5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14</v>
      </c>
      <c r="D15" s="8">
        <v>7.91</v>
      </c>
      <c r="E15" s="12">
        <v>13</v>
      </c>
      <c r="F15" s="8">
        <v>9.77</v>
      </c>
      <c r="G15" s="12">
        <v>1</v>
      </c>
      <c r="H15" s="8">
        <v>2.27</v>
      </c>
      <c r="I15" s="12">
        <v>0</v>
      </c>
    </row>
    <row r="16" spans="2:9" ht="15" customHeight="1" x14ac:dyDescent="0.2">
      <c r="B16" t="s">
        <v>71</v>
      </c>
      <c r="C16" s="12">
        <v>22</v>
      </c>
      <c r="D16" s="8">
        <v>12.43</v>
      </c>
      <c r="E16" s="12">
        <v>21</v>
      </c>
      <c r="F16" s="8">
        <v>15.79</v>
      </c>
      <c r="G16" s="12">
        <v>1</v>
      </c>
      <c r="H16" s="8">
        <v>2.27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3</v>
      </c>
      <c r="D18" s="8">
        <v>1.69</v>
      </c>
      <c r="E18" s="12">
        <v>3</v>
      </c>
      <c r="F18" s="8">
        <v>2.2599999999999998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10</v>
      </c>
      <c r="D19" s="8">
        <v>5.65</v>
      </c>
      <c r="E19" s="12">
        <v>6</v>
      </c>
      <c r="F19" s="8">
        <v>4.51</v>
      </c>
      <c r="G19" s="12">
        <v>4</v>
      </c>
      <c r="H19" s="8">
        <v>9.09</v>
      </c>
      <c r="I19" s="12">
        <v>0</v>
      </c>
    </row>
    <row r="20" spans="2:9" ht="15" customHeight="1" x14ac:dyDescent="0.2">
      <c r="B20" s="9" t="s">
        <v>337</v>
      </c>
      <c r="C20" s="12">
        <f>SUM(LTBL_07505[総数／事業所数])</f>
        <v>177</v>
      </c>
      <c r="E20" s="12">
        <f>SUBTOTAL(109,LTBL_07505[個人／事業所数])</f>
        <v>133</v>
      </c>
      <c r="G20" s="12">
        <f>SUBTOTAL(109,LTBL_07505[法人／事業所数])</f>
        <v>44</v>
      </c>
      <c r="I20" s="12">
        <f>SUBTOTAL(109,LTBL_07505[法人以外の団体／事業所数])</f>
        <v>0</v>
      </c>
    </row>
    <row r="21" spans="2:9" ht="15" customHeight="1" x14ac:dyDescent="0.2">
      <c r="E21" s="11">
        <f>LTBL_07505[[#Totals],[個人／事業所数]]/LTBL_07505[[#Totals],[総数／事業所数]]</f>
        <v>0.75141242937853103</v>
      </c>
      <c r="G21" s="11">
        <f>LTBL_07505[[#Totals],[法人／事業所数]]/LTBL_07505[[#Totals],[総数／事業所数]]</f>
        <v>0.24858757062146894</v>
      </c>
      <c r="I21" s="11">
        <f>LTBL_07505[[#Totals],[法人以外の団体／事業所数]]/LTBL_07505[[#Totals],[総数／事業所数]]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27</v>
      </c>
      <c r="D24" s="8">
        <v>15.25</v>
      </c>
      <c r="E24" s="12">
        <v>14</v>
      </c>
      <c r="F24" s="8">
        <v>10.53</v>
      </c>
      <c r="G24" s="12">
        <v>13</v>
      </c>
      <c r="H24" s="8">
        <v>29.55</v>
      </c>
      <c r="I24" s="12">
        <v>0</v>
      </c>
    </row>
    <row r="25" spans="2:9" ht="15" customHeight="1" x14ac:dyDescent="0.2">
      <c r="B25" t="s">
        <v>97</v>
      </c>
      <c r="C25" s="12">
        <v>21</v>
      </c>
      <c r="D25" s="8">
        <v>11.86</v>
      </c>
      <c r="E25" s="12">
        <v>21</v>
      </c>
      <c r="F25" s="8">
        <v>15.79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84</v>
      </c>
      <c r="C26" s="12">
        <v>18</v>
      </c>
      <c r="D26" s="8">
        <v>10.17</v>
      </c>
      <c r="E26" s="12">
        <v>15</v>
      </c>
      <c r="F26" s="8">
        <v>11.28</v>
      </c>
      <c r="G26" s="12">
        <v>3</v>
      </c>
      <c r="H26" s="8">
        <v>6.82</v>
      </c>
      <c r="I26" s="12">
        <v>0</v>
      </c>
    </row>
    <row r="27" spans="2:9" ht="15" customHeight="1" x14ac:dyDescent="0.2">
      <c r="B27" t="s">
        <v>89</v>
      </c>
      <c r="C27" s="12">
        <v>18</v>
      </c>
      <c r="D27" s="8">
        <v>10.17</v>
      </c>
      <c r="E27" s="12">
        <v>17</v>
      </c>
      <c r="F27" s="8">
        <v>12.78</v>
      </c>
      <c r="G27" s="12">
        <v>1</v>
      </c>
      <c r="H27" s="8">
        <v>2.27</v>
      </c>
      <c r="I27" s="12">
        <v>0</v>
      </c>
    </row>
    <row r="28" spans="2:9" ht="15" customHeight="1" x14ac:dyDescent="0.2">
      <c r="B28" t="s">
        <v>91</v>
      </c>
      <c r="C28" s="12">
        <v>13</v>
      </c>
      <c r="D28" s="8">
        <v>7.34</v>
      </c>
      <c r="E28" s="12">
        <v>10</v>
      </c>
      <c r="F28" s="8">
        <v>7.52</v>
      </c>
      <c r="G28" s="12">
        <v>3</v>
      </c>
      <c r="H28" s="8">
        <v>6.82</v>
      </c>
      <c r="I28" s="12">
        <v>0</v>
      </c>
    </row>
    <row r="29" spans="2:9" ht="15" customHeight="1" x14ac:dyDescent="0.2">
      <c r="B29" t="s">
        <v>96</v>
      </c>
      <c r="C29" s="12">
        <v>10</v>
      </c>
      <c r="D29" s="8">
        <v>5.65</v>
      </c>
      <c r="E29" s="12">
        <v>9</v>
      </c>
      <c r="F29" s="8">
        <v>6.77</v>
      </c>
      <c r="G29" s="12">
        <v>1</v>
      </c>
      <c r="H29" s="8">
        <v>2.27</v>
      </c>
      <c r="I29" s="12">
        <v>0</v>
      </c>
    </row>
    <row r="30" spans="2:9" ht="15" customHeight="1" x14ac:dyDescent="0.2">
      <c r="B30" t="s">
        <v>85</v>
      </c>
      <c r="C30" s="12">
        <v>6</v>
      </c>
      <c r="D30" s="8">
        <v>3.39</v>
      </c>
      <c r="E30" s="12">
        <v>5</v>
      </c>
      <c r="F30" s="8">
        <v>3.76</v>
      </c>
      <c r="G30" s="12">
        <v>1</v>
      </c>
      <c r="H30" s="8">
        <v>2.27</v>
      </c>
      <c r="I30" s="12">
        <v>0</v>
      </c>
    </row>
    <row r="31" spans="2:9" ht="15" customHeight="1" x14ac:dyDescent="0.2">
      <c r="B31" t="s">
        <v>102</v>
      </c>
      <c r="C31" s="12">
        <v>6</v>
      </c>
      <c r="D31" s="8">
        <v>3.39</v>
      </c>
      <c r="E31" s="12">
        <v>6</v>
      </c>
      <c r="F31" s="8">
        <v>4.51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111</v>
      </c>
      <c r="C32" s="12">
        <v>5</v>
      </c>
      <c r="D32" s="8">
        <v>2.82</v>
      </c>
      <c r="E32" s="12">
        <v>4</v>
      </c>
      <c r="F32" s="8">
        <v>3.01</v>
      </c>
      <c r="G32" s="12">
        <v>1</v>
      </c>
      <c r="H32" s="8">
        <v>2.27</v>
      </c>
      <c r="I32" s="12">
        <v>0</v>
      </c>
    </row>
    <row r="33" spans="2:9" ht="15" customHeight="1" x14ac:dyDescent="0.2">
      <c r="B33" t="s">
        <v>116</v>
      </c>
      <c r="C33" s="12">
        <v>5</v>
      </c>
      <c r="D33" s="8">
        <v>2.82</v>
      </c>
      <c r="E33" s="12">
        <v>4</v>
      </c>
      <c r="F33" s="8">
        <v>3.01</v>
      </c>
      <c r="G33" s="12">
        <v>1</v>
      </c>
      <c r="H33" s="8">
        <v>2.27</v>
      </c>
      <c r="I33" s="12">
        <v>0</v>
      </c>
    </row>
    <row r="34" spans="2:9" ht="15" customHeight="1" x14ac:dyDescent="0.2">
      <c r="B34" t="s">
        <v>124</v>
      </c>
      <c r="C34" s="12">
        <v>4</v>
      </c>
      <c r="D34" s="8">
        <v>2.2599999999999998</v>
      </c>
      <c r="E34" s="12">
        <v>1</v>
      </c>
      <c r="F34" s="8">
        <v>0.75</v>
      </c>
      <c r="G34" s="12">
        <v>3</v>
      </c>
      <c r="H34" s="8">
        <v>6.82</v>
      </c>
      <c r="I34" s="12">
        <v>0</v>
      </c>
    </row>
    <row r="35" spans="2:9" ht="15" customHeight="1" x14ac:dyDescent="0.2">
      <c r="B35" t="s">
        <v>90</v>
      </c>
      <c r="C35" s="12">
        <v>4</v>
      </c>
      <c r="D35" s="8">
        <v>2.2599999999999998</v>
      </c>
      <c r="E35" s="12">
        <v>4</v>
      </c>
      <c r="F35" s="8">
        <v>3.01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133</v>
      </c>
      <c r="C36" s="12">
        <v>3</v>
      </c>
      <c r="D36" s="8">
        <v>1.69</v>
      </c>
      <c r="E36" s="12">
        <v>3</v>
      </c>
      <c r="F36" s="8">
        <v>2.2599999999999998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88</v>
      </c>
      <c r="C37" s="12">
        <v>3</v>
      </c>
      <c r="D37" s="8">
        <v>1.69</v>
      </c>
      <c r="E37" s="12">
        <v>2</v>
      </c>
      <c r="F37" s="8">
        <v>1.5</v>
      </c>
      <c r="G37" s="12">
        <v>1</v>
      </c>
      <c r="H37" s="8">
        <v>2.27</v>
      </c>
      <c r="I37" s="12">
        <v>0</v>
      </c>
    </row>
    <row r="38" spans="2:9" ht="15" customHeight="1" x14ac:dyDescent="0.2">
      <c r="B38" t="s">
        <v>100</v>
      </c>
      <c r="C38" s="12">
        <v>3</v>
      </c>
      <c r="D38" s="8">
        <v>1.69</v>
      </c>
      <c r="E38" s="12">
        <v>3</v>
      </c>
      <c r="F38" s="8">
        <v>2.2599999999999998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112</v>
      </c>
      <c r="C39" s="12">
        <v>2</v>
      </c>
      <c r="D39" s="8">
        <v>1.1299999999999999</v>
      </c>
      <c r="E39" s="12">
        <v>1</v>
      </c>
      <c r="F39" s="8">
        <v>0.75</v>
      </c>
      <c r="G39" s="12">
        <v>1</v>
      </c>
      <c r="H39" s="8">
        <v>2.27</v>
      </c>
      <c r="I39" s="12">
        <v>0</v>
      </c>
    </row>
    <row r="40" spans="2:9" ht="15" customHeight="1" x14ac:dyDescent="0.2">
      <c r="B40" t="s">
        <v>115</v>
      </c>
      <c r="C40" s="12">
        <v>2</v>
      </c>
      <c r="D40" s="8">
        <v>1.1299999999999999</v>
      </c>
      <c r="E40" s="12">
        <v>2</v>
      </c>
      <c r="F40" s="8">
        <v>1.5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117</v>
      </c>
      <c r="C41" s="12">
        <v>2</v>
      </c>
      <c r="D41" s="8">
        <v>1.1299999999999999</v>
      </c>
      <c r="E41" s="12">
        <v>0</v>
      </c>
      <c r="F41" s="8">
        <v>0</v>
      </c>
      <c r="G41" s="12">
        <v>2</v>
      </c>
      <c r="H41" s="8">
        <v>4.55</v>
      </c>
      <c r="I41" s="12">
        <v>0</v>
      </c>
    </row>
    <row r="42" spans="2:9" ht="15" customHeight="1" x14ac:dyDescent="0.2">
      <c r="B42" t="s">
        <v>106</v>
      </c>
      <c r="C42" s="12">
        <v>2</v>
      </c>
      <c r="D42" s="8">
        <v>1.1299999999999999</v>
      </c>
      <c r="E42" s="12">
        <v>0</v>
      </c>
      <c r="F42" s="8">
        <v>0</v>
      </c>
      <c r="G42" s="12">
        <v>2</v>
      </c>
      <c r="H42" s="8">
        <v>4.55</v>
      </c>
      <c r="I42" s="12">
        <v>0</v>
      </c>
    </row>
    <row r="43" spans="2:9" ht="15" customHeight="1" x14ac:dyDescent="0.2">
      <c r="B43" t="s">
        <v>139</v>
      </c>
      <c r="C43" s="12">
        <v>2</v>
      </c>
      <c r="D43" s="8">
        <v>1.1299999999999999</v>
      </c>
      <c r="E43" s="12">
        <v>0</v>
      </c>
      <c r="F43" s="8">
        <v>0</v>
      </c>
      <c r="G43" s="12">
        <v>2</v>
      </c>
      <c r="H43" s="8">
        <v>4.55</v>
      </c>
      <c r="I43" s="12">
        <v>0</v>
      </c>
    </row>
    <row r="44" spans="2:9" ht="15" customHeight="1" x14ac:dyDescent="0.2">
      <c r="B44" t="s">
        <v>94</v>
      </c>
      <c r="C44" s="12">
        <v>2</v>
      </c>
      <c r="D44" s="8">
        <v>1.1299999999999999</v>
      </c>
      <c r="E44" s="12">
        <v>2</v>
      </c>
      <c r="F44" s="8">
        <v>1.5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95</v>
      </c>
      <c r="C45" s="12">
        <v>2</v>
      </c>
      <c r="D45" s="8">
        <v>1.1299999999999999</v>
      </c>
      <c r="E45" s="12">
        <v>2</v>
      </c>
      <c r="F45" s="8">
        <v>1.5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113</v>
      </c>
      <c r="C46" s="12">
        <v>2</v>
      </c>
      <c r="D46" s="8">
        <v>1.1299999999999999</v>
      </c>
      <c r="E46" s="12">
        <v>2</v>
      </c>
      <c r="F46" s="8">
        <v>1.5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120</v>
      </c>
      <c r="C47" s="12">
        <v>2</v>
      </c>
      <c r="D47" s="8">
        <v>1.1299999999999999</v>
      </c>
      <c r="E47" s="12">
        <v>0</v>
      </c>
      <c r="F47" s="8">
        <v>0</v>
      </c>
      <c r="G47" s="12">
        <v>2</v>
      </c>
      <c r="H47" s="8">
        <v>4.55</v>
      </c>
      <c r="I47" s="12">
        <v>0</v>
      </c>
    </row>
    <row r="50" spans="2:9" ht="33" customHeight="1" x14ac:dyDescent="0.2">
      <c r="B50" t="s">
        <v>339</v>
      </c>
      <c r="C50" s="10" t="s">
        <v>76</v>
      </c>
      <c r="D50" s="10" t="s">
        <v>77</v>
      </c>
      <c r="E50" s="10" t="s">
        <v>78</v>
      </c>
      <c r="F50" s="10" t="s">
        <v>79</v>
      </c>
      <c r="G50" s="10" t="s">
        <v>80</v>
      </c>
      <c r="H50" s="10" t="s">
        <v>81</v>
      </c>
      <c r="I50" s="10" t="s">
        <v>82</v>
      </c>
    </row>
    <row r="51" spans="2:9" ht="15" customHeight="1" x14ac:dyDescent="0.2">
      <c r="B51" t="s">
        <v>158</v>
      </c>
      <c r="C51" s="12">
        <v>11</v>
      </c>
      <c r="D51" s="8">
        <v>6.21</v>
      </c>
      <c r="E51" s="12">
        <v>4</v>
      </c>
      <c r="F51" s="8">
        <v>3.01</v>
      </c>
      <c r="G51" s="12">
        <v>7</v>
      </c>
      <c r="H51" s="8">
        <v>15.91</v>
      </c>
      <c r="I51" s="12">
        <v>0</v>
      </c>
    </row>
    <row r="52" spans="2:9" ht="15" customHeight="1" x14ac:dyDescent="0.2">
      <c r="B52" t="s">
        <v>174</v>
      </c>
      <c r="C52" s="12">
        <v>11</v>
      </c>
      <c r="D52" s="8">
        <v>6.21</v>
      </c>
      <c r="E52" s="12">
        <v>11</v>
      </c>
      <c r="F52" s="8">
        <v>8.27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160</v>
      </c>
      <c r="C53" s="12">
        <v>9</v>
      </c>
      <c r="D53" s="8">
        <v>5.08</v>
      </c>
      <c r="E53" s="12">
        <v>6</v>
      </c>
      <c r="F53" s="8">
        <v>4.51</v>
      </c>
      <c r="G53" s="12">
        <v>3</v>
      </c>
      <c r="H53" s="8">
        <v>6.82</v>
      </c>
      <c r="I53" s="12">
        <v>0</v>
      </c>
    </row>
    <row r="54" spans="2:9" ht="15" customHeight="1" x14ac:dyDescent="0.2">
      <c r="B54" t="s">
        <v>173</v>
      </c>
      <c r="C54" s="12">
        <v>8</v>
      </c>
      <c r="D54" s="8">
        <v>4.5199999999999996</v>
      </c>
      <c r="E54" s="12">
        <v>8</v>
      </c>
      <c r="F54" s="8">
        <v>6.02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178</v>
      </c>
      <c r="C55" s="12">
        <v>6</v>
      </c>
      <c r="D55" s="8">
        <v>3.39</v>
      </c>
      <c r="E55" s="12">
        <v>6</v>
      </c>
      <c r="F55" s="8">
        <v>4.51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177</v>
      </c>
      <c r="C56" s="12">
        <v>6</v>
      </c>
      <c r="D56" s="8">
        <v>3.39</v>
      </c>
      <c r="E56" s="12">
        <v>6</v>
      </c>
      <c r="F56" s="8">
        <v>4.51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202</v>
      </c>
      <c r="C57" s="12">
        <v>5</v>
      </c>
      <c r="D57" s="8">
        <v>2.82</v>
      </c>
      <c r="E57" s="12">
        <v>4</v>
      </c>
      <c r="F57" s="8">
        <v>3.01</v>
      </c>
      <c r="G57" s="12">
        <v>1</v>
      </c>
      <c r="H57" s="8">
        <v>2.27</v>
      </c>
      <c r="I57" s="12">
        <v>0</v>
      </c>
    </row>
    <row r="58" spans="2:9" ht="15" customHeight="1" x14ac:dyDescent="0.2">
      <c r="B58" t="s">
        <v>289</v>
      </c>
      <c r="C58" s="12">
        <v>5</v>
      </c>
      <c r="D58" s="8">
        <v>2.82</v>
      </c>
      <c r="E58" s="12">
        <v>4</v>
      </c>
      <c r="F58" s="8">
        <v>3.01</v>
      </c>
      <c r="G58" s="12">
        <v>1</v>
      </c>
      <c r="H58" s="8">
        <v>2.27</v>
      </c>
      <c r="I58" s="12">
        <v>0</v>
      </c>
    </row>
    <row r="59" spans="2:9" ht="15" customHeight="1" x14ac:dyDescent="0.2">
      <c r="B59" t="s">
        <v>191</v>
      </c>
      <c r="C59" s="12">
        <v>5</v>
      </c>
      <c r="D59" s="8">
        <v>2.82</v>
      </c>
      <c r="E59" s="12">
        <v>5</v>
      </c>
      <c r="F59" s="8">
        <v>3.76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171</v>
      </c>
      <c r="C60" s="12">
        <v>5</v>
      </c>
      <c r="D60" s="8">
        <v>2.82</v>
      </c>
      <c r="E60" s="12">
        <v>5</v>
      </c>
      <c r="F60" s="8">
        <v>3.76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159</v>
      </c>
      <c r="C61" s="12">
        <v>4</v>
      </c>
      <c r="D61" s="8">
        <v>2.2599999999999998</v>
      </c>
      <c r="E61" s="12">
        <v>2</v>
      </c>
      <c r="F61" s="8">
        <v>1.5</v>
      </c>
      <c r="G61" s="12">
        <v>2</v>
      </c>
      <c r="H61" s="8">
        <v>4.55</v>
      </c>
      <c r="I61" s="12">
        <v>0</v>
      </c>
    </row>
    <row r="62" spans="2:9" ht="15" customHeight="1" x14ac:dyDescent="0.2">
      <c r="B62" t="s">
        <v>195</v>
      </c>
      <c r="C62" s="12">
        <v>4</v>
      </c>
      <c r="D62" s="8">
        <v>2.2599999999999998</v>
      </c>
      <c r="E62" s="12">
        <v>4</v>
      </c>
      <c r="F62" s="8">
        <v>3.01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161</v>
      </c>
      <c r="C63" s="12">
        <v>4</v>
      </c>
      <c r="D63" s="8">
        <v>2.2599999999999998</v>
      </c>
      <c r="E63" s="12">
        <v>4</v>
      </c>
      <c r="F63" s="8">
        <v>3.01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242</v>
      </c>
      <c r="C64" s="12">
        <v>4</v>
      </c>
      <c r="D64" s="8">
        <v>2.2599999999999998</v>
      </c>
      <c r="E64" s="12">
        <v>1</v>
      </c>
      <c r="F64" s="8">
        <v>0.75</v>
      </c>
      <c r="G64" s="12">
        <v>3</v>
      </c>
      <c r="H64" s="8">
        <v>6.82</v>
      </c>
      <c r="I64" s="12">
        <v>0</v>
      </c>
    </row>
    <row r="65" spans="2:9" ht="15" customHeight="1" x14ac:dyDescent="0.2">
      <c r="B65" t="s">
        <v>273</v>
      </c>
      <c r="C65" s="12">
        <v>4</v>
      </c>
      <c r="D65" s="8">
        <v>2.2599999999999998</v>
      </c>
      <c r="E65" s="12">
        <v>4</v>
      </c>
      <c r="F65" s="8">
        <v>3.01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185</v>
      </c>
      <c r="C66" s="12">
        <v>4</v>
      </c>
      <c r="D66" s="8">
        <v>2.2599999999999998</v>
      </c>
      <c r="E66" s="12">
        <v>2</v>
      </c>
      <c r="F66" s="8">
        <v>1.5</v>
      </c>
      <c r="G66" s="12">
        <v>2</v>
      </c>
      <c r="H66" s="8">
        <v>4.55</v>
      </c>
      <c r="I66" s="12">
        <v>0</v>
      </c>
    </row>
    <row r="67" spans="2:9" ht="15" customHeight="1" x14ac:dyDescent="0.2">
      <c r="B67" t="s">
        <v>207</v>
      </c>
      <c r="C67" s="12">
        <v>3</v>
      </c>
      <c r="D67" s="8">
        <v>1.69</v>
      </c>
      <c r="E67" s="12">
        <v>3</v>
      </c>
      <c r="F67" s="8">
        <v>2.2599999999999998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163</v>
      </c>
      <c r="C68" s="12">
        <v>3</v>
      </c>
      <c r="D68" s="8">
        <v>1.69</v>
      </c>
      <c r="E68" s="12">
        <v>3</v>
      </c>
      <c r="F68" s="8">
        <v>2.2599999999999998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181</v>
      </c>
      <c r="C69" s="12">
        <v>3</v>
      </c>
      <c r="D69" s="8">
        <v>1.69</v>
      </c>
      <c r="E69" s="12">
        <v>3</v>
      </c>
      <c r="F69" s="8">
        <v>2.2599999999999998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198</v>
      </c>
      <c r="C70" s="12">
        <v>2</v>
      </c>
      <c r="D70" s="8">
        <v>1.1299999999999999</v>
      </c>
      <c r="E70" s="12">
        <v>2</v>
      </c>
      <c r="F70" s="8">
        <v>1.5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194</v>
      </c>
      <c r="C71" s="12">
        <v>2</v>
      </c>
      <c r="D71" s="8">
        <v>1.1299999999999999</v>
      </c>
      <c r="E71" s="12">
        <v>2</v>
      </c>
      <c r="F71" s="8">
        <v>1.5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196</v>
      </c>
      <c r="C72" s="12">
        <v>2</v>
      </c>
      <c r="D72" s="8">
        <v>1.1299999999999999</v>
      </c>
      <c r="E72" s="12">
        <v>0</v>
      </c>
      <c r="F72" s="8">
        <v>0</v>
      </c>
      <c r="G72" s="12">
        <v>2</v>
      </c>
      <c r="H72" s="8">
        <v>4.55</v>
      </c>
      <c r="I72" s="12">
        <v>0</v>
      </c>
    </row>
    <row r="73" spans="2:9" ht="15" customHeight="1" x14ac:dyDescent="0.2">
      <c r="B73" t="s">
        <v>199</v>
      </c>
      <c r="C73" s="12">
        <v>2</v>
      </c>
      <c r="D73" s="8">
        <v>1.1299999999999999</v>
      </c>
      <c r="E73" s="12">
        <v>2</v>
      </c>
      <c r="F73" s="8">
        <v>1.5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201</v>
      </c>
      <c r="C74" s="12">
        <v>2</v>
      </c>
      <c r="D74" s="8">
        <v>1.1299999999999999</v>
      </c>
      <c r="E74" s="12">
        <v>2</v>
      </c>
      <c r="F74" s="8">
        <v>1.5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306</v>
      </c>
      <c r="C75" s="12">
        <v>2</v>
      </c>
      <c r="D75" s="8">
        <v>1.1299999999999999</v>
      </c>
      <c r="E75" s="12">
        <v>1</v>
      </c>
      <c r="F75" s="8">
        <v>0.75</v>
      </c>
      <c r="G75" s="12">
        <v>1</v>
      </c>
      <c r="H75" s="8">
        <v>2.27</v>
      </c>
      <c r="I75" s="12">
        <v>0</v>
      </c>
    </row>
    <row r="76" spans="2:9" ht="15" customHeight="1" x14ac:dyDescent="0.2">
      <c r="B76" t="s">
        <v>284</v>
      </c>
      <c r="C76" s="12">
        <v>2</v>
      </c>
      <c r="D76" s="8">
        <v>1.1299999999999999</v>
      </c>
      <c r="E76" s="12">
        <v>0</v>
      </c>
      <c r="F76" s="8">
        <v>0</v>
      </c>
      <c r="G76" s="12">
        <v>2</v>
      </c>
      <c r="H76" s="8">
        <v>4.55</v>
      </c>
      <c r="I76" s="12">
        <v>0</v>
      </c>
    </row>
    <row r="77" spans="2:9" ht="15" customHeight="1" x14ac:dyDescent="0.2">
      <c r="B77" t="s">
        <v>241</v>
      </c>
      <c r="C77" s="12">
        <v>2</v>
      </c>
      <c r="D77" s="8">
        <v>1.1299999999999999</v>
      </c>
      <c r="E77" s="12">
        <v>0</v>
      </c>
      <c r="F77" s="8">
        <v>0</v>
      </c>
      <c r="G77" s="12">
        <v>2</v>
      </c>
      <c r="H77" s="8">
        <v>4.55</v>
      </c>
      <c r="I77" s="12">
        <v>0</v>
      </c>
    </row>
    <row r="78" spans="2:9" ht="15" customHeight="1" x14ac:dyDescent="0.2">
      <c r="B78" t="s">
        <v>190</v>
      </c>
      <c r="C78" s="12">
        <v>2</v>
      </c>
      <c r="D78" s="8">
        <v>1.1299999999999999</v>
      </c>
      <c r="E78" s="12">
        <v>1</v>
      </c>
      <c r="F78" s="8">
        <v>0.75</v>
      </c>
      <c r="G78" s="12">
        <v>1</v>
      </c>
      <c r="H78" s="8">
        <v>2.27</v>
      </c>
      <c r="I78" s="12">
        <v>0</v>
      </c>
    </row>
    <row r="79" spans="2:9" ht="15" customHeight="1" x14ac:dyDescent="0.2">
      <c r="B79" t="s">
        <v>164</v>
      </c>
      <c r="C79" s="12">
        <v>2</v>
      </c>
      <c r="D79" s="8">
        <v>1.1299999999999999</v>
      </c>
      <c r="E79" s="12">
        <v>2</v>
      </c>
      <c r="F79" s="8">
        <v>1.5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193</v>
      </c>
      <c r="C80" s="12">
        <v>2</v>
      </c>
      <c r="D80" s="8">
        <v>1.1299999999999999</v>
      </c>
      <c r="E80" s="12">
        <v>2</v>
      </c>
      <c r="F80" s="8">
        <v>1.5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165</v>
      </c>
      <c r="C81" s="12">
        <v>2</v>
      </c>
      <c r="D81" s="8">
        <v>1.1299999999999999</v>
      </c>
      <c r="E81" s="12">
        <v>1</v>
      </c>
      <c r="F81" s="8">
        <v>0.75</v>
      </c>
      <c r="G81" s="12">
        <v>1</v>
      </c>
      <c r="H81" s="8">
        <v>2.27</v>
      </c>
      <c r="I81" s="12">
        <v>0</v>
      </c>
    </row>
    <row r="82" spans="2:9" ht="15" customHeight="1" x14ac:dyDescent="0.2">
      <c r="B82" t="s">
        <v>243</v>
      </c>
      <c r="C82" s="12">
        <v>2</v>
      </c>
      <c r="D82" s="8">
        <v>1.1299999999999999</v>
      </c>
      <c r="E82" s="12">
        <v>2</v>
      </c>
      <c r="F82" s="8">
        <v>1.5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215</v>
      </c>
      <c r="C83" s="12">
        <v>2</v>
      </c>
      <c r="D83" s="8">
        <v>1.1299999999999999</v>
      </c>
      <c r="E83" s="12">
        <v>2</v>
      </c>
      <c r="F83" s="8">
        <v>1.5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182</v>
      </c>
      <c r="C84" s="12">
        <v>2</v>
      </c>
      <c r="D84" s="8">
        <v>1.1299999999999999</v>
      </c>
      <c r="E84" s="12">
        <v>2</v>
      </c>
      <c r="F84" s="8">
        <v>1.5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286</v>
      </c>
      <c r="C85" s="12">
        <v>2</v>
      </c>
      <c r="D85" s="8">
        <v>1.1299999999999999</v>
      </c>
      <c r="E85" s="12">
        <v>2</v>
      </c>
      <c r="F85" s="8">
        <v>1.5</v>
      </c>
      <c r="G85" s="12">
        <v>0</v>
      </c>
      <c r="H85" s="8">
        <v>0</v>
      </c>
      <c r="I85" s="12">
        <v>0</v>
      </c>
    </row>
    <row r="87" spans="2:9" ht="15" customHeight="1" x14ac:dyDescent="0.2">
      <c r="B8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9370-89E3-4E86-9685-2BE2262FF44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82</v>
      </c>
      <c r="D6" s="8">
        <v>21.24</v>
      </c>
      <c r="E6" s="12">
        <v>24</v>
      </c>
      <c r="F6" s="8">
        <v>11.76</v>
      </c>
      <c r="G6" s="12">
        <v>58</v>
      </c>
      <c r="H6" s="8">
        <v>33.33</v>
      </c>
      <c r="I6" s="12">
        <v>0</v>
      </c>
    </row>
    <row r="7" spans="2:9" ht="15" customHeight="1" x14ac:dyDescent="0.2">
      <c r="B7" t="s">
        <v>62</v>
      </c>
      <c r="C7" s="12">
        <v>27</v>
      </c>
      <c r="D7" s="8">
        <v>6.99</v>
      </c>
      <c r="E7" s="12">
        <v>10</v>
      </c>
      <c r="F7" s="8">
        <v>4.9000000000000004</v>
      </c>
      <c r="G7" s="12">
        <v>17</v>
      </c>
      <c r="H7" s="8">
        <v>9.77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0.52</v>
      </c>
      <c r="E9" s="12">
        <v>0</v>
      </c>
      <c r="F9" s="8">
        <v>0</v>
      </c>
      <c r="G9" s="12">
        <v>2</v>
      </c>
      <c r="H9" s="8">
        <v>1.1499999999999999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1.04</v>
      </c>
      <c r="E10" s="12">
        <v>1</v>
      </c>
      <c r="F10" s="8">
        <v>0.49</v>
      </c>
      <c r="G10" s="12">
        <v>3</v>
      </c>
      <c r="H10" s="8">
        <v>1.72</v>
      </c>
      <c r="I10" s="12">
        <v>0</v>
      </c>
    </row>
    <row r="11" spans="2:9" ht="15" customHeight="1" x14ac:dyDescent="0.2">
      <c r="B11" t="s">
        <v>66</v>
      </c>
      <c r="C11" s="12">
        <v>96</v>
      </c>
      <c r="D11" s="8">
        <v>24.87</v>
      </c>
      <c r="E11" s="12">
        <v>50</v>
      </c>
      <c r="F11" s="8">
        <v>24.51</v>
      </c>
      <c r="G11" s="12">
        <v>45</v>
      </c>
      <c r="H11" s="8">
        <v>25.86</v>
      </c>
      <c r="I11" s="12">
        <v>1</v>
      </c>
    </row>
    <row r="12" spans="2:9" ht="15" customHeight="1" x14ac:dyDescent="0.2">
      <c r="B12" t="s">
        <v>67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0.56999999999999995</v>
      </c>
      <c r="I12" s="12">
        <v>0</v>
      </c>
    </row>
    <row r="13" spans="2:9" ht="15" customHeight="1" x14ac:dyDescent="0.2">
      <c r="B13" t="s">
        <v>68</v>
      </c>
      <c r="C13" s="12">
        <v>20</v>
      </c>
      <c r="D13" s="8">
        <v>5.18</v>
      </c>
      <c r="E13" s="12">
        <v>11</v>
      </c>
      <c r="F13" s="8">
        <v>5.39</v>
      </c>
      <c r="G13" s="12">
        <v>9</v>
      </c>
      <c r="H13" s="8">
        <v>5.17</v>
      </c>
      <c r="I13" s="12">
        <v>0</v>
      </c>
    </row>
    <row r="14" spans="2:9" ht="15" customHeight="1" x14ac:dyDescent="0.2">
      <c r="B14" t="s">
        <v>69</v>
      </c>
      <c r="C14" s="12">
        <v>19</v>
      </c>
      <c r="D14" s="8">
        <v>4.92</v>
      </c>
      <c r="E14" s="12">
        <v>9</v>
      </c>
      <c r="F14" s="8">
        <v>4.41</v>
      </c>
      <c r="G14" s="12">
        <v>10</v>
      </c>
      <c r="H14" s="8">
        <v>5.75</v>
      </c>
      <c r="I14" s="12">
        <v>0</v>
      </c>
    </row>
    <row r="15" spans="2:9" ht="15" customHeight="1" x14ac:dyDescent="0.2">
      <c r="B15" t="s">
        <v>70</v>
      </c>
      <c r="C15" s="12">
        <v>46</v>
      </c>
      <c r="D15" s="8">
        <v>11.92</v>
      </c>
      <c r="E15" s="12">
        <v>33</v>
      </c>
      <c r="F15" s="8">
        <v>16.18</v>
      </c>
      <c r="G15" s="12">
        <v>13</v>
      </c>
      <c r="H15" s="8">
        <v>7.47</v>
      </c>
      <c r="I15" s="12">
        <v>0</v>
      </c>
    </row>
    <row r="16" spans="2:9" ht="15" customHeight="1" x14ac:dyDescent="0.2">
      <c r="B16" t="s">
        <v>71</v>
      </c>
      <c r="C16" s="12">
        <v>47</v>
      </c>
      <c r="D16" s="8">
        <v>12.18</v>
      </c>
      <c r="E16" s="12">
        <v>41</v>
      </c>
      <c r="F16" s="8">
        <v>20.100000000000001</v>
      </c>
      <c r="G16" s="12">
        <v>5</v>
      </c>
      <c r="H16" s="8">
        <v>2.87</v>
      </c>
      <c r="I16" s="12">
        <v>0</v>
      </c>
    </row>
    <row r="17" spans="2:9" ht="15" customHeight="1" x14ac:dyDescent="0.2">
      <c r="B17" t="s">
        <v>72</v>
      </c>
      <c r="C17" s="12">
        <v>5</v>
      </c>
      <c r="D17" s="8">
        <v>1.3</v>
      </c>
      <c r="E17" s="12">
        <v>4</v>
      </c>
      <c r="F17" s="8">
        <v>1.96</v>
      </c>
      <c r="G17" s="12">
        <v>1</v>
      </c>
      <c r="H17" s="8">
        <v>0.56999999999999995</v>
      </c>
      <c r="I17" s="12">
        <v>0</v>
      </c>
    </row>
    <row r="18" spans="2:9" ht="15" customHeight="1" x14ac:dyDescent="0.2">
      <c r="B18" t="s">
        <v>73</v>
      </c>
      <c r="C18" s="12">
        <v>24</v>
      </c>
      <c r="D18" s="8">
        <v>6.22</v>
      </c>
      <c r="E18" s="12">
        <v>16</v>
      </c>
      <c r="F18" s="8">
        <v>7.84</v>
      </c>
      <c r="G18" s="12">
        <v>3</v>
      </c>
      <c r="H18" s="8">
        <v>1.72</v>
      </c>
      <c r="I18" s="12">
        <v>0</v>
      </c>
    </row>
    <row r="19" spans="2:9" ht="15" customHeight="1" x14ac:dyDescent="0.2">
      <c r="B19" t="s">
        <v>74</v>
      </c>
      <c r="C19" s="12">
        <v>13</v>
      </c>
      <c r="D19" s="8">
        <v>3.37</v>
      </c>
      <c r="E19" s="12">
        <v>5</v>
      </c>
      <c r="F19" s="8">
        <v>2.4500000000000002</v>
      </c>
      <c r="G19" s="12">
        <v>7</v>
      </c>
      <c r="H19" s="8">
        <v>4.0199999999999996</v>
      </c>
      <c r="I19" s="12">
        <v>0</v>
      </c>
    </row>
    <row r="20" spans="2:9" ht="15" customHeight="1" x14ac:dyDescent="0.2">
      <c r="B20" s="9" t="s">
        <v>337</v>
      </c>
      <c r="C20" s="12">
        <f>SUM(LTBL_07521[総数／事業所数])</f>
        <v>386</v>
      </c>
      <c r="E20" s="12">
        <f>SUBTOTAL(109,LTBL_07521[個人／事業所数])</f>
        <v>204</v>
      </c>
      <c r="G20" s="12">
        <f>SUBTOTAL(109,LTBL_07521[法人／事業所数])</f>
        <v>174</v>
      </c>
      <c r="I20" s="12">
        <f>SUBTOTAL(109,LTBL_07521[法人以外の団体／事業所数])</f>
        <v>1</v>
      </c>
    </row>
    <row r="21" spans="2:9" ht="15" customHeight="1" x14ac:dyDescent="0.2">
      <c r="E21" s="11">
        <f>LTBL_07521[[#Totals],[個人／事業所数]]/LTBL_07521[[#Totals],[総数／事業所数]]</f>
        <v>0.52849740932642486</v>
      </c>
      <c r="G21" s="11">
        <f>LTBL_07521[[#Totals],[法人／事業所数]]/LTBL_07521[[#Totals],[総数／事業所数]]</f>
        <v>0.45077720207253885</v>
      </c>
      <c r="I21" s="11">
        <f>LTBL_07521[[#Totals],[法人以外の団体／事業所数]]/LTBL_07521[[#Totals],[総数／事業所数]]</f>
        <v>2.5906735751295338E-3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40</v>
      </c>
      <c r="D24" s="8">
        <v>10.36</v>
      </c>
      <c r="E24" s="12">
        <v>38</v>
      </c>
      <c r="F24" s="8">
        <v>18.63</v>
      </c>
      <c r="G24" s="12">
        <v>2</v>
      </c>
      <c r="H24" s="8">
        <v>1.1499999999999999</v>
      </c>
      <c r="I24" s="12">
        <v>0</v>
      </c>
    </row>
    <row r="25" spans="2:9" ht="15" customHeight="1" x14ac:dyDescent="0.2">
      <c r="B25" t="s">
        <v>83</v>
      </c>
      <c r="C25" s="12">
        <v>37</v>
      </c>
      <c r="D25" s="8">
        <v>9.59</v>
      </c>
      <c r="E25" s="12">
        <v>8</v>
      </c>
      <c r="F25" s="8">
        <v>3.92</v>
      </c>
      <c r="G25" s="12">
        <v>29</v>
      </c>
      <c r="H25" s="8">
        <v>16.670000000000002</v>
      </c>
      <c r="I25" s="12">
        <v>0</v>
      </c>
    </row>
    <row r="26" spans="2:9" ht="15" customHeight="1" x14ac:dyDescent="0.2">
      <c r="B26" t="s">
        <v>96</v>
      </c>
      <c r="C26" s="12">
        <v>37</v>
      </c>
      <c r="D26" s="8">
        <v>9.59</v>
      </c>
      <c r="E26" s="12">
        <v>30</v>
      </c>
      <c r="F26" s="8">
        <v>14.71</v>
      </c>
      <c r="G26" s="12">
        <v>7</v>
      </c>
      <c r="H26" s="8">
        <v>4.0199999999999996</v>
      </c>
      <c r="I26" s="12">
        <v>0</v>
      </c>
    </row>
    <row r="27" spans="2:9" ht="15" customHeight="1" x14ac:dyDescent="0.2">
      <c r="B27" t="s">
        <v>91</v>
      </c>
      <c r="C27" s="12">
        <v>33</v>
      </c>
      <c r="D27" s="8">
        <v>8.5500000000000007</v>
      </c>
      <c r="E27" s="12">
        <v>15</v>
      </c>
      <c r="F27" s="8">
        <v>7.35</v>
      </c>
      <c r="G27" s="12">
        <v>17</v>
      </c>
      <c r="H27" s="8">
        <v>9.77</v>
      </c>
      <c r="I27" s="12">
        <v>1</v>
      </c>
    </row>
    <row r="28" spans="2:9" ht="15" customHeight="1" x14ac:dyDescent="0.2">
      <c r="B28" t="s">
        <v>84</v>
      </c>
      <c r="C28" s="12">
        <v>31</v>
      </c>
      <c r="D28" s="8">
        <v>8.0299999999999994</v>
      </c>
      <c r="E28" s="12">
        <v>12</v>
      </c>
      <c r="F28" s="8">
        <v>5.88</v>
      </c>
      <c r="G28" s="12">
        <v>19</v>
      </c>
      <c r="H28" s="8">
        <v>10.92</v>
      </c>
      <c r="I28" s="12">
        <v>0</v>
      </c>
    </row>
    <row r="29" spans="2:9" ht="15" customHeight="1" x14ac:dyDescent="0.2">
      <c r="B29" t="s">
        <v>89</v>
      </c>
      <c r="C29" s="12">
        <v>25</v>
      </c>
      <c r="D29" s="8">
        <v>6.48</v>
      </c>
      <c r="E29" s="12">
        <v>18</v>
      </c>
      <c r="F29" s="8">
        <v>8.82</v>
      </c>
      <c r="G29" s="12">
        <v>7</v>
      </c>
      <c r="H29" s="8">
        <v>4.0199999999999996</v>
      </c>
      <c r="I29" s="12">
        <v>0</v>
      </c>
    </row>
    <row r="30" spans="2:9" ht="15" customHeight="1" x14ac:dyDescent="0.2">
      <c r="B30" t="s">
        <v>92</v>
      </c>
      <c r="C30" s="12">
        <v>17</v>
      </c>
      <c r="D30" s="8">
        <v>4.4000000000000004</v>
      </c>
      <c r="E30" s="12">
        <v>11</v>
      </c>
      <c r="F30" s="8">
        <v>5.39</v>
      </c>
      <c r="G30" s="12">
        <v>6</v>
      </c>
      <c r="H30" s="8">
        <v>3.45</v>
      </c>
      <c r="I30" s="12">
        <v>0</v>
      </c>
    </row>
    <row r="31" spans="2:9" ht="15" customHeight="1" x14ac:dyDescent="0.2">
      <c r="B31" t="s">
        <v>100</v>
      </c>
      <c r="C31" s="12">
        <v>17</v>
      </c>
      <c r="D31" s="8">
        <v>4.4000000000000004</v>
      </c>
      <c r="E31" s="12">
        <v>16</v>
      </c>
      <c r="F31" s="8">
        <v>7.84</v>
      </c>
      <c r="G31" s="12">
        <v>1</v>
      </c>
      <c r="H31" s="8">
        <v>0.56999999999999995</v>
      </c>
      <c r="I31" s="12">
        <v>0</v>
      </c>
    </row>
    <row r="32" spans="2:9" ht="15" customHeight="1" x14ac:dyDescent="0.2">
      <c r="B32" t="s">
        <v>85</v>
      </c>
      <c r="C32" s="12">
        <v>14</v>
      </c>
      <c r="D32" s="8">
        <v>3.63</v>
      </c>
      <c r="E32" s="12">
        <v>4</v>
      </c>
      <c r="F32" s="8">
        <v>1.96</v>
      </c>
      <c r="G32" s="12">
        <v>10</v>
      </c>
      <c r="H32" s="8">
        <v>5.75</v>
      </c>
      <c r="I32" s="12">
        <v>0</v>
      </c>
    </row>
    <row r="33" spans="2:9" ht="15" customHeight="1" x14ac:dyDescent="0.2">
      <c r="B33" t="s">
        <v>90</v>
      </c>
      <c r="C33" s="12">
        <v>13</v>
      </c>
      <c r="D33" s="8">
        <v>3.37</v>
      </c>
      <c r="E33" s="12">
        <v>7</v>
      </c>
      <c r="F33" s="8">
        <v>3.43</v>
      </c>
      <c r="G33" s="12">
        <v>6</v>
      </c>
      <c r="H33" s="8">
        <v>3.45</v>
      </c>
      <c r="I33" s="12">
        <v>0</v>
      </c>
    </row>
    <row r="34" spans="2:9" ht="15" customHeight="1" x14ac:dyDescent="0.2">
      <c r="B34" t="s">
        <v>94</v>
      </c>
      <c r="C34" s="12">
        <v>13</v>
      </c>
      <c r="D34" s="8">
        <v>3.37</v>
      </c>
      <c r="E34" s="12">
        <v>5</v>
      </c>
      <c r="F34" s="8">
        <v>2.4500000000000002</v>
      </c>
      <c r="G34" s="12">
        <v>8</v>
      </c>
      <c r="H34" s="8">
        <v>4.5999999999999996</v>
      </c>
      <c r="I34" s="12">
        <v>0</v>
      </c>
    </row>
    <row r="35" spans="2:9" ht="15" customHeight="1" x14ac:dyDescent="0.2">
      <c r="B35" t="s">
        <v>88</v>
      </c>
      <c r="C35" s="12">
        <v>8</v>
      </c>
      <c r="D35" s="8">
        <v>2.0699999999999998</v>
      </c>
      <c r="E35" s="12">
        <v>6</v>
      </c>
      <c r="F35" s="8">
        <v>2.94</v>
      </c>
      <c r="G35" s="12">
        <v>2</v>
      </c>
      <c r="H35" s="8">
        <v>1.1499999999999999</v>
      </c>
      <c r="I35" s="12">
        <v>0</v>
      </c>
    </row>
    <row r="36" spans="2:9" ht="15" customHeight="1" x14ac:dyDescent="0.2">
      <c r="B36" t="s">
        <v>101</v>
      </c>
      <c r="C36" s="12">
        <v>7</v>
      </c>
      <c r="D36" s="8">
        <v>1.81</v>
      </c>
      <c r="E36" s="12">
        <v>0</v>
      </c>
      <c r="F36" s="8">
        <v>0</v>
      </c>
      <c r="G36" s="12">
        <v>2</v>
      </c>
      <c r="H36" s="8">
        <v>1.1499999999999999</v>
      </c>
      <c r="I36" s="12">
        <v>0</v>
      </c>
    </row>
    <row r="37" spans="2:9" ht="15" customHeight="1" x14ac:dyDescent="0.2">
      <c r="B37" t="s">
        <v>102</v>
      </c>
      <c r="C37" s="12">
        <v>7</v>
      </c>
      <c r="D37" s="8">
        <v>1.81</v>
      </c>
      <c r="E37" s="12">
        <v>4</v>
      </c>
      <c r="F37" s="8">
        <v>1.96</v>
      </c>
      <c r="G37" s="12">
        <v>3</v>
      </c>
      <c r="H37" s="8">
        <v>1.72</v>
      </c>
      <c r="I37" s="12">
        <v>0</v>
      </c>
    </row>
    <row r="38" spans="2:9" ht="15" customHeight="1" x14ac:dyDescent="0.2">
      <c r="B38" t="s">
        <v>114</v>
      </c>
      <c r="C38" s="12">
        <v>6</v>
      </c>
      <c r="D38" s="8">
        <v>1.55</v>
      </c>
      <c r="E38" s="12">
        <v>1</v>
      </c>
      <c r="F38" s="8">
        <v>0.49</v>
      </c>
      <c r="G38" s="12">
        <v>5</v>
      </c>
      <c r="H38" s="8">
        <v>2.87</v>
      </c>
      <c r="I38" s="12">
        <v>0</v>
      </c>
    </row>
    <row r="39" spans="2:9" ht="15" customHeight="1" x14ac:dyDescent="0.2">
      <c r="B39" t="s">
        <v>95</v>
      </c>
      <c r="C39" s="12">
        <v>6</v>
      </c>
      <c r="D39" s="8">
        <v>1.55</v>
      </c>
      <c r="E39" s="12">
        <v>3</v>
      </c>
      <c r="F39" s="8">
        <v>1.47</v>
      </c>
      <c r="G39" s="12">
        <v>3</v>
      </c>
      <c r="H39" s="8">
        <v>1.72</v>
      </c>
      <c r="I39" s="12">
        <v>0</v>
      </c>
    </row>
    <row r="40" spans="2:9" ht="15" customHeight="1" x14ac:dyDescent="0.2">
      <c r="B40" t="s">
        <v>98</v>
      </c>
      <c r="C40" s="12">
        <v>6</v>
      </c>
      <c r="D40" s="8">
        <v>1.55</v>
      </c>
      <c r="E40" s="12">
        <v>3</v>
      </c>
      <c r="F40" s="8">
        <v>1.47</v>
      </c>
      <c r="G40" s="12">
        <v>3</v>
      </c>
      <c r="H40" s="8">
        <v>1.72</v>
      </c>
      <c r="I40" s="12">
        <v>0</v>
      </c>
    </row>
    <row r="41" spans="2:9" ht="15" customHeight="1" x14ac:dyDescent="0.2">
      <c r="B41" t="s">
        <v>87</v>
      </c>
      <c r="C41" s="12">
        <v>5</v>
      </c>
      <c r="D41" s="8">
        <v>1.3</v>
      </c>
      <c r="E41" s="12">
        <v>1</v>
      </c>
      <c r="F41" s="8">
        <v>0.49</v>
      </c>
      <c r="G41" s="12">
        <v>4</v>
      </c>
      <c r="H41" s="8">
        <v>2.2999999999999998</v>
      </c>
      <c r="I41" s="12">
        <v>0</v>
      </c>
    </row>
    <row r="42" spans="2:9" ht="15" customHeight="1" x14ac:dyDescent="0.2">
      <c r="B42" t="s">
        <v>93</v>
      </c>
      <c r="C42" s="12">
        <v>5</v>
      </c>
      <c r="D42" s="8">
        <v>1.3</v>
      </c>
      <c r="E42" s="12">
        <v>4</v>
      </c>
      <c r="F42" s="8">
        <v>1.96</v>
      </c>
      <c r="G42" s="12">
        <v>1</v>
      </c>
      <c r="H42" s="8">
        <v>0.56999999999999995</v>
      </c>
      <c r="I42" s="12">
        <v>0</v>
      </c>
    </row>
    <row r="43" spans="2:9" ht="15" customHeight="1" x14ac:dyDescent="0.2">
      <c r="B43" t="s">
        <v>99</v>
      </c>
      <c r="C43" s="12">
        <v>5</v>
      </c>
      <c r="D43" s="8">
        <v>1.3</v>
      </c>
      <c r="E43" s="12">
        <v>4</v>
      </c>
      <c r="F43" s="8">
        <v>1.96</v>
      </c>
      <c r="G43" s="12">
        <v>1</v>
      </c>
      <c r="H43" s="8">
        <v>0.56999999999999995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173</v>
      </c>
      <c r="C47" s="12">
        <v>20</v>
      </c>
      <c r="D47" s="8">
        <v>5.18</v>
      </c>
      <c r="E47" s="12">
        <v>20</v>
      </c>
      <c r="F47" s="8">
        <v>9.8000000000000007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174</v>
      </c>
      <c r="C48" s="12">
        <v>18</v>
      </c>
      <c r="D48" s="8">
        <v>4.66</v>
      </c>
      <c r="E48" s="12">
        <v>16</v>
      </c>
      <c r="F48" s="8">
        <v>7.84</v>
      </c>
      <c r="G48" s="12">
        <v>2</v>
      </c>
      <c r="H48" s="8">
        <v>1.1499999999999999</v>
      </c>
      <c r="I48" s="12">
        <v>0</v>
      </c>
    </row>
    <row r="49" spans="2:9" ht="15" customHeight="1" x14ac:dyDescent="0.2">
      <c r="B49" t="s">
        <v>176</v>
      </c>
      <c r="C49" s="12">
        <v>14</v>
      </c>
      <c r="D49" s="8">
        <v>3.63</v>
      </c>
      <c r="E49" s="12">
        <v>14</v>
      </c>
      <c r="F49" s="8">
        <v>6.86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158</v>
      </c>
      <c r="C50" s="12">
        <v>12</v>
      </c>
      <c r="D50" s="8">
        <v>3.11</v>
      </c>
      <c r="E50" s="12">
        <v>2</v>
      </c>
      <c r="F50" s="8">
        <v>0.98</v>
      </c>
      <c r="G50" s="12">
        <v>10</v>
      </c>
      <c r="H50" s="8">
        <v>5.75</v>
      </c>
      <c r="I50" s="12">
        <v>0</v>
      </c>
    </row>
    <row r="51" spans="2:9" ht="15" customHeight="1" x14ac:dyDescent="0.2">
      <c r="B51" t="s">
        <v>181</v>
      </c>
      <c r="C51" s="12">
        <v>12</v>
      </c>
      <c r="D51" s="8">
        <v>3.11</v>
      </c>
      <c r="E51" s="12">
        <v>7</v>
      </c>
      <c r="F51" s="8">
        <v>3.43</v>
      </c>
      <c r="G51" s="12">
        <v>5</v>
      </c>
      <c r="H51" s="8">
        <v>2.87</v>
      </c>
      <c r="I51" s="12">
        <v>0</v>
      </c>
    </row>
    <row r="52" spans="2:9" ht="15" customHeight="1" x14ac:dyDescent="0.2">
      <c r="B52" t="s">
        <v>185</v>
      </c>
      <c r="C52" s="12">
        <v>10</v>
      </c>
      <c r="D52" s="8">
        <v>2.59</v>
      </c>
      <c r="E52" s="12">
        <v>5</v>
      </c>
      <c r="F52" s="8">
        <v>2.4500000000000002</v>
      </c>
      <c r="G52" s="12">
        <v>5</v>
      </c>
      <c r="H52" s="8">
        <v>2.87</v>
      </c>
      <c r="I52" s="12">
        <v>0</v>
      </c>
    </row>
    <row r="53" spans="2:9" ht="15" customHeight="1" x14ac:dyDescent="0.2">
      <c r="B53" t="s">
        <v>161</v>
      </c>
      <c r="C53" s="12">
        <v>9</v>
      </c>
      <c r="D53" s="8">
        <v>2.33</v>
      </c>
      <c r="E53" s="12">
        <v>3</v>
      </c>
      <c r="F53" s="8">
        <v>1.47</v>
      </c>
      <c r="G53" s="12">
        <v>6</v>
      </c>
      <c r="H53" s="8">
        <v>3.45</v>
      </c>
      <c r="I53" s="12">
        <v>0</v>
      </c>
    </row>
    <row r="54" spans="2:9" ht="15" customHeight="1" x14ac:dyDescent="0.2">
      <c r="B54" t="s">
        <v>159</v>
      </c>
      <c r="C54" s="12">
        <v>8</v>
      </c>
      <c r="D54" s="8">
        <v>2.0699999999999998</v>
      </c>
      <c r="E54" s="12">
        <v>0</v>
      </c>
      <c r="F54" s="8">
        <v>0</v>
      </c>
      <c r="G54" s="12">
        <v>8</v>
      </c>
      <c r="H54" s="8">
        <v>4.5999999999999996</v>
      </c>
      <c r="I54" s="12">
        <v>0</v>
      </c>
    </row>
    <row r="55" spans="2:9" ht="15" customHeight="1" x14ac:dyDescent="0.2">
      <c r="B55" t="s">
        <v>194</v>
      </c>
      <c r="C55" s="12">
        <v>8</v>
      </c>
      <c r="D55" s="8">
        <v>2.0699999999999998</v>
      </c>
      <c r="E55" s="12">
        <v>4</v>
      </c>
      <c r="F55" s="8">
        <v>1.96</v>
      </c>
      <c r="G55" s="12">
        <v>4</v>
      </c>
      <c r="H55" s="8">
        <v>2.2999999999999998</v>
      </c>
      <c r="I55" s="12">
        <v>0</v>
      </c>
    </row>
    <row r="56" spans="2:9" ht="15" customHeight="1" x14ac:dyDescent="0.2">
      <c r="B56" t="s">
        <v>168</v>
      </c>
      <c r="C56" s="12">
        <v>8</v>
      </c>
      <c r="D56" s="8">
        <v>2.0699999999999998</v>
      </c>
      <c r="E56" s="12">
        <v>5</v>
      </c>
      <c r="F56" s="8">
        <v>2.4500000000000002</v>
      </c>
      <c r="G56" s="12">
        <v>3</v>
      </c>
      <c r="H56" s="8">
        <v>1.72</v>
      </c>
      <c r="I56" s="12">
        <v>0</v>
      </c>
    </row>
    <row r="57" spans="2:9" ht="15" customHeight="1" x14ac:dyDescent="0.2">
      <c r="B57" t="s">
        <v>191</v>
      </c>
      <c r="C57" s="12">
        <v>7</v>
      </c>
      <c r="D57" s="8">
        <v>1.81</v>
      </c>
      <c r="E57" s="12">
        <v>6</v>
      </c>
      <c r="F57" s="8">
        <v>2.94</v>
      </c>
      <c r="G57" s="12">
        <v>1</v>
      </c>
      <c r="H57" s="8">
        <v>0.56999999999999995</v>
      </c>
      <c r="I57" s="12">
        <v>0</v>
      </c>
    </row>
    <row r="58" spans="2:9" ht="15" customHeight="1" x14ac:dyDescent="0.2">
      <c r="B58" t="s">
        <v>178</v>
      </c>
      <c r="C58" s="12">
        <v>7</v>
      </c>
      <c r="D58" s="8">
        <v>1.81</v>
      </c>
      <c r="E58" s="12">
        <v>5</v>
      </c>
      <c r="F58" s="8">
        <v>2.4500000000000002</v>
      </c>
      <c r="G58" s="12">
        <v>2</v>
      </c>
      <c r="H58" s="8">
        <v>1.1499999999999999</v>
      </c>
      <c r="I58" s="12">
        <v>0</v>
      </c>
    </row>
    <row r="59" spans="2:9" ht="15" customHeight="1" x14ac:dyDescent="0.2">
      <c r="B59" t="s">
        <v>164</v>
      </c>
      <c r="C59" s="12">
        <v>7</v>
      </c>
      <c r="D59" s="8">
        <v>1.81</v>
      </c>
      <c r="E59" s="12">
        <v>3</v>
      </c>
      <c r="F59" s="8">
        <v>1.47</v>
      </c>
      <c r="G59" s="12">
        <v>4</v>
      </c>
      <c r="H59" s="8">
        <v>2.2999999999999998</v>
      </c>
      <c r="I59" s="12">
        <v>0</v>
      </c>
    </row>
    <row r="60" spans="2:9" ht="15" customHeight="1" x14ac:dyDescent="0.2">
      <c r="B60" t="s">
        <v>169</v>
      </c>
      <c r="C60" s="12">
        <v>7</v>
      </c>
      <c r="D60" s="8">
        <v>1.81</v>
      </c>
      <c r="E60" s="12">
        <v>0</v>
      </c>
      <c r="F60" s="8">
        <v>0</v>
      </c>
      <c r="G60" s="12">
        <v>7</v>
      </c>
      <c r="H60" s="8">
        <v>4.0199999999999996</v>
      </c>
      <c r="I60" s="12">
        <v>0</v>
      </c>
    </row>
    <row r="61" spans="2:9" ht="15" customHeight="1" x14ac:dyDescent="0.2">
      <c r="B61" t="s">
        <v>170</v>
      </c>
      <c r="C61" s="12">
        <v>7</v>
      </c>
      <c r="D61" s="8">
        <v>1.81</v>
      </c>
      <c r="E61" s="12">
        <v>7</v>
      </c>
      <c r="F61" s="8">
        <v>3.43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177</v>
      </c>
      <c r="C62" s="12">
        <v>7</v>
      </c>
      <c r="D62" s="8">
        <v>1.81</v>
      </c>
      <c r="E62" s="12">
        <v>4</v>
      </c>
      <c r="F62" s="8">
        <v>1.96</v>
      </c>
      <c r="G62" s="12">
        <v>3</v>
      </c>
      <c r="H62" s="8">
        <v>1.72</v>
      </c>
      <c r="I62" s="12">
        <v>0</v>
      </c>
    </row>
    <row r="63" spans="2:9" ht="15" customHeight="1" x14ac:dyDescent="0.2">
      <c r="B63" t="s">
        <v>160</v>
      </c>
      <c r="C63" s="12">
        <v>6</v>
      </c>
      <c r="D63" s="8">
        <v>1.55</v>
      </c>
      <c r="E63" s="12">
        <v>4</v>
      </c>
      <c r="F63" s="8">
        <v>1.96</v>
      </c>
      <c r="G63" s="12">
        <v>2</v>
      </c>
      <c r="H63" s="8">
        <v>1.1499999999999999</v>
      </c>
      <c r="I63" s="12">
        <v>0</v>
      </c>
    </row>
    <row r="64" spans="2:9" ht="15" customHeight="1" x14ac:dyDescent="0.2">
      <c r="B64" t="s">
        <v>163</v>
      </c>
      <c r="C64" s="12">
        <v>6</v>
      </c>
      <c r="D64" s="8">
        <v>1.55</v>
      </c>
      <c r="E64" s="12">
        <v>5</v>
      </c>
      <c r="F64" s="8">
        <v>2.4500000000000002</v>
      </c>
      <c r="G64" s="12">
        <v>1</v>
      </c>
      <c r="H64" s="8">
        <v>0.56999999999999995</v>
      </c>
      <c r="I64" s="12">
        <v>0</v>
      </c>
    </row>
    <row r="65" spans="2:9" ht="15" customHeight="1" x14ac:dyDescent="0.2">
      <c r="B65" t="s">
        <v>179</v>
      </c>
      <c r="C65" s="12">
        <v>6</v>
      </c>
      <c r="D65" s="8">
        <v>1.55</v>
      </c>
      <c r="E65" s="12">
        <v>6</v>
      </c>
      <c r="F65" s="8">
        <v>2.94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215</v>
      </c>
      <c r="C66" s="12">
        <v>6</v>
      </c>
      <c r="D66" s="8">
        <v>1.55</v>
      </c>
      <c r="E66" s="12">
        <v>3</v>
      </c>
      <c r="F66" s="8">
        <v>1.47</v>
      </c>
      <c r="G66" s="12">
        <v>3</v>
      </c>
      <c r="H66" s="8">
        <v>1.72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3407-620D-4C2C-B5D5-F8F2B3A418E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389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53</v>
      </c>
      <c r="D6" s="8">
        <v>17.79</v>
      </c>
      <c r="E6" s="12">
        <v>28</v>
      </c>
      <c r="F6" s="8">
        <v>15.3</v>
      </c>
      <c r="G6" s="12">
        <v>25</v>
      </c>
      <c r="H6" s="8">
        <v>22.94</v>
      </c>
      <c r="I6" s="12">
        <v>0</v>
      </c>
    </row>
    <row r="7" spans="2:9" ht="15" customHeight="1" x14ac:dyDescent="0.2">
      <c r="B7" t="s">
        <v>62</v>
      </c>
      <c r="C7" s="12">
        <v>32</v>
      </c>
      <c r="D7" s="8">
        <v>10.74</v>
      </c>
      <c r="E7" s="12">
        <v>14</v>
      </c>
      <c r="F7" s="8">
        <v>7.65</v>
      </c>
      <c r="G7" s="12">
        <v>18</v>
      </c>
      <c r="H7" s="8">
        <v>16.510000000000002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0.34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0.67</v>
      </c>
      <c r="E10" s="12">
        <v>0</v>
      </c>
      <c r="F10" s="8">
        <v>0</v>
      </c>
      <c r="G10" s="12">
        <v>2</v>
      </c>
      <c r="H10" s="8">
        <v>1.83</v>
      </c>
      <c r="I10" s="12">
        <v>0</v>
      </c>
    </row>
    <row r="11" spans="2:9" ht="15" customHeight="1" x14ac:dyDescent="0.2">
      <c r="B11" t="s">
        <v>66</v>
      </c>
      <c r="C11" s="12">
        <v>84</v>
      </c>
      <c r="D11" s="8">
        <v>28.19</v>
      </c>
      <c r="E11" s="12">
        <v>51</v>
      </c>
      <c r="F11" s="8">
        <v>27.87</v>
      </c>
      <c r="G11" s="12">
        <v>31</v>
      </c>
      <c r="H11" s="8">
        <v>28.44</v>
      </c>
      <c r="I11" s="12">
        <v>2</v>
      </c>
    </row>
    <row r="12" spans="2:9" ht="15" customHeight="1" x14ac:dyDescent="0.2">
      <c r="B12" t="s">
        <v>67</v>
      </c>
      <c r="C12" s="12">
        <v>1</v>
      </c>
      <c r="D12" s="8">
        <v>0.34</v>
      </c>
      <c r="E12" s="12">
        <v>0</v>
      </c>
      <c r="F12" s="8">
        <v>0</v>
      </c>
      <c r="G12" s="12">
        <v>1</v>
      </c>
      <c r="H12" s="8">
        <v>0.92</v>
      </c>
      <c r="I12" s="12">
        <v>0</v>
      </c>
    </row>
    <row r="13" spans="2:9" ht="15" customHeight="1" x14ac:dyDescent="0.2">
      <c r="B13" t="s">
        <v>68</v>
      </c>
      <c r="C13" s="12">
        <v>10</v>
      </c>
      <c r="D13" s="8">
        <v>3.36</v>
      </c>
      <c r="E13" s="12">
        <v>4</v>
      </c>
      <c r="F13" s="8">
        <v>2.19</v>
      </c>
      <c r="G13" s="12">
        <v>6</v>
      </c>
      <c r="H13" s="8">
        <v>5.5</v>
      </c>
      <c r="I13" s="12">
        <v>0</v>
      </c>
    </row>
    <row r="14" spans="2:9" ht="15" customHeight="1" x14ac:dyDescent="0.2">
      <c r="B14" t="s">
        <v>69</v>
      </c>
      <c r="C14" s="12">
        <v>4</v>
      </c>
      <c r="D14" s="8">
        <v>1.34</v>
      </c>
      <c r="E14" s="12">
        <v>2</v>
      </c>
      <c r="F14" s="8">
        <v>1.0900000000000001</v>
      </c>
      <c r="G14" s="12">
        <v>2</v>
      </c>
      <c r="H14" s="8">
        <v>1.83</v>
      </c>
      <c r="I14" s="12">
        <v>0</v>
      </c>
    </row>
    <row r="15" spans="2:9" ht="15" customHeight="1" x14ac:dyDescent="0.2">
      <c r="B15" t="s">
        <v>70</v>
      </c>
      <c r="C15" s="12">
        <v>35</v>
      </c>
      <c r="D15" s="8">
        <v>11.74</v>
      </c>
      <c r="E15" s="12">
        <v>24</v>
      </c>
      <c r="F15" s="8">
        <v>13.11</v>
      </c>
      <c r="G15" s="12">
        <v>11</v>
      </c>
      <c r="H15" s="8">
        <v>10.09</v>
      </c>
      <c r="I15" s="12">
        <v>0</v>
      </c>
    </row>
    <row r="16" spans="2:9" ht="15" customHeight="1" x14ac:dyDescent="0.2">
      <c r="B16" t="s">
        <v>71</v>
      </c>
      <c r="C16" s="12">
        <v>46</v>
      </c>
      <c r="D16" s="8">
        <v>15.44</v>
      </c>
      <c r="E16" s="12">
        <v>40</v>
      </c>
      <c r="F16" s="8">
        <v>21.86</v>
      </c>
      <c r="G16" s="12">
        <v>5</v>
      </c>
      <c r="H16" s="8">
        <v>4.59</v>
      </c>
      <c r="I16" s="12">
        <v>0</v>
      </c>
    </row>
    <row r="17" spans="2:9" ht="15" customHeight="1" x14ac:dyDescent="0.2">
      <c r="B17" t="s">
        <v>72</v>
      </c>
      <c r="C17" s="12">
        <v>9</v>
      </c>
      <c r="D17" s="8">
        <v>3.02</v>
      </c>
      <c r="E17" s="12">
        <v>6</v>
      </c>
      <c r="F17" s="8">
        <v>3.28</v>
      </c>
      <c r="G17" s="12">
        <v>1</v>
      </c>
      <c r="H17" s="8">
        <v>0.92</v>
      </c>
      <c r="I17" s="12">
        <v>0</v>
      </c>
    </row>
    <row r="18" spans="2:9" ht="15" customHeight="1" x14ac:dyDescent="0.2">
      <c r="B18" t="s">
        <v>73</v>
      </c>
      <c r="C18" s="12">
        <v>10</v>
      </c>
      <c r="D18" s="8">
        <v>3.36</v>
      </c>
      <c r="E18" s="12">
        <v>8</v>
      </c>
      <c r="F18" s="8">
        <v>4.37</v>
      </c>
      <c r="G18" s="12">
        <v>2</v>
      </c>
      <c r="H18" s="8">
        <v>1.83</v>
      </c>
      <c r="I18" s="12">
        <v>0</v>
      </c>
    </row>
    <row r="19" spans="2:9" ht="15" customHeight="1" x14ac:dyDescent="0.2">
      <c r="B19" t="s">
        <v>74</v>
      </c>
      <c r="C19" s="12">
        <v>11</v>
      </c>
      <c r="D19" s="8">
        <v>3.69</v>
      </c>
      <c r="E19" s="12">
        <v>6</v>
      </c>
      <c r="F19" s="8">
        <v>3.28</v>
      </c>
      <c r="G19" s="12">
        <v>5</v>
      </c>
      <c r="H19" s="8">
        <v>4.59</v>
      </c>
      <c r="I19" s="12">
        <v>0</v>
      </c>
    </row>
    <row r="20" spans="2:9" ht="15" customHeight="1" x14ac:dyDescent="0.2">
      <c r="B20" s="9" t="s">
        <v>337</v>
      </c>
      <c r="C20" s="12">
        <f>SUM(LTBL_07522[総数／事業所数])</f>
        <v>298</v>
      </c>
      <c r="E20" s="12">
        <f>SUBTOTAL(109,LTBL_07522[個人／事業所数])</f>
        <v>183</v>
      </c>
      <c r="G20" s="12">
        <f>SUBTOTAL(109,LTBL_07522[法人／事業所数])</f>
        <v>109</v>
      </c>
      <c r="I20" s="12">
        <f>SUBTOTAL(109,LTBL_07522[法人以外の団体／事業所数])</f>
        <v>2</v>
      </c>
    </row>
    <row r="21" spans="2:9" ht="15" customHeight="1" x14ac:dyDescent="0.2">
      <c r="E21" s="11">
        <f>LTBL_07522[[#Totals],[個人／事業所数]]/LTBL_07522[[#Totals],[総数／事業所数]]</f>
        <v>0.61409395973154357</v>
      </c>
      <c r="G21" s="11">
        <f>LTBL_07522[[#Totals],[法人／事業所数]]/LTBL_07522[[#Totals],[総数／事業所数]]</f>
        <v>0.36577181208053694</v>
      </c>
      <c r="I21" s="11">
        <f>LTBL_07522[[#Totals],[法人以外の団体／事業所数]]/LTBL_07522[[#Totals],[総数／事業所数]]</f>
        <v>6.7114093959731542E-3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42</v>
      </c>
      <c r="D24" s="8">
        <v>14.09</v>
      </c>
      <c r="E24" s="12">
        <v>39</v>
      </c>
      <c r="F24" s="8">
        <v>21.31</v>
      </c>
      <c r="G24" s="12">
        <v>3</v>
      </c>
      <c r="H24" s="8">
        <v>2.75</v>
      </c>
      <c r="I24" s="12">
        <v>0</v>
      </c>
    </row>
    <row r="25" spans="2:9" ht="15" customHeight="1" x14ac:dyDescent="0.2">
      <c r="B25" t="s">
        <v>91</v>
      </c>
      <c r="C25" s="12">
        <v>31</v>
      </c>
      <c r="D25" s="8">
        <v>10.4</v>
      </c>
      <c r="E25" s="12">
        <v>17</v>
      </c>
      <c r="F25" s="8">
        <v>9.2899999999999991</v>
      </c>
      <c r="G25" s="12">
        <v>14</v>
      </c>
      <c r="H25" s="8">
        <v>12.84</v>
      </c>
      <c r="I25" s="12">
        <v>0</v>
      </c>
    </row>
    <row r="26" spans="2:9" ht="15" customHeight="1" x14ac:dyDescent="0.2">
      <c r="B26" t="s">
        <v>83</v>
      </c>
      <c r="C26" s="12">
        <v>27</v>
      </c>
      <c r="D26" s="8">
        <v>9.06</v>
      </c>
      <c r="E26" s="12">
        <v>12</v>
      </c>
      <c r="F26" s="8">
        <v>6.56</v>
      </c>
      <c r="G26" s="12">
        <v>15</v>
      </c>
      <c r="H26" s="8">
        <v>13.76</v>
      </c>
      <c r="I26" s="12">
        <v>0</v>
      </c>
    </row>
    <row r="27" spans="2:9" ht="15" customHeight="1" x14ac:dyDescent="0.2">
      <c r="B27" t="s">
        <v>96</v>
      </c>
      <c r="C27" s="12">
        <v>26</v>
      </c>
      <c r="D27" s="8">
        <v>8.7200000000000006</v>
      </c>
      <c r="E27" s="12">
        <v>20</v>
      </c>
      <c r="F27" s="8">
        <v>10.93</v>
      </c>
      <c r="G27" s="12">
        <v>6</v>
      </c>
      <c r="H27" s="8">
        <v>5.5</v>
      </c>
      <c r="I27" s="12">
        <v>0</v>
      </c>
    </row>
    <row r="28" spans="2:9" ht="15" customHeight="1" x14ac:dyDescent="0.2">
      <c r="B28" t="s">
        <v>89</v>
      </c>
      <c r="C28" s="12">
        <v>24</v>
      </c>
      <c r="D28" s="8">
        <v>8.0500000000000007</v>
      </c>
      <c r="E28" s="12">
        <v>20</v>
      </c>
      <c r="F28" s="8">
        <v>10.93</v>
      </c>
      <c r="G28" s="12">
        <v>3</v>
      </c>
      <c r="H28" s="8">
        <v>2.75</v>
      </c>
      <c r="I28" s="12">
        <v>1</v>
      </c>
    </row>
    <row r="29" spans="2:9" ht="15" customHeight="1" x14ac:dyDescent="0.2">
      <c r="B29" t="s">
        <v>84</v>
      </c>
      <c r="C29" s="12">
        <v>15</v>
      </c>
      <c r="D29" s="8">
        <v>5.03</v>
      </c>
      <c r="E29" s="12">
        <v>9</v>
      </c>
      <c r="F29" s="8">
        <v>4.92</v>
      </c>
      <c r="G29" s="12">
        <v>6</v>
      </c>
      <c r="H29" s="8">
        <v>5.5</v>
      </c>
      <c r="I29" s="12">
        <v>0</v>
      </c>
    </row>
    <row r="30" spans="2:9" ht="15" customHeight="1" x14ac:dyDescent="0.2">
      <c r="B30" t="s">
        <v>85</v>
      </c>
      <c r="C30" s="12">
        <v>11</v>
      </c>
      <c r="D30" s="8">
        <v>3.69</v>
      </c>
      <c r="E30" s="12">
        <v>7</v>
      </c>
      <c r="F30" s="8">
        <v>3.83</v>
      </c>
      <c r="G30" s="12">
        <v>4</v>
      </c>
      <c r="H30" s="8">
        <v>3.67</v>
      </c>
      <c r="I30" s="12">
        <v>0</v>
      </c>
    </row>
    <row r="31" spans="2:9" ht="15" customHeight="1" x14ac:dyDescent="0.2">
      <c r="B31" t="s">
        <v>92</v>
      </c>
      <c r="C31" s="12">
        <v>9</v>
      </c>
      <c r="D31" s="8">
        <v>3.02</v>
      </c>
      <c r="E31" s="12">
        <v>4</v>
      </c>
      <c r="F31" s="8">
        <v>2.19</v>
      </c>
      <c r="G31" s="12">
        <v>5</v>
      </c>
      <c r="H31" s="8">
        <v>4.59</v>
      </c>
      <c r="I31" s="12">
        <v>0</v>
      </c>
    </row>
    <row r="32" spans="2:9" ht="15" customHeight="1" x14ac:dyDescent="0.2">
      <c r="B32" t="s">
        <v>99</v>
      </c>
      <c r="C32" s="12">
        <v>9</v>
      </c>
      <c r="D32" s="8">
        <v>3.02</v>
      </c>
      <c r="E32" s="12">
        <v>6</v>
      </c>
      <c r="F32" s="8">
        <v>3.28</v>
      </c>
      <c r="G32" s="12">
        <v>1</v>
      </c>
      <c r="H32" s="8">
        <v>0.92</v>
      </c>
      <c r="I32" s="12">
        <v>0</v>
      </c>
    </row>
    <row r="33" spans="2:9" ht="15" customHeight="1" x14ac:dyDescent="0.2">
      <c r="B33" t="s">
        <v>88</v>
      </c>
      <c r="C33" s="12">
        <v>8</v>
      </c>
      <c r="D33" s="8">
        <v>2.68</v>
      </c>
      <c r="E33" s="12">
        <v>2</v>
      </c>
      <c r="F33" s="8">
        <v>1.0900000000000001</v>
      </c>
      <c r="G33" s="12">
        <v>6</v>
      </c>
      <c r="H33" s="8">
        <v>5.5</v>
      </c>
      <c r="I33" s="12">
        <v>0</v>
      </c>
    </row>
    <row r="34" spans="2:9" ht="15" customHeight="1" x14ac:dyDescent="0.2">
      <c r="B34" t="s">
        <v>90</v>
      </c>
      <c r="C34" s="12">
        <v>8</v>
      </c>
      <c r="D34" s="8">
        <v>2.68</v>
      </c>
      <c r="E34" s="12">
        <v>6</v>
      </c>
      <c r="F34" s="8">
        <v>3.28</v>
      </c>
      <c r="G34" s="12">
        <v>1</v>
      </c>
      <c r="H34" s="8">
        <v>0.92</v>
      </c>
      <c r="I34" s="12">
        <v>1</v>
      </c>
    </row>
    <row r="35" spans="2:9" ht="15" customHeight="1" x14ac:dyDescent="0.2">
      <c r="B35" t="s">
        <v>100</v>
      </c>
      <c r="C35" s="12">
        <v>8</v>
      </c>
      <c r="D35" s="8">
        <v>2.68</v>
      </c>
      <c r="E35" s="12">
        <v>7</v>
      </c>
      <c r="F35" s="8">
        <v>3.83</v>
      </c>
      <c r="G35" s="12">
        <v>1</v>
      </c>
      <c r="H35" s="8">
        <v>0.92</v>
      </c>
      <c r="I35" s="12">
        <v>0</v>
      </c>
    </row>
    <row r="36" spans="2:9" ht="15" customHeight="1" x14ac:dyDescent="0.2">
      <c r="B36" t="s">
        <v>112</v>
      </c>
      <c r="C36" s="12">
        <v>7</v>
      </c>
      <c r="D36" s="8">
        <v>2.35</v>
      </c>
      <c r="E36" s="12">
        <v>3</v>
      </c>
      <c r="F36" s="8">
        <v>1.64</v>
      </c>
      <c r="G36" s="12">
        <v>4</v>
      </c>
      <c r="H36" s="8">
        <v>3.67</v>
      </c>
      <c r="I36" s="12">
        <v>0</v>
      </c>
    </row>
    <row r="37" spans="2:9" ht="15" customHeight="1" x14ac:dyDescent="0.2">
      <c r="B37" t="s">
        <v>95</v>
      </c>
      <c r="C37" s="12">
        <v>7</v>
      </c>
      <c r="D37" s="8">
        <v>2.35</v>
      </c>
      <c r="E37" s="12">
        <v>3</v>
      </c>
      <c r="F37" s="8">
        <v>1.64</v>
      </c>
      <c r="G37" s="12">
        <v>4</v>
      </c>
      <c r="H37" s="8">
        <v>3.67</v>
      </c>
      <c r="I37" s="12">
        <v>0</v>
      </c>
    </row>
    <row r="38" spans="2:9" ht="15" customHeight="1" x14ac:dyDescent="0.2">
      <c r="B38" t="s">
        <v>111</v>
      </c>
      <c r="C38" s="12">
        <v>5</v>
      </c>
      <c r="D38" s="8">
        <v>1.68</v>
      </c>
      <c r="E38" s="12">
        <v>4</v>
      </c>
      <c r="F38" s="8">
        <v>2.19</v>
      </c>
      <c r="G38" s="12">
        <v>1</v>
      </c>
      <c r="H38" s="8">
        <v>0.92</v>
      </c>
      <c r="I38" s="12">
        <v>0</v>
      </c>
    </row>
    <row r="39" spans="2:9" ht="15" customHeight="1" x14ac:dyDescent="0.2">
      <c r="B39" t="s">
        <v>102</v>
      </c>
      <c r="C39" s="12">
        <v>5</v>
      </c>
      <c r="D39" s="8">
        <v>1.68</v>
      </c>
      <c r="E39" s="12">
        <v>3</v>
      </c>
      <c r="F39" s="8">
        <v>1.64</v>
      </c>
      <c r="G39" s="12">
        <v>2</v>
      </c>
      <c r="H39" s="8">
        <v>1.83</v>
      </c>
      <c r="I39" s="12">
        <v>0</v>
      </c>
    </row>
    <row r="40" spans="2:9" ht="15" customHeight="1" x14ac:dyDescent="0.2">
      <c r="B40" t="s">
        <v>107</v>
      </c>
      <c r="C40" s="12">
        <v>4</v>
      </c>
      <c r="D40" s="8">
        <v>1.34</v>
      </c>
      <c r="E40" s="12">
        <v>3</v>
      </c>
      <c r="F40" s="8">
        <v>1.64</v>
      </c>
      <c r="G40" s="12">
        <v>1</v>
      </c>
      <c r="H40" s="8">
        <v>0.92</v>
      </c>
      <c r="I40" s="12">
        <v>0</v>
      </c>
    </row>
    <row r="41" spans="2:9" ht="15" customHeight="1" x14ac:dyDescent="0.2">
      <c r="B41" t="s">
        <v>106</v>
      </c>
      <c r="C41" s="12">
        <v>3</v>
      </c>
      <c r="D41" s="8">
        <v>1.01</v>
      </c>
      <c r="E41" s="12">
        <v>1</v>
      </c>
      <c r="F41" s="8">
        <v>0.55000000000000004</v>
      </c>
      <c r="G41" s="12">
        <v>2</v>
      </c>
      <c r="H41" s="8">
        <v>1.83</v>
      </c>
      <c r="I41" s="12">
        <v>0</v>
      </c>
    </row>
    <row r="42" spans="2:9" ht="15" customHeight="1" x14ac:dyDescent="0.2">
      <c r="B42" t="s">
        <v>86</v>
      </c>
      <c r="C42" s="12">
        <v>3</v>
      </c>
      <c r="D42" s="8">
        <v>1.01</v>
      </c>
      <c r="E42" s="12">
        <v>2</v>
      </c>
      <c r="F42" s="8">
        <v>1.0900000000000001</v>
      </c>
      <c r="G42" s="12">
        <v>1</v>
      </c>
      <c r="H42" s="8">
        <v>0.92</v>
      </c>
      <c r="I42" s="12">
        <v>0</v>
      </c>
    </row>
    <row r="43" spans="2:9" ht="15" customHeight="1" x14ac:dyDescent="0.2">
      <c r="B43" t="s">
        <v>98</v>
      </c>
      <c r="C43" s="12">
        <v>3</v>
      </c>
      <c r="D43" s="8">
        <v>1.01</v>
      </c>
      <c r="E43" s="12">
        <v>1</v>
      </c>
      <c r="F43" s="8">
        <v>0.55000000000000004</v>
      </c>
      <c r="G43" s="12">
        <v>2</v>
      </c>
      <c r="H43" s="8">
        <v>1.83</v>
      </c>
      <c r="I43" s="12">
        <v>0</v>
      </c>
    </row>
    <row r="44" spans="2:9" ht="15" customHeight="1" x14ac:dyDescent="0.2">
      <c r="B44" t="s">
        <v>120</v>
      </c>
      <c r="C44" s="12">
        <v>3</v>
      </c>
      <c r="D44" s="8">
        <v>1.01</v>
      </c>
      <c r="E44" s="12">
        <v>1</v>
      </c>
      <c r="F44" s="8">
        <v>0.55000000000000004</v>
      </c>
      <c r="G44" s="12">
        <v>2</v>
      </c>
      <c r="H44" s="8">
        <v>1.83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174</v>
      </c>
      <c r="C48" s="12">
        <v>18</v>
      </c>
      <c r="D48" s="8">
        <v>6.04</v>
      </c>
      <c r="E48" s="12">
        <v>18</v>
      </c>
      <c r="F48" s="8">
        <v>9.84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173</v>
      </c>
      <c r="C49" s="12">
        <v>17</v>
      </c>
      <c r="D49" s="8">
        <v>5.7</v>
      </c>
      <c r="E49" s="12">
        <v>17</v>
      </c>
      <c r="F49" s="8">
        <v>9.2899999999999991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166</v>
      </c>
      <c r="C50" s="12">
        <v>13</v>
      </c>
      <c r="D50" s="8">
        <v>4.3600000000000003</v>
      </c>
      <c r="E50" s="12">
        <v>10</v>
      </c>
      <c r="F50" s="8">
        <v>5.46</v>
      </c>
      <c r="G50" s="12">
        <v>3</v>
      </c>
      <c r="H50" s="8">
        <v>2.75</v>
      </c>
      <c r="I50" s="12">
        <v>0</v>
      </c>
    </row>
    <row r="51" spans="2:9" ht="15" customHeight="1" x14ac:dyDescent="0.2">
      <c r="B51" t="s">
        <v>160</v>
      </c>
      <c r="C51" s="12">
        <v>10</v>
      </c>
      <c r="D51" s="8">
        <v>3.36</v>
      </c>
      <c r="E51" s="12">
        <v>7</v>
      </c>
      <c r="F51" s="8">
        <v>3.83</v>
      </c>
      <c r="G51" s="12">
        <v>3</v>
      </c>
      <c r="H51" s="8">
        <v>2.75</v>
      </c>
      <c r="I51" s="12">
        <v>0</v>
      </c>
    </row>
    <row r="52" spans="2:9" ht="15" customHeight="1" x14ac:dyDescent="0.2">
      <c r="B52" t="s">
        <v>170</v>
      </c>
      <c r="C52" s="12">
        <v>9</v>
      </c>
      <c r="D52" s="8">
        <v>3.02</v>
      </c>
      <c r="E52" s="12">
        <v>6</v>
      </c>
      <c r="F52" s="8">
        <v>3.28</v>
      </c>
      <c r="G52" s="12">
        <v>3</v>
      </c>
      <c r="H52" s="8">
        <v>2.75</v>
      </c>
      <c r="I52" s="12">
        <v>0</v>
      </c>
    </row>
    <row r="53" spans="2:9" ht="15" customHeight="1" x14ac:dyDescent="0.2">
      <c r="B53" t="s">
        <v>158</v>
      </c>
      <c r="C53" s="12">
        <v>7</v>
      </c>
      <c r="D53" s="8">
        <v>2.35</v>
      </c>
      <c r="E53" s="12">
        <v>0</v>
      </c>
      <c r="F53" s="8">
        <v>0</v>
      </c>
      <c r="G53" s="12">
        <v>7</v>
      </c>
      <c r="H53" s="8">
        <v>6.42</v>
      </c>
      <c r="I53" s="12">
        <v>0</v>
      </c>
    </row>
    <row r="54" spans="2:9" ht="15" customHeight="1" x14ac:dyDescent="0.2">
      <c r="B54" t="s">
        <v>159</v>
      </c>
      <c r="C54" s="12">
        <v>7</v>
      </c>
      <c r="D54" s="8">
        <v>2.35</v>
      </c>
      <c r="E54" s="12">
        <v>3</v>
      </c>
      <c r="F54" s="8">
        <v>1.64</v>
      </c>
      <c r="G54" s="12">
        <v>4</v>
      </c>
      <c r="H54" s="8">
        <v>3.67</v>
      </c>
      <c r="I54" s="12">
        <v>0</v>
      </c>
    </row>
    <row r="55" spans="2:9" ht="15" customHeight="1" x14ac:dyDescent="0.2">
      <c r="B55" t="s">
        <v>191</v>
      </c>
      <c r="C55" s="12">
        <v>7</v>
      </c>
      <c r="D55" s="8">
        <v>2.35</v>
      </c>
      <c r="E55" s="12">
        <v>5</v>
      </c>
      <c r="F55" s="8">
        <v>2.73</v>
      </c>
      <c r="G55" s="12">
        <v>2</v>
      </c>
      <c r="H55" s="8">
        <v>1.83</v>
      </c>
      <c r="I55" s="12">
        <v>0</v>
      </c>
    </row>
    <row r="56" spans="2:9" ht="15" customHeight="1" x14ac:dyDescent="0.2">
      <c r="B56" t="s">
        <v>168</v>
      </c>
      <c r="C56" s="12">
        <v>7</v>
      </c>
      <c r="D56" s="8">
        <v>2.35</v>
      </c>
      <c r="E56" s="12">
        <v>3</v>
      </c>
      <c r="F56" s="8">
        <v>1.64</v>
      </c>
      <c r="G56" s="12">
        <v>4</v>
      </c>
      <c r="H56" s="8">
        <v>3.67</v>
      </c>
      <c r="I56" s="12">
        <v>0</v>
      </c>
    </row>
    <row r="57" spans="2:9" ht="15" customHeight="1" x14ac:dyDescent="0.2">
      <c r="B57" t="s">
        <v>176</v>
      </c>
      <c r="C57" s="12">
        <v>7</v>
      </c>
      <c r="D57" s="8">
        <v>2.35</v>
      </c>
      <c r="E57" s="12">
        <v>6</v>
      </c>
      <c r="F57" s="8">
        <v>3.28</v>
      </c>
      <c r="G57" s="12">
        <v>1</v>
      </c>
      <c r="H57" s="8">
        <v>0.92</v>
      </c>
      <c r="I57" s="12">
        <v>0</v>
      </c>
    </row>
    <row r="58" spans="2:9" ht="15" customHeight="1" x14ac:dyDescent="0.2">
      <c r="B58" t="s">
        <v>280</v>
      </c>
      <c r="C58" s="12">
        <v>6</v>
      </c>
      <c r="D58" s="8">
        <v>2.0099999999999998</v>
      </c>
      <c r="E58" s="12">
        <v>3</v>
      </c>
      <c r="F58" s="8">
        <v>1.64</v>
      </c>
      <c r="G58" s="12">
        <v>3</v>
      </c>
      <c r="H58" s="8">
        <v>2.75</v>
      </c>
      <c r="I58" s="12">
        <v>0</v>
      </c>
    </row>
    <row r="59" spans="2:9" ht="15" customHeight="1" x14ac:dyDescent="0.2">
      <c r="B59" t="s">
        <v>163</v>
      </c>
      <c r="C59" s="12">
        <v>6</v>
      </c>
      <c r="D59" s="8">
        <v>2.0099999999999998</v>
      </c>
      <c r="E59" s="12">
        <v>4</v>
      </c>
      <c r="F59" s="8">
        <v>2.19</v>
      </c>
      <c r="G59" s="12">
        <v>1</v>
      </c>
      <c r="H59" s="8">
        <v>0.92</v>
      </c>
      <c r="I59" s="12">
        <v>1</v>
      </c>
    </row>
    <row r="60" spans="2:9" ht="15" customHeight="1" x14ac:dyDescent="0.2">
      <c r="B60" t="s">
        <v>181</v>
      </c>
      <c r="C60" s="12">
        <v>6</v>
      </c>
      <c r="D60" s="8">
        <v>2.0099999999999998</v>
      </c>
      <c r="E60" s="12">
        <v>5</v>
      </c>
      <c r="F60" s="8">
        <v>2.73</v>
      </c>
      <c r="G60" s="12">
        <v>1</v>
      </c>
      <c r="H60" s="8">
        <v>0.92</v>
      </c>
      <c r="I60" s="12">
        <v>0</v>
      </c>
    </row>
    <row r="61" spans="2:9" ht="15" customHeight="1" x14ac:dyDescent="0.2">
      <c r="B61" t="s">
        <v>182</v>
      </c>
      <c r="C61" s="12">
        <v>6</v>
      </c>
      <c r="D61" s="8">
        <v>2.0099999999999998</v>
      </c>
      <c r="E61" s="12">
        <v>4</v>
      </c>
      <c r="F61" s="8">
        <v>2.19</v>
      </c>
      <c r="G61" s="12">
        <v>2</v>
      </c>
      <c r="H61" s="8">
        <v>1.83</v>
      </c>
      <c r="I61" s="12">
        <v>0</v>
      </c>
    </row>
    <row r="62" spans="2:9" ht="15" customHeight="1" x14ac:dyDescent="0.2">
      <c r="B62" t="s">
        <v>199</v>
      </c>
      <c r="C62" s="12">
        <v>5</v>
      </c>
      <c r="D62" s="8">
        <v>1.68</v>
      </c>
      <c r="E62" s="12">
        <v>3</v>
      </c>
      <c r="F62" s="8">
        <v>1.64</v>
      </c>
      <c r="G62" s="12">
        <v>2</v>
      </c>
      <c r="H62" s="8">
        <v>1.83</v>
      </c>
      <c r="I62" s="12">
        <v>0</v>
      </c>
    </row>
    <row r="63" spans="2:9" ht="15" customHeight="1" x14ac:dyDescent="0.2">
      <c r="B63" t="s">
        <v>161</v>
      </c>
      <c r="C63" s="12">
        <v>5</v>
      </c>
      <c r="D63" s="8">
        <v>1.68</v>
      </c>
      <c r="E63" s="12">
        <v>4</v>
      </c>
      <c r="F63" s="8">
        <v>2.19</v>
      </c>
      <c r="G63" s="12">
        <v>1</v>
      </c>
      <c r="H63" s="8">
        <v>0.92</v>
      </c>
      <c r="I63" s="12">
        <v>0</v>
      </c>
    </row>
    <row r="64" spans="2:9" ht="15" customHeight="1" x14ac:dyDescent="0.2">
      <c r="B64" t="s">
        <v>289</v>
      </c>
      <c r="C64" s="12">
        <v>5</v>
      </c>
      <c r="D64" s="8">
        <v>1.68</v>
      </c>
      <c r="E64" s="12">
        <v>4</v>
      </c>
      <c r="F64" s="8">
        <v>2.19</v>
      </c>
      <c r="G64" s="12">
        <v>1</v>
      </c>
      <c r="H64" s="8">
        <v>0.92</v>
      </c>
      <c r="I64" s="12">
        <v>0</v>
      </c>
    </row>
    <row r="65" spans="2:9" ht="15" customHeight="1" x14ac:dyDescent="0.2">
      <c r="B65" t="s">
        <v>190</v>
      </c>
      <c r="C65" s="12">
        <v>5</v>
      </c>
      <c r="D65" s="8">
        <v>1.68</v>
      </c>
      <c r="E65" s="12">
        <v>0</v>
      </c>
      <c r="F65" s="8">
        <v>0</v>
      </c>
      <c r="G65" s="12">
        <v>5</v>
      </c>
      <c r="H65" s="8">
        <v>4.59</v>
      </c>
      <c r="I65" s="12">
        <v>0</v>
      </c>
    </row>
    <row r="66" spans="2:9" ht="15" customHeight="1" x14ac:dyDescent="0.2">
      <c r="B66" t="s">
        <v>164</v>
      </c>
      <c r="C66" s="12">
        <v>5</v>
      </c>
      <c r="D66" s="8">
        <v>1.68</v>
      </c>
      <c r="E66" s="12">
        <v>3</v>
      </c>
      <c r="F66" s="8">
        <v>1.64</v>
      </c>
      <c r="G66" s="12">
        <v>1</v>
      </c>
      <c r="H66" s="8">
        <v>0.92</v>
      </c>
      <c r="I66" s="12">
        <v>1</v>
      </c>
    </row>
    <row r="67" spans="2:9" ht="15" customHeight="1" x14ac:dyDescent="0.2">
      <c r="B67" t="s">
        <v>208</v>
      </c>
      <c r="C67" s="12">
        <v>5</v>
      </c>
      <c r="D67" s="8">
        <v>1.68</v>
      </c>
      <c r="E67" s="12">
        <v>3</v>
      </c>
      <c r="F67" s="8">
        <v>1.64</v>
      </c>
      <c r="G67" s="12">
        <v>2</v>
      </c>
      <c r="H67" s="8">
        <v>1.83</v>
      </c>
      <c r="I67" s="12">
        <v>0</v>
      </c>
    </row>
    <row r="68" spans="2:9" ht="15" customHeight="1" x14ac:dyDescent="0.2">
      <c r="B68" t="s">
        <v>185</v>
      </c>
      <c r="C68" s="12">
        <v>5</v>
      </c>
      <c r="D68" s="8">
        <v>1.68</v>
      </c>
      <c r="E68" s="12">
        <v>1</v>
      </c>
      <c r="F68" s="8">
        <v>0.55000000000000004</v>
      </c>
      <c r="G68" s="12">
        <v>4</v>
      </c>
      <c r="H68" s="8">
        <v>3.67</v>
      </c>
      <c r="I68" s="12">
        <v>0</v>
      </c>
    </row>
    <row r="69" spans="2:9" ht="15" customHeight="1" x14ac:dyDescent="0.2">
      <c r="B69" t="s">
        <v>215</v>
      </c>
      <c r="C69" s="12">
        <v>5</v>
      </c>
      <c r="D69" s="8">
        <v>1.68</v>
      </c>
      <c r="E69" s="12">
        <v>3</v>
      </c>
      <c r="F69" s="8">
        <v>1.64</v>
      </c>
      <c r="G69" s="12">
        <v>2</v>
      </c>
      <c r="H69" s="8">
        <v>1.83</v>
      </c>
      <c r="I69" s="12">
        <v>0</v>
      </c>
    </row>
    <row r="70" spans="2:9" ht="15" customHeight="1" x14ac:dyDescent="0.2">
      <c r="B70" t="s">
        <v>172</v>
      </c>
      <c r="C70" s="12">
        <v>5</v>
      </c>
      <c r="D70" s="8">
        <v>1.68</v>
      </c>
      <c r="E70" s="12">
        <v>5</v>
      </c>
      <c r="F70" s="8">
        <v>2.73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177</v>
      </c>
      <c r="C71" s="12">
        <v>5</v>
      </c>
      <c r="D71" s="8">
        <v>1.68</v>
      </c>
      <c r="E71" s="12">
        <v>3</v>
      </c>
      <c r="F71" s="8">
        <v>1.64</v>
      </c>
      <c r="G71" s="12">
        <v>2</v>
      </c>
      <c r="H71" s="8">
        <v>1.83</v>
      </c>
      <c r="I71" s="12">
        <v>0</v>
      </c>
    </row>
    <row r="73" spans="2:9" ht="15" customHeight="1" x14ac:dyDescent="0.2">
      <c r="B7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115B-05DA-4FC7-9063-0AAF4746E043}">
  <sheetPr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390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1</v>
      </c>
      <c r="D5" s="8">
        <v>0.83</v>
      </c>
      <c r="E5" s="12">
        <v>0</v>
      </c>
      <c r="F5" s="8">
        <v>0</v>
      </c>
      <c r="G5" s="12">
        <v>1</v>
      </c>
      <c r="H5" s="8">
        <v>1.33</v>
      </c>
      <c r="I5" s="12">
        <v>0</v>
      </c>
    </row>
    <row r="6" spans="2:9" ht="15" customHeight="1" x14ac:dyDescent="0.2">
      <c r="B6" t="s">
        <v>61</v>
      </c>
      <c r="C6" s="12">
        <v>35</v>
      </c>
      <c r="D6" s="8">
        <v>28.93</v>
      </c>
      <c r="E6" s="12">
        <v>5</v>
      </c>
      <c r="F6" s="8">
        <v>11.36</v>
      </c>
      <c r="G6" s="12">
        <v>30</v>
      </c>
      <c r="H6" s="8">
        <v>40</v>
      </c>
      <c r="I6" s="12">
        <v>0</v>
      </c>
    </row>
    <row r="7" spans="2:9" ht="15" customHeight="1" x14ac:dyDescent="0.2">
      <c r="B7" t="s">
        <v>62</v>
      </c>
      <c r="C7" s="12">
        <v>9</v>
      </c>
      <c r="D7" s="8">
        <v>7.44</v>
      </c>
      <c r="E7" s="12">
        <v>4</v>
      </c>
      <c r="F7" s="8">
        <v>9.09</v>
      </c>
      <c r="G7" s="12">
        <v>5</v>
      </c>
      <c r="H7" s="8">
        <v>6.67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0.83</v>
      </c>
      <c r="E8" s="12">
        <v>0</v>
      </c>
      <c r="F8" s="8">
        <v>0</v>
      </c>
      <c r="G8" s="12">
        <v>1</v>
      </c>
      <c r="H8" s="8">
        <v>1.33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1.65</v>
      </c>
      <c r="E10" s="12">
        <v>0</v>
      </c>
      <c r="F10" s="8">
        <v>0</v>
      </c>
      <c r="G10" s="12">
        <v>2</v>
      </c>
      <c r="H10" s="8">
        <v>2.67</v>
      </c>
      <c r="I10" s="12">
        <v>0</v>
      </c>
    </row>
    <row r="11" spans="2:9" ht="15" customHeight="1" x14ac:dyDescent="0.2">
      <c r="B11" t="s">
        <v>66</v>
      </c>
      <c r="C11" s="12">
        <v>24</v>
      </c>
      <c r="D11" s="8">
        <v>19.829999999999998</v>
      </c>
      <c r="E11" s="12">
        <v>14</v>
      </c>
      <c r="F11" s="8">
        <v>31.82</v>
      </c>
      <c r="G11" s="12">
        <v>9</v>
      </c>
      <c r="H11" s="8">
        <v>12</v>
      </c>
      <c r="I11" s="12">
        <v>1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2</v>
      </c>
      <c r="D13" s="8">
        <v>1.65</v>
      </c>
      <c r="E13" s="12">
        <v>0</v>
      </c>
      <c r="F13" s="8">
        <v>0</v>
      </c>
      <c r="G13" s="12">
        <v>2</v>
      </c>
      <c r="H13" s="8">
        <v>2.67</v>
      </c>
      <c r="I13" s="12">
        <v>0</v>
      </c>
    </row>
    <row r="14" spans="2:9" ht="15" customHeight="1" x14ac:dyDescent="0.2">
      <c r="B14" t="s">
        <v>69</v>
      </c>
      <c r="C14" s="12">
        <v>2</v>
      </c>
      <c r="D14" s="8">
        <v>1.65</v>
      </c>
      <c r="E14" s="12">
        <v>0</v>
      </c>
      <c r="F14" s="8">
        <v>0</v>
      </c>
      <c r="G14" s="12">
        <v>2</v>
      </c>
      <c r="H14" s="8">
        <v>2.67</v>
      </c>
      <c r="I14" s="12">
        <v>0</v>
      </c>
    </row>
    <row r="15" spans="2:9" ht="15" customHeight="1" x14ac:dyDescent="0.2">
      <c r="B15" t="s">
        <v>70</v>
      </c>
      <c r="C15" s="12">
        <v>21</v>
      </c>
      <c r="D15" s="8">
        <v>17.36</v>
      </c>
      <c r="E15" s="12">
        <v>9</v>
      </c>
      <c r="F15" s="8">
        <v>20.45</v>
      </c>
      <c r="G15" s="12">
        <v>12</v>
      </c>
      <c r="H15" s="8">
        <v>16</v>
      </c>
      <c r="I15" s="12">
        <v>0</v>
      </c>
    </row>
    <row r="16" spans="2:9" ht="15" customHeight="1" x14ac:dyDescent="0.2">
      <c r="B16" t="s">
        <v>71</v>
      </c>
      <c r="C16" s="12">
        <v>13</v>
      </c>
      <c r="D16" s="8">
        <v>10.74</v>
      </c>
      <c r="E16" s="12">
        <v>9</v>
      </c>
      <c r="F16" s="8">
        <v>20.45</v>
      </c>
      <c r="G16" s="12">
        <v>4</v>
      </c>
      <c r="H16" s="8">
        <v>5.33</v>
      </c>
      <c r="I16" s="12">
        <v>0</v>
      </c>
    </row>
    <row r="17" spans="2:9" ht="15" customHeight="1" x14ac:dyDescent="0.2">
      <c r="B17" t="s">
        <v>72</v>
      </c>
      <c r="C17" s="12">
        <v>3</v>
      </c>
      <c r="D17" s="8">
        <v>2.48</v>
      </c>
      <c r="E17" s="12">
        <v>2</v>
      </c>
      <c r="F17" s="8">
        <v>4.55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8</v>
      </c>
      <c r="D19" s="8">
        <v>6.61</v>
      </c>
      <c r="E19" s="12">
        <v>1</v>
      </c>
      <c r="F19" s="8">
        <v>2.27</v>
      </c>
      <c r="G19" s="12">
        <v>7</v>
      </c>
      <c r="H19" s="8">
        <v>9.33</v>
      </c>
      <c r="I19" s="12">
        <v>0</v>
      </c>
    </row>
    <row r="20" spans="2:9" ht="15" customHeight="1" x14ac:dyDescent="0.2">
      <c r="B20" s="9" t="s">
        <v>337</v>
      </c>
      <c r="C20" s="12">
        <f>SUM(LTBL_07541[総数／事業所数])</f>
        <v>121</v>
      </c>
      <c r="E20" s="12">
        <f>SUBTOTAL(109,LTBL_07541[個人／事業所数])</f>
        <v>44</v>
      </c>
      <c r="G20" s="12">
        <f>SUBTOTAL(109,LTBL_07541[法人／事業所数])</f>
        <v>75</v>
      </c>
      <c r="I20" s="12">
        <f>SUBTOTAL(109,LTBL_07541[法人以外の団体／事業所数])</f>
        <v>1</v>
      </c>
    </row>
    <row r="21" spans="2:9" ht="15" customHeight="1" x14ac:dyDescent="0.2">
      <c r="E21" s="11">
        <f>LTBL_07541[[#Totals],[個人／事業所数]]/LTBL_07541[[#Totals],[総数／事業所数]]</f>
        <v>0.36363636363636365</v>
      </c>
      <c r="G21" s="11">
        <f>LTBL_07541[[#Totals],[法人／事業所数]]/LTBL_07541[[#Totals],[総数／事業所数]]</f>
        <v>0.6198347107438017</v>
      </c>
      <c r="I21" s="11">
        <f>LTBL_07541[[#Totals],[法人以外の団体／事業所数]]/LTBL_07541[[#Totals],[総数／事業所数]]</f>
        <v>8.2644628099173556E-3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85</v>
      </c>
      <c r="C24" s="12">
        <v>17</v>
      </c>
      <c r="D24" s="8">
        <v>14.05</v>
      </c>
      <c r="E24" s="12">
        <v>0</v>
      </c>
      <c r="F24" s="8">
        <v>0</v>
      </c>
      <c r="G24" s="12">
        <v>17</v>
      </c>
      <c r="H24" s="8">
        <v>22.67</v>
      </c>
      <c r="I24" s="12">
        <v>0</v>
      </c>
    </row>
    <row r="25" spans="2:9" ht="15" customHeight="1" x14ac:dyDescent="0.2">
      <c r="B25" t="s">
        <v>91</v>
      </c>
      <c r="C25" s="12">
        <v>11</v>
      </c>
      <c r="D25" s="8">
        <v>9.09</v>
      </c>
      <c r="E25" s="12">
        <v>8</v>
      </c>
      <c r="F25" s="8">
        <v>18.18</v>
      </c>
      <c r="G25" s="12">
        <v>3</v>
      </c>
      <c r="H25" s="8">
        <v>4</v>
      </c>
      <c r="I25" s="12">
        <v>0</v>
      </c>
    </row>
    <row r="26" spans="2:9" ht="15" customHeight="1" x14ac:dyDescent="0.2">
      <c r="B26" t="s">
        <v>96</v>
      </c>
      <c r="C26" s="12">
        <v>11</v>
      </c>
      <c r="D26" s="8">
        <v>9.09</v>
      </c>
      <c r="E26" s="12">
        <v>8</v>
      </c>
      <c r="F26" s="8">
        <v>18.18</v>
      </c>
      <c r="G26" s="12">
        <v>3</v>
      </c>
      <c r="H26" s="8">
        <v>4</v>
      </c>
      <c r="I26" s="12">
        <v>0</v>
      </c>
    </row>
    <row r="27" spans="2:9" ht="15" customHeight="1" x14ac:dyDescent="0.2">
      <c r="B27" t="s">
        <v>97</v>
      </c>
      <c r="C27" s="12">
        <v>10</v>
      </c>
      <c r="D27" s="8">
        <v>8.26</v>
      </c>
      <c r="E27" s="12">
        <v>9</v>
      </c>
      <c r="F27" s="8">
        <v>20.45</v>
      </c>
      <c r="G27" s="12">
        <v>1</v>
      </c>
      <c r="H27" s="8">
        <v>1.33</v>
      </c>
      <c r="I27" s="12">
        <v>0</v>
      </c>
    </row>
    <row r="28" spans="2:9" ht="15" customHeight="1" x14ac:dyDescent="0.2">
      <c r="B28" t="s">
        <v>83</v>
      </c>
      <c r="C28" s="12">
        <v>9</v>
      </c>
      <c r="D28" s="8">
        <v>7.44</v>
      </c>
      <c r="E28" s="12">
        <v>2</v>
      </c>
      <c r="F28" s="8">
        <v>4.55</v>
      </c>
      <c r="G28" s="12">
        <v>7</v>
      </c>
      <c r="H28" s="8">
        <v>9.33</v>
      </c>
      <c r="I28" s="12">
        <v>0</v>
      </c>
    </row>
    <row r="29" spans="2:9" ht="15" customHeight="1" x14ac:dyDescent="0.2">
      <c r="B29" t="s">
        <v>84</v>
      </c>
      <c r="C29" s="12">
        <v>9</v>
      </c>
      <c r="D29" s="8">
        <v>7.44</v>
      </c>
      <c r="E29" s="12">
        <v>3</v>
      </c>
      <c r="F29" s="8">
        <v>6.82</v>
      </c>
      <c r="G29" s="12">
        <v>6</v>
      </c>
      <c r="H29" s="8">
        <v>8</v>
      </c>
      <c r="I29" s="12">
        <v>0</v>
      </c>
    </row>
    <row r="30" spans="2:9" ht="15" customHeight="1" x14ac:dyDescent="0.2">
      <c r="B30" t="s">
        <v>95</v>
      </c>
      <c r="C30" s="12">
        <v>9</v>
      </c>
      <c r="D30" s="8">
        <v>7.44</v>
      </c>
      <c r="E30" s="12">
        <v>1</v>
      </c>
      <c r="F30" s="8">
        <v>2.27</v>
      </c>
      <c r="G30" s="12">
        <v>8</v>
      </c>
      <c r="H30" s="8">
        <v>10.67</v>
      </c>
      <c r="I30" s="12">
        <v>0</v>
      </c>
    </row>
    <row r="31" spans="2:9" ht="15" customHeight="1" x14ac:dyDescent="0.2">
      <c r="B31" t="s">
        <v>86</v>
      </c>
      <c r="C31" s="12">
        <v>6</v>
      </c>
      <c r="D31" s="8">
        <v>4.96</v>
      </c>
      <c r="E31" s="12">
        <v>2</v>
      </c>
      <c r="F31" s="8">
        <v>4.55</v>
      </c>
      <c r="G31" s="12">
        <v>4</v>
      </c>
      <c r="H31" s="8">
        <v>5.33</v>
      </c>
      <c r="I31" s="12">
        <v>0</v>
      </c>
    </row>
    <row r="32" spans="2:9" ht="15" customHeight="1" x14ac:dyDescent="0.2">
      <c r="B32" t="s">
        <v>89</v>
      </c>
      <c r="C32" s="12">
        <v>4</v>
      </c>
      <c r="D32" s="8">
        <v>3.31</v>
      </c>
      <c r="E32" s="12">
        <v>2</v>
      </c>
      <c r="F32" s="8">
        <v>4.55</v>
      </c>
      <c r="G32" s="12">
        <v>1</v>
      </c>
      <c r="H32" s="8">
        <v>1.33</v>
      </c>
      <c r="I32" s="12">
        <v>1</v>
      </c>
    </row>
    <row r="33" spans="2:9" ht="15" customHeight="1" x14ac:dyDescent="0.2">
      <c r="B33" t="s">
        <v>99</v>
      </c>
      <c r="C33" s="12">
        <v>3</v>
      </c>
      <c r="D33" s="8">
        <v>2.48</v>
      </c>
      <c r="E33" s="12">
        <v>2</v>
      </c>
      <c r="F33" s="8">
        <v>4.55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108</v>
      </c>
      <c r="C34" s="12">
        <v>3</v>
      </c>
      <c r="D34" s="8">
        <v>2.48</v>
      </c>
      <c r="E34" s="12">
        <v>0</v>
      </c>
      <c r="F34" s="8">
        <v>0</v>
      </c>
      <c r="G34" s="12">
        <v>3</v>
      </c>
      <c r="H34" s="8">
        <v>4</v>
      </c>
      <c r="I34" s="12">
        <v>0</v>
      </c>
    </row>
    <row r="35" spans="2:9" ht="15" customHeight="1" x14ac:dyDescent="0.2">
      <c r="B35" t="s">
        <v>115</v>
      </c>
      <c r="C35" s="12">
        <v>2</v>
      </c>
      <c r="D35" s="8">
        <v>1.65</v>
      </c>
      <c r="E35" s="12">
        <v>0</v>
      </c>
      <c r="F35" s="8">
        <v>0</v>
      </c>
      <c r="G35" s="12">
        <v>2</v>
      </c>
      <c r="H35" s="8">
        <v>2.67</v>
      </c>
      <c r="I35" s="12">
        <v>0</v>
      </c>
    </row>
    <row r="36" spans="2:9" ht="15" customHeight="1" x14ac:dyDescent="0.2">
      <c r="B36" t="s">
        <v>126</v>
      </c>
      <c r="C36" s="12">
        <v>2</v>
      </c>
      <c r="D36" s="8">
        <v>1.65</v>
      </c>
      <c r="E36" s="12">
        <v>2</v>
      </c>
      <c r="F36" s="8">
        <v>4.55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90</v>
      </c>
      <c r="C37" s="12">
        <v>2</v>
      </c>
      <c r="D37" s="8">
        <v>1.65</v>
      </c>
      <c r="E37" s="12">
        <v>2</v>
      </c>
      <c r="F37" s="8">
        <v>4.55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92</v>
      </c>
      <c r="C38" s="12">
        <v>2</v>
      </c>
      <c r="D38" s="8">
        <v>1.65</v>
      </c>
      <c r="E38" s="12">
        <v>0</v>
      </c>
      <c r="F38" s="8">
        <v>0</v>
      </c>
      <c r="G38" s="12">
        <v>2</v>
      </c>
      <c r="H38" s="8">
        <v>2.67</v>
      </c>
      <c r="I38" s="12">
        <v>0</v>
      </c>
    </row>
    <row r="39" spans="2:9" ht="15" customHeight="1" x14ac:dyDescent="0.2">
      <c r="B39" t="s">
        <v>94</v>
      </c>
      <c r="C39" s="12">
        <v>2</v>
      </c>
      <c r="D39" s="8">
        <v>1.65</v>
      </c>
      <c r="E39" s="12">
        <v>0</v>
      </c>
      <c r="F39" s="8">
        <v>0</v>
      </c>
      <c r="G39" s="12">
        <v>2</v>
      </c>
      <c r="H39" s="8">
        <v>2.67</v>
      </c>
      <c r="I39" s="12">
        <v>0</v>
      </c>
    </row>
    <row r="40" spans="2:9" ht="15" customHeight="1" x14ac:dyDescent="0.2">
      <c r="B40" t="s">
        <v>129</v>
      </c>
      <c r="C40" s="12">
        <v>2</v>
      </c>
      <c r="D40" s="8">
        <v>1.65</v>
      </c>
      <c r="E40" s="12">
        <v>0</v>
      </c>
      <c r="F40" s="8">
        <v>0</v>
      </c>
      <c r="G40" s="12">
        <v>2</v>
      </c>
      <c r="H40" s="8">
        <v>2.67</v>
      </c>
      <c r="I40" s="12">
        <v>0</v>
      </c>
    </row>
    <row r="41" spans="2:9" ht="15" customHeight="1" x14ac:dyDescent="0.2">
      <c r="B41" t="s">
        <v>146</v>
      </c>
      <c r="C41" s="12">
        <v>2</v>
      </c>
      <c r="D41" s="8">
        <v>1.65</v>
      </c>
      <c r="E41" s="12">
        <v>0</v>
      </c>
      <c r="F41" s="8">
        <v>0</v>
      </c>
      <c r="G41" s="12">
        <v>2</v>
      </c>
      <c r="H41" s="8">
        <v>2.67</v>
      </c>
      <c r="I41" s="12">
        <v>0</v>
      </c>
    </row>
    <row r="42" spans="2:9" ht="15" customHeight="1" x14ac:dyDescent="0.2">
      <c r="B42" t="s">
        <v>131</v>
      </c>
      <c r="C42" s="12">
        <v>1</v>
      </c>
      <c r="D42" s="8">
        <v>0.83</v>
      </c>
      <c r="E42" s="12">
        <v>0</v>
      </c>
      <c r="F42" s="8">
        <v>0</v>
      </c>
      <c r="G42" s="12">
        <v>1</v>
      </c>
      <c r="H42" s="8">
        <v>1.33</v>
      </c>
      <c r="I42" s="12">
        <v>0</v>
      </c>
    </row>
    <row r="43" spans="2:9" ht="15" customHeight="1" x14ac:dyDescent="0.2">
      <c r="B43" t="s">
        <v>124</v>
      </c>
      <c r="C43" s="12">
        <v>1</v>
      </c>
      <c r="D43" s="8">
        <v>0.83</v>
      </c>
      <c r="E43" s="12">
        <v>1</v>
      </c>
      <c r="F43" s="8">
        <v>2.27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154</v>
      </c>
      <c r="C44" s="12">
        <v>1</v>
      </c>
      <c r="D44" s="8">
        <v>0.83</v>
      </c>
      <c r="E44" s="12">
        <v>1</v>
      </c>
      <c r="F44" s="8">
        <v>2.27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118</v>
      </c>
      <c r="C45" s="12">
        <v>1</v>
      </c>
      <c r="D45" s="8">
        <v>0.83</v>
      </c>
      <c r="E45" s="12">
        <v>0</v>
      </c>
      <c r="F45" s="8">
        <v>0</v>
      </c>
      <c r="G45" s="12">
        <v>1</v>
      </c>
      <c r="H45" s="8">
        <v>1.33</v>
      </c>
      <c r="I45" s="12">
        <v>0</v>
      </c>
    </row>
    <row r="46" spans="2:9" ht="15" customHeight="1" x14ac:dyDescent="0.2">
      <c r="B46" t="s">
        <v>114</v>
      </c>
      <c r="C46" s="12">
        <v>1</v>
      </c>
      <c r="D46" s="8">
        <v>0.83</v>
      </c>
      <c r="E46" s="12">
        <v>0</v>
      </c>
      <c r="F46" s="8">
        <v>0</v>
      </c>
      <c r="G46" s="12">
        <v>1</v>
      </c>
      <c r="H46" s="8">
        <v>1.33</v>
      </c>
      <c r="I46" s="12">
        <v>0</v>
      </c>
    </row>
    <row r="47" spans="2:9" ht="15" customHeight="1" x14ac:dyDescent="0.2">
      <c r="B47" t="s">
        <v>105</v>
      </c>
      <c r="C47" s="12">
        <v>1</v>
      </c>
      <c r="D47" s="8">
        <v>0.83</v>
      </c>
      <c r="E47" s="12">
        <v>0</v>
      </c>
      <c r="F47" s="8">
        <v>0</v>
      </c>
      <c r="G47" s="12">
        <v>1</v>
      </c>
      <c r="H47" s="8">
        <v>1.33</v>
      </c>
      <c r="I47" s="12">
        <v>0</v>
      </c>
    </row>
    <row r="48" spans="2:9" ht="15" customHeight="1" x14ac:dyDescent="0.2">
      <c r="B48" t="s">
        <v>145</v>
      </c>
      <c r="C48" s="12">
        <v>1</v>
      </c>
      <c r="D48" s="8">
        <v>0.83</v>
      </c>
      <c r="E48" s="12">
        <v>0</v>
      </c>
      <c r="F48" s="8">
        <v>0</v>
      </c>
      <c r="G48" s="12">
        <v>1</v>
      </c>
      <c r="H48" s="8">
        <v>1.33</v>
      </c>
      <c r="I48" s="12">
        <v>0</v>
      </c>
    </row>
    <row r="49" spans="2:9" ht="15" customHeight="1" x14ac:dyDescent="0.2">
      <c r="B49" t="s">
        <v>117</v>
      </c>
      <c r="C49" s="12">
        <v>1</v>
      </c>
      <c r="D49" s="8">
        <v>0.83</v>
      </c>
      <c r="E49" s="12">
        <v>0</v>
      </c>
      <c r="F49" s="8">
        <v>0</v>
      </c>
      <c r="G49" s="12">
        <v>1</v>
      </c>
      <c r="H49" s="8">
        <v>1.33</v>
      </c>
      <c r="I49" s="12">
        <v>0</v>
      </c>
    </row>
    <row r="50" spans="2:9" ht="15" customHeight="1" x14ac:dyDescent="0.2">
      <c r="B50" t="s">
        <v>141</v>
      </c>
      <c r="C50" s="12">
        <v>1</v>
      </c>
      <c r="D50" s="8">
        <v>0.83</v>
      </c>
      <c r="E50" s="12">
        <v>0</v>
      </c>
      <c r="F50" s="8">
        <v>0</v>
      </c>
      <c r="G50" s="12">
        <v>1</v>
      </c>
      <c r="H50" s="8">
        <v>1.33</v>
      </c>
      <c r="I50" s="12">
        <v>0</v>
      </c>
    </row>
    <row r="51" spans="2:9" ht="15" customHeight="1" x14ac:dyDescent="0.2">
      <c r="B51" t="s">
        <v>87</v>
      </c>
      <c r="C51" s="12">
        <v>1</v>
      </c>
      <c r="D51" s="8">
        <v>0.83</v>
      </c>
      <c r="E51" s="12">
        <v>0</v>
      </c>
      <c r="F51" s="8">
        <v>0</v>
      </c>
      <c r="G51" s="12">
        <v>1</v>
      </c>
      <c r="H51" s="8">
        <v>1.33</v>
      </c>
      <c r="I51" s="12">
        <v>0</v>
      </c>
    </row>
    <row r="52" spans="2:9" ht="15" customHeight="1" x14ac:dyDescent="0.2">
      <c r="B52" t="s">
        <v>113</v>
      </c>
      <c r="C52" s="12">
        <v>1</v>
      </c>
      <c r="D52" s="8">
        <v>0.83</v>
      </c>
      <c r="E52" s="12">
        <v>0</v>
      </c>
      <c r="F52" s="8">
        <v>0</v>
      </c>
      <c r="G52" s="12">
        <v>1</v>
      </c>
      <c r="H52" s="8">
        <v>1.33</v>
      </c>
      <c r="I52" s="12">
        <v>0</v>
      </c>
    </row>
    <row r="53" spans="2:9" ht="15" customHeight="1" x14ac:dyDescent="0.2">
      <c r="B53" t="s">
        <v>98</v>
      </c>
      <c r="C53" s="12">
        <v>1</v>
      </c>
      <c r="D53" s="8">
        <v>0.83</v>
      </c>
      <c r="E53" s="12">
        <v>0</v>
      </c>
      <c r="F53" s="8">
        <v>0</v>
      </c>
      <c r="G53" s="12">
        <v>1</v>
      </c>
      <c r="H53" s="8">
        <v>1.33</v>
      </c>
      <c r="I53" s="12">
        <v>0</v>
      </c>
    </row>
    <row r="54" spans="2:9" ht="15" customHeight="1" x14ac:dyDescent="0.2">
      <c r="B54" t="s">
        <v>120</v>
      </c>
      <c r="C54" s="12">
        <v>1</v>
      </c>
      <c r="D54" s="8">
        <v>0.83</v>
      </c>
      <c r="E54" s="12">
        <v>0</v>
      </c>
      <c r="F54" s="8">
        <v>0</v>
      </c>
      <c r="G54" s="12">
        <v>1</v>
      </c>
      <c r="H54" s="8">
        <v>1.33</v>
      </c>
      <c r="I54" s="12">
        <v>0</v>
      </c>
    </row>
    <row r="55" spans="2:9" ht="15" customHeight="1" x14ac:dyDescent="0.2">
      <c r="B55" t="s">
        <v>102</v>
      </c>
      <c r="C55" s="12">
        <v>1</v>
      </c>
      <c r="D55" s="8">
        <v>0.83</v>
      </c>
      <c r="E55" s="12">
        <v>1</v>
      </c>
      <c r="F55" s="8">
        <v>2.27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140</v>
      </c>
      <c r="C56" s="12">
        <v>1</v>
      </c>
      <c r="D56" s="8">
        <v>0.83</v>
      </c>
      <c r="E56" s="12">
        <v>0</v>
      </c>
      <c r="F56" s="8">
        <v>0</v>
      </c>
      <c r="G56" s="12">
        <v>1</v>
      </c>
      <c r="H56" s="8">
        <v>1.33</v>
      </c>
      <c r="I56" s="12">
        <v>0</v>
      </c>
    </row>
    <row r="59" spans="2:9" ht="33" customHeight="1" x14ac:dyDescent="0.2">
      <c r="B59" t="s">
        <v>339</v>
      </c>
      <c r="C59" s="10" t="s">
        <v>76</v>
      </c>
      <c r="D59" s="10" t="s">
        <v>77</v>
      </c>
      <c r="E59" s="10" t="s">
        <v>78</v>
      </c>
      <c r="F59" s="10" t="s">
        <v>79</v>
      </c>
      <c r="G59" s="10" t="s">
        <v>80</v>
      </c>
      <c r="H59" s="10" t="s">
        <v>81</v>
      </c>
      <c r="I59" s="10" t="s">
        <v>82</v>
      </c>
    </row>
    <row r="60" spans="2:9" ht="15" customHeight="1" x14ac:dyDescent="0.2">
      <c r="B60" t="s">
        <v>307</v>
      </c>
      <c r="C60" s="12">
        <v>9</v>
      </c>
      <c r="D60" s="8">
        <v>7.44</v>
      </c>
      <c r="E60" s="12">
        <v>0</v>
      </c>
      <c r="F60" s="8">
        <v>0</v>
      </c>
      <c r="G60" s="12">
        <v>9</v>
      </c>
      <c r="H60" s="8">
        <v>12</v>
      </c>
      <c r="I60" s="12">
        <v>0</v>
      </c>
    </row>
    <row r="61" spans="2:9" ht="15" customHeight="1" x14ac:dyDescent="0.2">
      <c r="B61" t="s">
        <v>188</v>
      </c>
      <c r="C61" s="12">
        <v>6</v>
      </c>
      <c r="D61" s="8">
        <v>4.96</v>
      </c>
      <c r="E61" s="12">
        <v>2</v>
      </c>
      <c r="F61" s="8">
        <v>4.55</v>
      </c>
      <c r="G61" s="12">
        <v>4</v>
      </c>
      <c r="H61" s="8">
        <v>5.33</v>
      </c>
      <c r="I61" s="12">
        <v>0</v>
      </c>
    </row>
    <row r="62" spans="2:9" ht="15" customHeight="1" x14ac:dyDescent="0.2">
      <c r="B62" t="s">
        <v>158</v>
      </c>
      <c r="C62" s="12">
        <v>5</v>
      </c>
      <c r="D62" s="8">
        <v>4.13</v>
      </c>
      <c r="E62" s="12">
        <v>0</v>
      </c>
      <c r="F62" s="8">
        <v>0</v>
      </c>
      <c r="G62" s="12">
        <v>5</v>
      </c>
      <c r="H62" s="8">
        <v>6.67</v>
      </c>
      <c r="I62" s="12">
        <v>0</v>
      </c>
    </row>
    <row r="63" spans="2:9" ht="15" customHeight="1" x14ac:dyDescent="0.2">
      <c r="B63" t="s">
        <v>215</v>
      </c>
      <c r="C63" s="12">
        <v>5</v>
      </c>
      <c r="D63" s="8">
        <v>4.13</v>
      </c>
      <c r="E63" s="12">
        <v>1</v>
      </c>
      <c r="F63" s="8">
        <v>2.27</v>
      </c>
      <c r="G63" s="12">
        <v>4</v>
      </c>
      <c r="H63" s="8">
        <v>5.33</v>
      </c>
      <c r="I63" s="12">
        <v>0</v>
      </c>
    </row>
    <row r="64" spans="2:9" ht="15" customHeight="1" x14ac:dyDescent="0.2">
      <c r="B64" t="s">
        <v>173</v>
      </c>
      <c r="C64" s="12">
        <v>5</v>
      </c>
      <c r="D64" s="8">
        <v>4.13</v>
      </c>
      <c r="E64" s="12">
        <v>5</v>
      </c>
      <c r="F64" s="8">
        <v>11.36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161</v>
      </c>
      <c r="C65" s="12">
        <v>4</v>
      </c>
      <c r="D65" s="8">
        <v>3.31</v>
      </c>
      <c r="E65" s="12">
        <v>0</v>
      </c>
      <c r="F65" s="8">
        <v>0</v>
      </c>
      <c r="G65" s="12">
        <v>4</v>
      </c>
      <c r="H65" s="8">
        <v>5.33</v>
      </c>
      <c r="I65" s="12">
        <v>0</v>
      </c>
    </row>
    <row r="66" spans="2:9" ht="15" customHeight="1" x14ac:dyDescent="0.2">
      <c r="B66" t="s">
        <v>233</v>
      </c>
      <c r="C66" s="12">
        <v>4</v>
      </c>
      <c r="D66" s="8">
        <v>3.31</v>
      </c>
      <c r="E66" s="12">
        <v>0</v>
      </c>
      <c r="F66" s="8">
        <v>0</v>
      </c>
      <c r="G66" s="12">
        <v>4</v>
      </c>
      <c r="H66" s="8">
        <v>5.33</v>
      </c>
      <c r="I66" s="12">
        <v>0</v>
      </c>
    </row>
    <row r="67" spans="2:9" ht="15" customHeight="1" x14ac:dyDescent="0.2">
      <c r="B67" t="s">
        <v>181</v>
      </c>
      <c r="C67" s="12">
        <v>4</v>
      </c>
      <c r="D67" s="8">
        <v>3.31</v>
      </c>
      <c r="E67" s="12">
        <v>2</v>
      </c>
      <c r="F67" s="8">
        <v>4.55</v>
      </c>
      <c r="G67" s="12">
        <v>2</v>
      </c>
      <c r="H67" s="8">
        <v>2.67</v>
      </c>
      <c r="I67" s="12">
        <v>0</v>
      </c>
    </row>
    <row r="68" spans="2:9" ht="15" customHeight="1" x14ac:dyDescent="0.2">
      <c r="B68" t="s">
        <v>174</v>
      </c>
      <c r="C68" s="12">
        <v>4</v>
      </c>
      <c r="D68" s="8">
        <v>3.31</v>
      </c>
      <c r="E68" s="12">
        <v>4</v>
      </c>
      <c r="F68" s="8">
        <v>9.09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160</v>
      </c>
      <c r="C69" s="12">
        <v>3</v>
      </c>
      <c r="D69" s="8">
        <v>2.48</v>
      </c>
      <c r="E69" s="12">
        <v>2</v>
      </c>
      <c r="F69" s="8">
        <v>4.55</v>
      </c>
      <c r="G69" s="12">
        <v>1</v>
      </c>
      <c r="H69" s="8">
        <v>1.33</v>
      </c>
      <c r="I69" s="12">
        <v>0</v>
      </c>
    </row>
    <row r="70" spans="2:9" ht="15" customHeight="1" x14ac:dyDescent="0.2">
      <c r="B70" t="s">
        <v>196</v>
      </c>
      <c r="C70" s="12">
        <v>3</v>
      </c>
      <c r="D70" s="8">
        <v>2.48</v>
      </c>
      <c r="E70" s="12">
        <v>0</v>
      </c>
      <c r="F70" s="8">
        <v>0</v>
      </c>
      <c r="G70" s="12">
        <v>3</v>
      </c>
      <c r="H70" s="8">
        <v>4</v>
      </c>
      <c r="I70" s="12">
        <v>0</v>
      </c>
    </row>
    <row r="71" spans="2:9" ht="15" customHeight="1" x14ac:dyDescent="0.2">
      <c r="B71" t="s">
        <v>187</v>
      </c>
      <c r="C71" s="12">
        <v>3</v>
      </c>
      <c r="D71" s="8">
        <v>2.48</v>
      </c>
      <c r="E71" s="12">
        <v>1</v>
      </c>
      <c r="F71" s="8">
        <v>2.27</v>
      </c>
      <c r="G71" s="12">
        <v>2</v>
      </c>
      <c r="H71" s="8">
        <v>2.67</v>
      </c>
      <c r="I71" s="12">
        <v>0</v>
      </c>
    </row>
    <row r="72" spans="2:9" ht="15" customHeight="1" x14ac:dyDescent="0.2">
      <c r="B72" t="s">
        <v>191</v>
      </c>
      <c r="C72" s="12">
        <v>3</v>
      </c>
      <c r="D72" s="8">
        <v>2.48</v>
      </c>
      <c r="E72" s="12">
        <v>2</v>
      </c>
      <c r="F72" s="8">
        <v>4.55</v>
      </c>
      <c r="G72" s="12">
        <v>1</v>
      </c>
      <c r="H72" s="8">
        <v>1.33</v>
      </c>
      <c r="I72" s="12">
        <v>0</v>
      </c>
    </row>
    <row r="73" spans="2:9" ht="15" customHeight="1" x14ac:dyDescent="0.2">
      <c r="B73" t="s">
        <v>210</v>
      </c>
      <c r="C73" s="12">
        <v>3</v>
      </c>
      <c r="D73" s="8">
        <v>2.48</v>
      </c>
      <c r="E73" s="12">
        <v>2</v>
      </c>
      <c r="F73" s="8">
        <v>4.55</v>
      </c>
      <c r="G73" s="12">
        <v>1</v>
      </c>
      <c r="H73" s="8">
        <v>1.33</v>
      </c>
      <c r="I73" s="12">
        <v>0</v>
      </c>
    </row>
    <row r="74" spans="2:9" ht="15" customHeight="1" x14ac:dyDescent="0.2">
      <c r="B74" t="s">
        <v>170</v>
      </c>
      <c r="C74" s="12">
        <v>3</v>
      </c>
      <c r="D74" s="8">
        <v>2.48</v>
      </c>
      <c r="E74" s="12">
        <v>3</v>
      </c>
      <c r="F74" s="8">
        <v>6.82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194</v>
      </c>
      <c r="C75" s="12">
        <v>2</v>
      </c>
      <c r="D75" s="8">
        <v>1.65</v>
      </c>
      <c r="E75" s="12">
        <v>2</v>
      </c>
      <c r="F75" s="8">
        <v>4.55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162</v>
      </c>
      <c r="C76" s="12">
        <v>2</v>
      </c>
      <c r="D76" s="8">
        <v>1.65</v>
      </c>
      <c r="E76" s="12">
        <v>0</v>
      </c>
      <c r="F76" s="8">
        <v>0</v>
      </c>
      <c r="G76" s="12">
        <v>2</v>
      </c>
      <c r="H76" s="8">
        <v>2.67</v>
      </c>
      <c r="I76" s="12">
        <v>0</v>
      </c>
    </row>
    <row r="77" spans="2:9" ht="15" customHeight="1" x14ac:dyDescent="0.2">
      <c r="B77" t="s">
        <v>219</v>
      </c>
      <c r="C77" s="12">
        <v>2</v>
      </c>
      <c r="D77" s="8">
        <v>1.65</v>
      </c>
      <c r="E77" s="12">
        <v>0</v>
      </c>
      <c r="F77" s="8">
        <v>0</v>
      </c>
      <c r="G77" s="12">
        <v>2</v>
      </c>
      <c r="H77" s="8">
        <v>2.67</v>
      </c>
      <c r="I77" s="12">
        <v>0</v>
      </c>
    </row>
    <row r="78" spans="2:9" ht="15" customHeight="1" x14ac:dyDescent="0.2">
      <c r="B78" t="s">
        <v>243</v>
      </c>
      <c r="C78" s="12">
        <v>2</v>
      </c>
      <c r="D78" s="8">
        <v>1.65</v>
      </c>
      <c r="E78" s="12">
        <v>1</v>
      </c>
      <c r="F78" s="8">
        <v>2.27</v>
      </c>
      <c r="G78" s="12">
        <v>1</v>
      </c>
      <c r="H78" s="8">
        <v>1.33</v>
      </c>
      <c r="I78" s="12">
        <v>0</v>
      </c>
    </row>
    <row r="79" spans="2:9" ht="15" customHeight="1" x14ac:dyDescent="0.2">
      <c r="B79" t="s">
        <v>166</v>
      </c>
      <c r="C79" s="12">
        <v>2</v>
      </c>
      <c r="D79" s="8">
        <v>1.65</v>
      </c>
      <c r="E79" s="12">
        <v>2</v>
      </c>
      <c r="F79" s="8">
        <v>4.55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171</v>
      </c>
      <c r="C80" s="12">
        <v>2</v>
      </c>
      <c r="D80" s="8">
        <v>1.65</v>
      </c>
      <c r="E80" s="12">
        <v>2</v>
      </c>
      <c r="F80" s="8">
        <v>4.55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175</v>
      </c>
      <c r="C81" s="12">
        <v>2</v>
      </c>
      <c r="D81" s="8">
        <v>1.65</v>
      </c>
      <c r="E81" s="12">
        <v>2</v>
      </c>
      <c r="F81" s="8">
        <v>4.55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308</v>
      </c>
      <c r="C82" s="12">
        <v>2</v>
      </c>
      <c r="D82" s="8">
        <v>1.65</v>
      </c>
      <c r="E82" s="12">
        <v>0</v>
      </c>
      <c r="F82" s="8">
        <v>0</v>
      </c>
      <c r="G82" s="12">
        <v>2</v>
      </c>
      <c r="H82" s="8">
        <v>2.67</v>
      </c>
      <c r="I82" s="12">
        <v>0</v>
      </c>
    </row>
    <row r="83" spans="2:9" ht="15" customHeight="1" x14ac:dyDescent="0.2">
      <c r="B83" t="s">
        <v>211</v>
      </c>
      <c r="C83" s="12">
        <v>2</v>
      </c>
      <c r="D83" s="8">
        <v>1.65</v>
      </c>
      <c r="E83" s="12">
        <v>0</v>
      </c>
      <c r="F83" s="8">
        <v>0</v>
      </c>
      <c r="G83" s="12">
        <v>2</v>
      </c>
      <c r="H83" s="8">
        <v>2.67</v>
      </c>
      <c r="I83" s="12">
        <v>0</v>
      </c>
    </row>
    <row r="85" spans="2:9" ht="15" customHeight="1" x14ac:dyDescent="0.2">
      <c r="B85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42BA-C88F-40F5-A757-78D730BB01CE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24</v>
      </c>
      <c r="D6" s="8">
        <v>23.08</v>
      </c>
      <c r="E6" s="12">
        <v>6</v>
      </c>
      <c r="F6" s="8">
        <v>13.64</v>
      </c>
      <c r="G6" s="12">
        <v>18</v>
      </c>
      <c r="H6" s="8">
        <v>30.51</v>
      </c>
      <c r="I6" s="12">
        <v>0</v>
      </c>
    </row>
    <row r="7" spans="2:9" ht="15" customHeight="1" x14ac:dyDescent="0.2">
      <c r="B7" t="s">
        <v>62</v>
      </c>
      <c r="C7" s="12">
        <v>15</v>
      </c>
      <c r="D7" s="8">
        <v>14.42</v>
      </c>
      <c r="E7" s="12">
        <v>5</v>
      </c>
      <c r="F7" s="8">
        <v>11.36</v>
      </c>
      <c r="G7" s="12">
        <v>10</v>
      </c>
      <c r="H7" s="8">
        <v>16.95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0.96</v>
      </c>
      <c r="E9" s="12">
        <v>0</v>
      </c>
      <c r="F9" s="8">
        <v>0</v>
      </c>
      <c r="G9" s="12">
        <v>1</v>
      </c>
      <c r="H9" s="8">
        <v>1.69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26</v>
      </c>
      <c r="D11" s="8">
        <v>25</v>
      </c>
      <c r="E11" s="12">
        <v>12</v>
      </c>
      <c r="F11" s="8">
        <v>27.27</v>
      </c>
      <c r="G11" s="12">
        <v>14</v>
      </c>
      <c r="H11" s="8">
        <v>23.73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8</v>
      </c>
      <c r="D13" s="8">
        <v>7.69</v>
      </c>
      <c r="E13" s="12">
        <v>0</v>
      </c>
      <c r="F13" s="8">
        <v>0</v>
      </c>
      <c r="G13" s="12">
        <v>8</v>
      </c>
      <c r="H13" s="8">
        <v>13.56</v>
      </c>
      <c r="I13" s="12">
        <v>0</v>
      </c>
    </row>
    <row r="14" spans="2:9" ht="15" customHeight="1" x14ac:dyDescent="0.2">
      <c r="B14" t="s">
        <v>69</v>
      </c>
      <c r="C14" s="12">
        <v>4</v>
      </c>
      <c r="D14" s="8">
        <v>3.85</v>
      </c>
      <c r="E14" s="12">
        <v>1</v>
      </c>
      <c r="F14" s="8">
        <v>2.27</v>
      </c>
      <c r="G14" s="12">
        <v>3</v>
      </c>
      <c r="H14" s="8">
        <v>5.08</v>
      </c>
      <c r="I14" s="12">
        <v>0</v>
      </c>
    </row>
    <row r="15" spans="2:9" ht="15" customHeight="1" x14ac:dyDescent="0.2">
      <c r="B15" t="s">
        <v>70</v>
      </c>
      <c r="C15" s="12">
        <v>8</v>
      </c>
      <c r="D15" s="8">
        <v>7.69</v>
      </c>
      <c r="E15" s="12">
        <v>7</v>
      </c>
      <c r="F15" s="8">
        <v>15.91</v>
      </c>
      <c r="G15" s="12">
        <v>1</v>
      </c>
      <c r="H15" s="8">
        <v>1.69</v>
      </c>
      <c r="I15" s="12">
        <v>0</v>
      </c>
    </row>
    <row r="16" spans="2:9" ht="15" customHeight="1" x14ac:dyDescent="0.2">
      <c r="B16" t="s">
        <v>71</v>
      </c>
      <c r="C16" s="12">
        <v>13</v>
      </c>
      <c r="D16" s="8">
        <v>12.5</v>
      </c>
      <c r="E16" s="12">
        <v>12</v>
      </c>
      <c r="F16" s="8">
        <v>27.27</v>
      </c>
      <c r="G16" s="12">
        <v>1</v>
      </c>
      <c r="H16" s="8">
        <v>1.69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0.96</v>
      </c>
      <c r="E18" s="12">
        <v>1</v>
      </c>
      <c r="F18" s="8">
        <v>2.27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4</v>
      </c>
      <c r="D19" s="8">
        <v>3.85</v>
      </c>
      <c r="E19" s="12">
        <v>0</v>
      </c>
      <c r="F19" s="8">
        <v>0</v>
      </c>
      <c r="G19" s="12">
        <v>3</v>
      </c>
      <c r="H19" s="8">
        <v>5.08</v>
      </c>
      <c r="I19" s="12">
        <v>0</v>
      </c>
    </row>
    <row r="20" spans="2:9" ht="15" customHeight="1" x14ac:dyDescent="0.2">
      <c r="B20" s="9" t="s">
        <v>337</v>
      </c>
      <c r="C20" s="12">
        <f>SUM(LTBL_07542[総数／事業所数])</f>
        <v>104</v>
      </c>
      <c r="E20" s="12">
        <f>SUBTOTAL(109,LTBL_07542[個人／事業所数])</f>
        <v>44</v>
      </c>
      <c r="G20" s="12">
        <f>SUBTOTAL(109,LTBL_07542[法人／事業所数])</f>
        <v>59</v>
      </c>
      <c r="I20" s="12">
        <f>SUBTOTAL(109,LTBL_07542[法人以外の団体／事業所数])</f>
        <v>0</v>
      </c>
    </row>
    <row r="21" spans="2:9" ht="15" customHeight="1" x14ac:dyDescent="0.2">
      <c r="E21" s="11">
        <f>LTBL_07542[[#Totals],[個人／事業所数]]/LTBL_07542[[#Totals],[総数／事業所数]]</f>
        <v>0.42307692307692307</v>
      </c>
      <c r="G21" s="11">
        <f>LTBL_07542[[#Totals],[法人／事業所数]]/LTBL_07542[[#Totals],[総数／事業所数]]</f>
        <v>0.56730769230769229</v>
      </c>
      <c r="I21" s="11">
        <f>LTBL_07542[[#Totals],[法人以外の団体／事業所数]]/LTBL_07542[[#Totals],[総数／事業所数]]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16</v>
      </c>
      <c r="D24" s="8">
        <v>15.38</v>
      </c>
      <c r="E24" s="12">
        <v>5</v>
      </c>
      <c r="F24" s="8">
        <v>11.36</v>
      </c>
      <c r="G24" s="12">
        <v>11</v>
      </c>
      <c r="H24" s="8">
        <v>18.64</v>
      </c>
      <c r="I24" s="12">
        <v>0</v>
      </c>
    </row>
    <row r="25" spans="2:9" ht="15" customHeight="1" x14ac:dyDescent="0.2">
      <c r="B25" t="s">
        <v>91</v>
      </c>
      <c r="C25" s="12">
        <v>11</v>
      </c>
      <c r="D25" s="8">
        <v>10.58</v>
      </c>
      <c r="E25" s="12">
        <v>6</v>
      </c>
      <c r="F25" s="8">
        <v>13.64</v>
      </c>
      <c r="G25" s="12">
        <v>5</v>
      </c>
      <c r="H25" s="8">
        <v>8.4700000000000006</v>
      </c>
      <c r="I25" s="12">
        <v>0</v>
      </c>
    </row>
    <row r="26" spans="2:9" ht="15" customHeight="1" x14ac:dyDescent="0.2">
      <c r="B26" t="s">
        <v>97</v>
      </c>
      <c r="C26" s="12">
        <v>10</v>
      </c>
      <c r="D26" s="8">
        <v>9.6199999999999992</v>
      </c>
      <c r="E26" s="12">
        <v>10</v>
      </c>
      <c r="F26" s="8">
        <v>22.73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96</v>
      </c>
      <c r="C27" s="12">
        <v>7</v>
      </c>
      <c r="D27" s="8">
        <v>6.73</v>
      </c>
      <c r="E27" s="12">
        <v>7</v>
      </c>
      <c r="F27" s="8">
        <v>15.91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85</v>
      </c>
      <c r="C28" s="12">
        <v>5</v>
      </c>
      <c r="D28" s="8">
        <v>4.8099999999999996</v>
      </c>
      <c r="E28" s="12">
        <v>1</v>
      </c>
      <c r="F28" s="8">
        <v>2.27</v>
      </c>
      <c r="G28" s="12">
        <v>4</v>
      </c>
      <c r="H28" s="8">
        <v>6.78</v>
      </c>
      <c r="I28" s="12">
        <v>0</v>
      </c>
    </row>
    <row r="29" spans="2:9" ht="15" customHeight="1" x14ac:dyDescent="0.2">
      <c r="B29" t="s">
        <v>86</v>
      </c>
      <c r="C29" s="12">
        <v>4</v>
      </c>
      <c r="D29" s="8">
        <v>3.85</v>
      </c>
      <c r="E29" s="12">
        <v>1</v>
      </c>
      <c r="F29" s="8">
        <v>2.27</v>
      </c>
      <c r="G29" s="12">
        <v>3</v>
      </c>
      <c r="H29" s="8">
        <v>5.08</v>
      </c>
      <c r="I29" s="12">
        <v>0</v>
      </c>
    </row>
    <row r="30" spans="2:9" ht="15" customHeight="1" x14ac:dyDescent="0.2">
      <c r="B30" t="s">
        <v>89</v>
      </c>
      <c r="C30" s="12">
        <v>4</v>
      </c>
      <c r="D30" s="8">
        <v>3.85</v>
      </c>
      <c r="E30" s="12">
        <v>3</v>
      </c>
      <c r="F30" s="8">
        <v>6.82</v>
      </c>
      <c r="G30" s="12">
        <v>1</v>
      </c>
      <c r="H30" s="8">
        <v>1.69</v>
      </c>
      <c r="I30" s="12">
        <v>0</v>
      </c>
    </row>
    <row r="31" spans="2:9" ht="15" customHeight="1" x14ac:dyDescent="0.2">
      <c r="B31" t="s">
        <v>92</v>
      </c>
      <c r="C31" s="12">
        <v>4</v>
      </c>
      <c r="D31" s="8">
        <v>3.85</v>
      </c>
      <c r="E31" s="12">
        <v>0</v>
      </c>
      <c r="F31" s="8">
        <v>0</v>
      </c>
      <c r="G31" s="12">
        <v>4</v>
      </c>
      <c r="H31" s="8">
        <v>6.78</v>
      </c>
      <c r="I31" s="12">
        <v>0</v>
      </c>
    </row>
    <row r="32" spans="2:9" ht="15" customHeight="1" x14ac:dyDescent="0.2">
      <c r="B32" t="s">
        <v>84</v>
      </c>
      <c r="C32" s="12">
        <v>3</v>
      </c>
      <c r="D32" s="8">
        <v>2.88</v>
      </c>
      <c r="E32" s="12">
        <v>0</v>
      </c>
      <c r="F32" s="8">
        <v>0</v>
      </c>
      <c r="G32" s="12">
        <v>3</v>
      </c>
      <c r="H32" s="8">
        <v>5.08</v>
      </c>
      <c r="I32" s="12">
        <v>0</v>
      </c>
    </row>
    <row r="33" spans="2:9" ht="15" customHeight="1" x14ac:dyDescent="0.2">
      <c r="B33" t="s">
        <v>114</v>
      </c>
      <c r="C33" s="12">
        <v>3</v>
      </c>
      <c r="D33" s="8">
        <v>2.88</v>
      </c>
      <c r="E33" s="12">
        <v>0</v>
      </c>
      <c r="F33" s="8">
        <v>0</v>
      </c>
      <c r="G33" s="12">
        <v>3</v>
      </c>
      <c r="H33" s="8">
        <v>5.08</v>
      </c>
      <c r="I33" s="12">
        <v>0</v>
      </c>
    </row>
    <row r="34" spans="2:9" ht="15" customHeight="1" x14ac:dyDescent="0.2">
      <c r="B34" t="s">
        <v>87</v>
      </c>
      <c r="C34" s="12">
        <v>3</v>
      </c>
      <c r="D34" s="8">
        <v>2.88</v>
      </c>
      <c r="E34" s="12">
        <v>0</v>
      </c>
      <c r="F34" s="8">
        <v>0</v>
      </c>
      <c r="G34" s="12">
        <v>3</v>
      </c>
      <c r="H34" s="8">
        <v>5.08</v>
      </c>
      <c r="I34" s="12">
        <v>0</v>
      </c>
    </row>
    <row r="35" spans="2:9" ht="15" customHeight="1" x14ac:dyDescent="0.2">
      <c r="B35" t="s">
        <v>90</v>
      </c>
      <c r="C35" s="12">
        <v>3</v>
      </c>
      <c r="D35" s="8">
        <v>2.88</v>
      </c>
      <c r="E35" s="12">
        <v>1</v>
      </c>
      <c r="F35" s="8">
        <v>2.27</v>
      </c>
      <c r="G35" s="12">
        <v>2</v>
      </c>
      <c r="H35" s="8">
        <v>3.39</v>
      </c>
      <c r="I35" s="12">
        <v>0</v>
      </c>
    </row>
    <row r="36" spans="2:9" ht="15" customHeight="1" x14ac:dyDescent="0.2">
      <c r="B36" t="s">
        <v>139</v>
      </c>
      <c r="C36" s="12">
        <v>3</v>
      </c>
      <c r="D36" s="8">
        <v>2.88</v>
      </c>
      <c r="E36" s="12">
        <v>0</v>
      </c>
      <c r="F36" s="8">
        <v>0</v>
      </c>
      <c r="G36" s="12">
        <v>3</v>
      </c>
      <c r="H36" s="8">
        <v>5.08</v>
      </c>
      <c r="I36" s="12">
        <v>0</v>
      </c>
    </row>
    <row r="37" spans="2:9" ht="15" customHeight="1" x14ac:dyDescent="0.2">
      <c r="B37" t="s">
        <v>116</v>
      </c>
      <c r="C37" s="12">
        <v>2</v>
      </c>
      <c r="D37" s="8">
        <v>1.92</v>
      </c>
      <c r="E37" s="12">
        <v>2</v>
      </c>
      <c r="F37" s="8">
        <v>4.55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112</v>
      </c>
      <c r="C38" s="12">
        <v>2</v>
      </c>
      <c r="D38" s="8">
        <v>1.92</v>
      </c>
      <c r="E38" s="12">
        <v>0</v>
      </c>
      <c r="F38" s="8">
        <v>0</v>
      </c>
      <c r="G38" s="12">
        <v>2</v>
      </c>
      <c r="H38" s="8">
        <v>3.39</v>
      </c>
      <c r="I38" s="12">
        <v>0</v>
      </c>
    </row>
    <row r="39" spans="2:9" ht="15" customHeight="1" x14ac:dyDescent="0.2">
      <c r="B39" t="s">
        <v>115</v>
      </c>
      <c r="C39" s="12">
        <v>2</v>
      </c>
      <c r="D39" s="8">
        <v>1.92</v>
      </c>
      <c r="E39" s="12">
        <v>0</v>
      </c>
      <c r="F39" s="8">
        <v>0</v>
      </c>
      <c r="G39" s="12">
        <v>2</v>
      </c>
      <c r="H39" s="8">
        <v>3.39</v>
      </c>
      <c r="I39" s="12">
        <v>0</v>
      </c>
    </row>
    <row r="40" spans="2:9" ht="15" customHeight="1" x14ac:dyDescent="0.2">
      <c r="B40" t="s">
        <v>93</v>
      </c>
      <c r="C40" s="12">
        <v>2</v>
      </c>
      <c r="D40" s="8">
        <v>1.92</v>
      </c>
      <c r="E40" s="12">
        <v>1</v>
      </c>
      <c r="F40" s="8">
        <v>2.27</v>
      </c>
      <c r="G40" s="12">
        <v>1</v>
      </c>
      <c r="H40" s="8">
        <v>1.69</v>
      </c>
      <c r="I40" s="12">
        <v>0</v>
      </c>
    </row>
    <row r="41" spans="2:9" ht="15" customHeight="1" x14ac:dyDescent="0.2">
      <c r="B41" t="s">
        <v>94</v>
      </c>
      <c r="C41" s="12">
        <v>2</v>
      </c>
      <c r="D41" s="8">
        <v>1.92</v>
      </c>
      <c r="E41" s="12">
        <v>0</v>
      </c>
      <c r="F41" s="8">
        <v>0</v>
      </c>
      <c r="G41" s="12">
        <v>2</v>
      </c>
      <c r="H41" s="8">
        <v>3.39</v>
      </c>
      <c r="I41" s="12">
        <v>0</v>
      </c>
    </row>
    <row r="42" spans="2:9" ht="15" customHeight="1" x14ac:dyDescent="0.2">
      <c r="B42" t="s">
        <v>98</v>
      </c>
      <c r="C42" s="12">
        <v>2</v>
      </c>
      <c r="D42" s="8">
        <v>1.92</v>
      </c>
      <c r="E42" s="12">
        <v>1</v>
      </c>
      <c r="F42" s="8">
        <v>2.27</v>
      </c>
      <c r="G42" s="12">
        <v>1</v>
      </c>
      <c r="H42" s="8">
        <v>1.69</v>
      </c>
      <c r="I42" s="12">
        <v>0</v>
      </c>
    </row>
    <row r="43" spans="2:9" ht="15" customHeight="1" x14ac:dyDescent="0.2">
      <c r="B43" t="s">
        <v>120</v>
      </c>
      <c r="C43" s="12">
        <v>2</v>
      </c>
      <c r="D43" s="8">
        <v>1.92</v>
      </c>
      <c r="E43" s="12">
        <v>0</v>
      </c>
      <c r="F43" s="8">
        <v>0</v>
      </c>
      <c r="G43" s="12">
        <v>1</v>
      </c>
      <c r="H43" s="8">
        <v>1.69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158</v>
      </c>
      <c r="C47" s="12">
        <v>6</v>
      </c>
      <c r="D47" s="8">
        <v>5.77</v>
      </c>
      <c r="E47" s="12">
        <v>0</v>
      </c>
      <c r="F47" s="8">
        <v>0</v>
      </c>
      <c r="G47" s="12">
        <v>6</v>
      </c>
      <c r="H47" s="8">
        <v>10.17</v>
      </c>
      <c r="I47" s="12">
        <v>0</v>
      </c>
    </row>
    <row r="48" spans="2:9" ht="15" customHeight="1" x14ac:dyDescent="0.2">
      <c r="B48" t="s">
        <v>174</v>
      </c>
      <c r="C48" s="12">
        <v>6</v>
      </c>
      <c r="D48" s="8">
        <v>5.77</v>
      </c>
      <c r="E48" s="12">
        <v>6</v>
      </c>
      <c r="F48" s="8">
        <v>13.64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160</v>
      </c>
      <c r="C49" s="12">
        <v>4</v>
      </c>
      <c r="D49" s="8">
        <v>3.85</v>
      </c>
      <c r="E49" s="12">
        <v>4</v>
      </c>
      <c r="F49" s="8">
        <v>9.09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181</v>
      </c>
      <c r="C50" s="12">
        <v>4</v>
      </c>
      <c r="D50" s="8">
        <v>3.85</v>
      </c>
      <c r="E50" s="12">
        <v>4</v>
      </c>
      <c r="F50" s="8">
        <v>9.09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287</v>
      </c>
      <c r="C51" s="12">
        <v>3</v>
      </c>
      <c r="D51" s="8">
        <v>2.88</v>
      </c>
      <c r="E51" s="12">
        <v>0</v>
      </c>
      <c r="F51" s="8">
        <v>0</v>
      </c>
      <c r="G51" s="12">
        <v>3</v>
      </c>
      <c r="H51" s="8">
        <v>5.08</v>
      </c>
      <c r="I51" s="12">
        <v>0</v>
      </c>
    </row>
    <row r="52" spans="2:9" ht="15" customHeight="1" x14ac:dyDescent="0.2">
      <c r="B52" t="s">
        <v>188</v>
      </c>
      <c r="C52" s="12">
        <v>3</v>
      </c>
      <c r="D52" s="8">
        <v>2.88</v>
      </c>
      <c r="E52" s="12">
        <v>1</v>
      </c>
      <c r="F52" s="8">
        <v>2.27</v>
      </c>
      <c r="G52" s="12">
        <v>2</v>
      </c>
      <c r="H52" s="8">
        <v>3.39</v>
      </c>
      <c r="I52" s="12">
        <v>0</v>
      </c>
    </row>
    <row r="53" spans="2:9" ht="15" customHeight="1" x14ac:dyDescent="0.2">
      <c r="B53" t="s">
        <v>310</v>
      </c>
      <c r="C53" s="12">
        <v>3</v>
      </c>
      <c r="D53" s="8">
        <v>2.88</v>
      </c>
      <c r="E53" s="12">
        <v>0</v>
      </c>
      <c r="F53" s="8">
        <v>0</v>
      </c>
      <c r="G53" s="12">
        <v>3</v>
      </c>
      <c r="H53" s="8">
        <v>5.08</v>
      </c>
      <c r="I53" s="12">
        <v>0</v>
      </c>
    </row>
    <row r="54" spans="2:9" ht="15" customHeight="1" x14ac:dyDescent="0.2">
      <c r="B54" t="s">
        <v>178</v>
      </c>
      <c r="C54" s="12">
        <v>3</v>
      </c>
      <c r="D54" s="8">
        <v>2.88</v>
      </c>
      <c r="E54" s="12">
        <v>3</v>
      </c>
      <c r="F54" s="8">
        <v>6.82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208</v>
      </c>
      <c r="C55" s="12">
        <v>3</v>
      </c>
      <c r="D55" s="8">
        <v>2.88</v>
      </c>
      <c r="E55" s="12">
        <v>1</v>
      </c>
      <c r="F55" s="8">
        <v>2.27</v>
      </c>
      <c r="G55" s="12">
        <v>2</v>
      </c>
      <c r="H55" s="8">
        <v>3.39</v>
      </c>
      <c r="I55" s="12">
        <v>0</v>
      </c>
    </row>
    <row r="56" spans="2:9" ht="15" customHeight="1" x14ac:dyDescent="0.2">
      <c r="B56" t="s">
        <v>311</v>
      </c>
      <c r="C56" s="12">
        <v>3</v>
      </c>
      <c r="D56" s="8">
        <v>2.88</v>
      </c>
      <c r="E56" s="12">
        <v>0</v>
      </c>
      <c r="F56" s="8">
        <v>0</v>
      </c>
      <c r="G56" s="12">
        <v>3</v>
      </c>
      <c r="H56" s="8">
        <v>5.08</v>
      </c>
      <c r="I56" s="12">
        <v>0</v>
      </c>
    </row>
    <row r="57" spans="2:9" ht="15" customHeight="1" x14ac:dyDescent="0.2">
      <c r="B57" t="s">
        <v>173</v>
      </c>
      <c r="C57" s="12">
        <v>3</v>
      </c>
      <c r="D57" s="8">
        <v>2.88</v>
      </c>
      <c r="E57" s="12">
        <v>3</v>
      </c>
      <c r="F57" s="8">
        <v>6.82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198</v>
      </c>
      <c r="C58" s="12">
        <v>2</v>
      </c>
      <c r="D58" s="8">
        <v>1.92</v>
      </c>
      <c r="E58" s="12">
        <v>1</v>
      </c>
      <c r="F58" s="8">
        <v>2.27</v>
      </c>
      <c r="G58" s="12">
        <v>1</v>
      </c>
      <c r="H58" s="8">
        <v>1.69</v>
      </c>
      <c r="I58" s="12">
        <v>0</v>
      </c>
    </row>
    <row r="59" spans="2:9" ht="15" customHeight="1" x14ac:dyDescent="0.2">
      <c r="B59" t="s">
        <v>196</v>
      </c>
      <c r="C59" s="12">
        <v>2</v>
      </c>
      <c r="D59" s="8">
        <v>1.92</v>
      </c>
      <c r="E59" s="12">
        <v>0</v>
      </c>
      <c r="F59" s="8">
        <v>0</v>
      </c>
      <c r="G59" s="12">
        <v>2</v>
      </c>
      <c r="H59" s="8">
        <v>3.39</v>
      </c>
      <c r="I59" s="12">
        <v>0</v>
      </c>
    </row>
    <row r="60" spans="2:9" ht="15" customHeight="1" x14ac:dyDescent="0.2">
      <c r="B60" t="s">
        <v>309</v>
      </c>
      <c r="C60" s="12">
        <v>2</v>
      </c>
      <c r="D60" s="8">
        <v>1.92</v>
      </c>
      <c r="E60" s="12">
        <v>0</v>
      </c>
      <c r="F60" s="8">
        <v>0</v>
      </c>
      <c r="G60" s="12">
        <v>2</v>
      </c>
      <c r="H60" s="8">
        <v>3.39</v>
      </c>
      <c r="I60" s="12">
        <v>0</v>
      </c>
    </row>
    <row r="61" spans="2:9" ht="15" customHeight="1" x14ac:dyDescent="0.2">
      <c r="B61" t="s">
        <v>273</v>
      </c>
      <c r="C61" s="12">
        <v>2</v>
      </c>
      <c r="D61" s="8">
        <v>1.92</v>
      </c>
      <c r="E61" s="12">
        <v>2</v>
      </c>
      <c r="F61" s="8">
        <v>4.55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164</v>
      </c>
      <c r="C62" s="12">
        <v>2</v>
      </c>
      <c r="D62" s="8">
        <v>1.92</v>
      </c>
      <c r="E62" s="12">
        <v>0</v>
      </c>
      <c r="F62" s="8">
        <v>0</v>
      </c>
      <c r="G62" s="12">
        <v>2</v>
      </c>
      <c r="H62" s="8">
        <v>3.39</v>
      </c>
      <c r="I62" s="12">
        <v>0</v>
      </c>
    </row>
    <row r="63" spans="2:9" ht="15" customHeight="1" x14ac:dyDescent="0.2">
      <c r="B63" t="s">
        <v>210</v>
      </c>
      <c r="C63" s="12">
        <v>2</v>
      </c>
      <c r="D63" s="8">
        <v>1.92</v>
      </c>
      <c r="E63" s="12">
        <v>2</v>
      </c>
      <c r="F63" s="8">
        <v>4.55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165</v>
      </c>
      <c r="C64" s="12">
        <v>2</v>
      </c>
      <c r="D64" s="8">
        <v>1.92</v>
      </c>
      <c r="E64" s="12">
        <v>1</v>
      </c>
      <c r="F64" s="8">
        <v>2.27</v>
      </c>
      <c r="G64" s="12">
        <v>1</v>
      </c>
      <c r="H64" s="8">
        <v>1.69</v>
      </c>
      <c r="I64" s="12">
        <v>0</v>
      </c>
    </row>
    <row r="65" spans="2:9" ht="15" customHeight="1" x14ac:dyDescent="0.2">
      <c r="B65" t="s">
        <v>166</v>
      </c>
      <c r="C65" s="12">
        <v>2</v>
      </c>
      <c r="D65" s="8">
        <v>1.92</v>
      </c>
      <c r="E65" s="12">
        <v>1</v>
      </c>
      <c r="F65" s="8">
        <v>2.27</v>
      </c>
      <c r="G65" s="12">
        <v>1</v>
      </c>
      <c r="H65" s="8">
        <v>1.69</v>
      </c>
      <c r="I65" s="12">
        <v>0</v>
      </c>
    </row>
    <row r="66" spans="2:9" ht="15" customHeight="1" x14ac:dyDescent="0.2">
      <c r="B66" t="s">
        <v>167</v>
      </c>
      <c r="C66" s="12">
        <v>2</v>
      </c>
      <c r="D66" s="8">
        <v>1.92</v>
      </c>
      <c r="E66" s="12">
        <v>0</v>
      </c>
      <c r="F66" s="8">
        <v>0</v>
      </c>
      <c r="G66" s="12">
        <v>2</v>
      </c>
      <c r="H66" s="8">
        <v>3.39</v>
      </c>
      <c r="I66" s="12">
        <v>0</v>
      </c>
    </row>
    <row r="67" spans="2:9" ht="15" customHeight="1" x14ac:dyDescent="0.2">
      <c r="B67" t="s">
        <v>168</v>
      </c>
      <c r="C67" s="12">
        <v>2</v>
      </c>
      <c r="D67" s="8">
        <v>1.92</v>
      </c>
      <c r="E67" s="12">
        <v>0</v>
      </c>
      <c r="F67" s="8">
        <v>0</v>
      </c>
      <c r="G67" s="12">
        <v>2</v>
      </c>
      <c r="H67" s="8">
        <v>3.39</v>
      </c>
      <c r="I67" s="12">
        <v>0</v>
      </c>
    </row>
    <row r="68" spans="2:9" ht="15" customHeight="1" x14ac:dyDescent="0.2">
      <c r="B68" t="s">
        <v>169</v>
      </c>
      <c r="C68" s="12">
        <v>2</v>
      </c>
      <c r="D68" s="8">
        <v>1.92</v>
      </c>
      <c r="E68" s="12">
        <v>0</v>
      </c>
      <c r="F68" s="8">
        <v>0</v>
      </c>
      <c r="G68" s="12">
        <v>2</v>
      </c>
      <c r="H68" s="8">
        <v>3.39</v>
      </c>
      <c r="I68" s="12">
        <v>0</v>
      </c>
    </row>
    <row r="69" spans="2:9" ht="15" customHeight="1" x14ac:dyDescent="0.2">
      <c r="B69" t="s">
        <v>269</v>
      </c>
      <c r="C69" s="12">
        <v>2</v>
      </c>
      <c r="D69" s="8">
        <v>1.92</v>
      </c>
      <c r="E69" s="12">
        <v>1</v>
      </c>
      <c r="F69" s="8">
        <v>2.27</v>
      </c>
      <c r="G69" s="12">
        <v>1</v>
      </c>
      <c r="H69" s="8">
        <v>1.69</v>
      </c>
      <c r="I69" s="12">
        <v>0</v>
      </c>
    </row>
    <row r="70" spans="2:9" ht="15" customHeight="1" x14ac:dyDescent="0.2">
      <c r="B70" t="s">
        <v>206</v>
      </c>
      <c r="C70" s="12">
        <v>2</v>
      </c>
      <c r="D70" s="8">
        <v>1.92</v>
      </c>
      <c r="E70" s="12">
        <v>0</v>
      </c>
      <c r="F70" s="8">
        <v>0</v>
      </c>
      <c r="G70" s="12">
        <v>1</v>
      </c>
      <c r="H70" s="8">
        <v>1.69</v>
      </c>
      <c r="I70" s="12">
        <v>0</v>
      </c>
    </row>
    <row r="72" spans="2:9" ht="15" customHeight="1" x14ac:dyDescent="0.2">
      <c r="B7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1314-AE87-4AD5-8B9E-A19FEF23F0EA}">
  <sheetPr>
    <pageSetUpPr fitToPage="1"/>
  </sheetPr>
  <dimension ref="B2:I9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26</v>
      </c>
      <c r="D6" s="8">
        <v>39.39</v>
      </c>
      <c r="E6" s="12">
        <v>1</v>
      </c>
      <c r="F6" s="8">
        <v>14.29</v>
      </c>
      <c r="G6" s="12">
        <v>24</v>
      </c>
      <c r="H6" s="8">
        <v>42.11</v>
      </c>
      <c r="I6" s="12">
        <v>1</v>
      </c>
    </row>
    <row r="7" spans="2:9" ht="15" customHeight="1" x14ac:dyDescent="0.2">
      <c r="B7" t="s">
        <v>62</v>
      </c>
      <c r="C7" s="12">
        <v>3</v>
      </c>
      <c r="D7" s="8">
        <v>4.55</v>
      </c>
      <c r="E7" s="12">
        <v>0</v>
      </c>
      <c r="F7" s="8">
        <v>0</v>
      </c>
      <c r="G7" s="12">
        <v>3</v>
      </c>
      <c r="H7" s="8">
        <v>5.26</v>
      </c>
      <c r="I7" s="12">
        <v>0</v>
      </c>
    </row>
    <row r="8" spans="2:9" ht="15" customHeight="1" x14ac:dyDescent="0.2">
      <c r="B8" t="s">
        <v>63</v>
      </c>
      <c r="C8" s="12">
        <v>1</v>
      </c>
      <c r="D8" s="8">
        <v>1.52</v>
      </c>
      <c r="E8" s="12">
        <v>0</v>
      </c>
      <c r="F8" s="8">
        <v>0</v>
      </c>
      <c r="G8" s="12">
        <v>1</v>
      </c>
      <c r="H8" s="8">
        <v>1.75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3.03</v>
      </c>
      <c r="E9" s="12">
        <v>0</v>
      </c>
      <c r="F9" s="8">
        <v>0</v>
      </c>
      <c r="G9" s="12">
        <v>2</v>
      </c>
      <c r="H9" s="8">
        <v>3.51</v>
      </c>
      <c r="I9" s="12">
        <v>0</v>
      </c>
    </row>
    <row r="10" spans="2:9" ht="15" customHeight="1" x14ac:dyDescent="0.2">
      <c r="B10" t="s">
        <v>65</v>
      </c>
      <c r="C10" s="12">
        <v>2</v>
      </c>
      <c r="D10" s="8">
        <v>3.03</v>
      </c>
      <c r="E10" s="12">
        <v>0</v>
      </c>
      <c r="F10" s="8">
        <v>0</v>
      </c>
      <c r="G10" s="12">
        <v>2</v>
      </c>
      <c r="H10" s="8">
        <v>3.51</v>
      </c>
      <c r="I10" s="12">
        <v>0</v>
      </c>
    </row>
    <row r="11" spans="2:9" ht="15" customHeight="1" x14ac:dyDescent="0.2">
      <c r="B11" t="s">
        <v>66</v>
      </c>
      <c r="C11" s="12">
        <v>8</v>
      </c>
      <c r="D11" s="8">
        <v>12.12</v>
      </c>
      <c r="E11" s="12">
        <v>0</v>
      </c>
      <c r="F11" s="8">
        <v>0</v>
      </c>
      <c r="G11" s="12">
        <v>8</v>
      </c>
      <c r="H11" s="8">
        <v>14.04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3</v>
      </c>
      <c r="D13" s="8">
        <v>4.55</v>
      </c>
      <c r="E13" s="12">
        <v>0</v>
      </c>
      <c r="F13" s="8">
        <v>0</v>
      </c>
      <c r="G13" s="12">
        <v>3</v>
      </c>
      <c r="H13" s="8">
        <v>5.26</v>
      </c>
      <c r="I13" s="12">
        <v>0</v>
      </c>
    </row>
    <row r="14" spans="2:9" ht="15" customHeight="1" x14ac:dyDescent="0.2">
      <c r="B14" t="s">
        <v>69</v>
      </c>
      <c r="C14" s="12">
        <v>6</v>
      </c>
      <c r="D14" s="8">
        <v>9.09</v>
      </c>
      <c r="E14" s="12">
        <v>1</v>
      </c>
      <c r="F14" s="8">
        <v>14.29</v>
      </c>
      <c r="G14" s="12">
        <v>5</v>
      </c>
      <c r="H14" s="8">
        <v>8.77</v>
      </c>
      <c r="I14" s="12">
        <v>0</v>
      </c>
    </row>
    <row r="15" spans="2:9" ht="15" customHeight="1" x14ac:dyDescent="0.2">
      <c r="B15" t="s">
        <v>70</v>
      </c>
      <c r="C15" s="12">
        <v>3</v>
      </c>
      <c r="D15" s="8">
        <v>4.55</v>
      </c>
      <c r="E15" s="12">
        <v>2</v>
      </c>
      <c r="F15" s="8">
        <v>28.57</v>
      </c>
      <c r="G15" s="12">
        <v>1</v>
      </c>
      <c r="H15" s="8">
        <v>1.75</v>
      </c>
      <c r="I15" s="12">
        <v>0</v>
      </c>
    </row>
    <row r="16" spans="2:9" ht="15" customHeight="1" x14ac:dyDescent="0.2">
      <c r="B16" t="s">
        <v>71</v>
      </c>
      <c r="C16" s="12">
        <v>3</v>
      </c>
      <c r="D16" s="8">
        <v>4.55</v>
      </c>
      <c r="E16" s="12">
        <v>1</v>
      </c>
      <c r="F16" s="8">
        <v>14.29</v>
      </c>
      <c r="G16" s="12">
        <v>2</v>
      </c>
      <c r="H16" s="8">
        <v>3.51</v>
      </c>
      <c r="I16" s="12">
        <v>0</v>
      </c>
    </row>
    <row r="17" spans="2:9" ht="15" customHeight="1" x14ac:dyDescent="0.2">
      <c r="B17" t="s">
        <v>72</v>
      </c>
      <c r="C17" s="12">
        <v>2</v>
      </c>
      <c r="D17" s="8">
        <v>3.03</v>
      </c>
      <c r="E17" s="12">
        <v>0</v>
      </c>
      <c r="F17" s="8">
        <v>0</v>
      </c>
      <c r="G17" s="12">
        <v>1</v>
      </c>
      <c r="H17" s="8">
        <v>1.75</v>
      </c>
      <c r="I17" s="12">
        <v>0</v>
      </c>
    </row>
    <row r="18" spans="2:9" ht="15" customHeight="1" x14ac:dyDescent="0.2">
      <c r="B18" t="s">
        <v>73</v>
      </c>
      <c r="C18" s="12">
        <v>2</v>
      </c>
      <c r="D18" s="8">
        <v>3.03</v>
      </c>
      <c r="E18" s="12">
        <v>2</v>
      </c>
      <c r="F18" s="8">
        <v>28.57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5</v>
      </c>
      <c r="D19" s="8">
        <v>7.58</v>
      </c>
      <c r="E19" s="12">
        <v>0</v>
      </c>
      <c r="F19" s="8">
        <v>0</v>
      </c>
      <c r="G19" s="12">
        <v>5</v>
      </c>
      <c r="H19" s="8">
        <v>8.77</v>
      </c>
      <c r="I19" s="12">
        <v>0</v>
      </c>
    </row>
    <row r="20" spans="2:9" ht="15" customHeight="1" x14ac:dyDescent="0.2">
      <c r="B20" s="9" t="s">
        <v>337</v>
      </c>
      <c r="C20" s="12">
        <f>SUM(LTBL_07543[総数／事業所数])</f>
        <v>66</v>
      </c>
      <c r="E20" s="12">
        <f>SUBTOTAL(109,LTBL_07543[個人／事業所数])</f>
        <v>7</v>
      </c>
      <c r="G20" s="12">
        <f>SUBTOTAL(109,LTBL_07543[法人／事業所数])</f>
        <v>57</v>
      </c>
      <c r="I20" s="12">
        <f>SUBTOTAL(109,LTBL_07543[法人以外の団体／事業所数])</f>
        <v>1</v>
      </c>
    </row>
    <row r="21" spans="2:9" ht="15" customHeight="1" x14ac:dyDescent="0.2">
      <c r="E21" s="11">
        <f>LTBL_07543[[#Totals],[個人／事業所数]]/LTBL_07543[[#Totals],[総数／事業所数]]</f>
        <v>0.10606060606060606</v>
      </c>
      <c r="G21" s="11">
        <f>LTBL_07543[[#Totals],[法人／事業所数]]/LTBL_07543[[#Totals],[総数／事業所数]]</f>
        <v>0.86363636363636365</v>
      </c>
      <c r="I21" s="11">
        <f>LTBL_07543[[#Totals],[法人以外の団体／事業所数]]/LTBL_07543[[#Totals],[総数／事業所数]]</f>
        <v>1.5151515151515152E-2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10</v>
      </c>
      <c r="D24" s="8">
        <v>15.15</v>
      </c>
      <c r="E24" s="12">
        <v>0</v>
      </c>
      <c r="F24" s="8">
        <v>0</v>
      </c>
      <c r="G24" s="12">
        <v>9</v>
      </c>
      <c r="H24" s="8">
        <v>15.79</v>
      </c>
      <c r="I24" s="12">
        <v>1</v>
      </c>
    </row>
    <row r="25" spans="2:9" ht="15" customHeight="1" x14ac:dyDescent="0.2">
      <c r="B25" t="s">
        <v>84</v>
      </c>
      <c r="C25" s="12">
        <v>8</v>
      </c>
      <c r="D25" s="8">
        <v>12.12</v>
      </c>
      <c r="E25" s="12">
        <v>1</v>
      </c>
      <c r="F25" s="8">
        <v>14.29</v>
      </c>
      <c r="G25" s="12">
        <v>7</v>
      </c>
      <c r="H25" s="8">
        <v>12.28</v>
      </c>
      <c r="I25" s="12">
        <v>0</v>
      </c>
    </row>
    <row r="26" spans="2:9" ht="15" customHeight="1" x14ac:dyDescent="0.2">
      <c r="B26" t="s">
        <v>85</v>
      </c>
      <c r="C26" s="12">
        <v>8</v>
      </c>
      <c r="D26" s="8">
        <v>12.12</v>
      </c>
      <c r="E26" s="12">
        <v>0</v>
      </c>
      <c r="F26" s="8">
        <v>0</v>
      </c>
      <c r="G26" s="12">
        <v>8</v>
      </c>
      <c r="H26" s="8">
        <v>14.04</v>
      </c>
      <c r="I26" s="12">
        <v>0</v>
      </c>
    </row>
    <row r="27" spans="2:9" ht="15" customHeight="1" x14ac:dyDescent="0.2">
      <c r="B27" t="s">
        <v>94</v>
      </c>
      <c r="C27" s="12">
        <v>5</v>
      </c>
      <c r="D27" s="8">
        <v>7.58</v>
      </c>
      <c r="E27" s="12">
        <v>0</v>
      </c>
      <c r="F27" s="8">
        <v>0</v>
      </c>
      <c r="G27" s="12">
        <v>5</v>
      </c>
      <c r="H27" s="8">
        <v>8.77</v>
      </c>
      <c r="I27" s="12">
        <v>0</v>
      </c>
    </row>
    <row r="28" spans="2:9" ht="15" customHeight="1" x14ac:dyDescent="0.2">
      <c r="B28" t="s">
        <v>91</v>
      </c>
      <c r="C28" s="12">
        <v>4</v>
      </c>
      <c r="D28" s="8">
        <v>6.06</v>
      </c>
      <c r="E28" s="12">
        <v>0</v>
      </c>
      <c r="F28" s="8">
        <v>0</v>
      </c>
      <c r="G28" s="12">
        <v>4</v>
      </c>
      <c r="H28" s="8">
        <v>7.02</v>
      </c>
      <c r="I28" s="12">
        <v>0</v>
      </c>
    </row>
    <row r="29" spans="2:9" ht="15" customHeight="1" x14ac:dyDescent="0.2">
      <c r="B29" t="s">
        <v>86</v>
      </c>
      <c r="C29" s="12">
        <v>3</v>
      </c>
      <c r="D29" s="8">
        <v>4.55</v>
      </c>
      <c r="E29" s="12">
        <v>0</v>
      </c>
      <c r="F29" s="8">
        <v>0</v>
      </c>
      <c r="G29" s="12">
        <v>3</v>
      </c>
      <c r="H29" s="8">
        <v>5.26</v>
      </c>
      <c r="I29" s="12">
        <v>0</v>
      </c>
    </row>
    <row r="30" spans="2:9" ht="15" customHeight="1" x14ac:dyDescent="0.2">
      <c r="B30" t="s">
        <v>155</v>
      </c>
      <c r="C30" s="12">
        <v>2</v>
      </c>
      <c r="D30" s="8">
        <v>3.03</v>
      </c>
      <c r="E30" s="12">
        <v>0</v>
      </c>
      <c r="F30" s="8">
        <v>0</v>
      </c>
      <c r="G30" s="12">
        <v>2</v>
      </c>
      <c r="H30" s="8">
        <v>3.51</v>
      </c>
      <c r="I30" s="12">
        <v>0</v>
      </c>
    </row>
    <row r="31" spans="2:9" ht="15" customHeight="1" x14ac:dyDescent="0.2">
      <c r="B31" t="s">
        <v>139</v>
      </c>
      <c r="C31" s="12">
        <v>2</v>
      </c>
      <c r="D31" s="8">
        <v>3.03</v>
      </c>
      <c r="E31" s="12">
        <v>0</v>
      </c>
      <c r="F31" s="8">
        <v>0</v>
      </c>
      <c r="G31" s="12">
        <v>2</v>
      </c>
      <c r="H31" s="8">
        <v>3.51</v>
      </c>
      <c r="I31" s="12">
        <v>0</v>
      </c>
    </row>
    <row r="32" spans="2:9" ht="15" customHeight="1" x14ac:dyDescent="0.2">
      <c r="B32" t="s">
        <v>97</v>
      </c>
      <c r="C32" s="12">
        <v>2</v>
      </c>
      <c r="D32" s="8">
        <v>3.03</v>
      </c>
      <c r="E32" s="12">
        <v>1</v>
      </c>
      <c r="F32" s="8">
        <v>14.29</v>
      </c>
      <c r="G32" s="12">
        <v>1</v>
      </c>
      <c r="H32" s="8">
        <v>1.75</v>
      </c>
      <c r="I32" s="12">
        <v>0</v>
      </c>
    </row>
    <row r="33" spans="2:9" ht="15" customHeight="1" x14ac:dyDescent="0.2">
      <c r="B33" t="s">
        <v>99</v>
      </c>
      <c r="C33" s="12">
        <v>2</v>
      </c>
      <c r="D33" s="8">
        <v>3.03</v>
      </c>
      <c r="E33" s="12">
        <v>0</v>
      </c>
      <c r="F33" s="8">
        <v>0</v>
      </c>
      <c r="G33" s="12">
        <v>1</v>
      </c>
      <c r="H33" s="8">
        <v>1.75</v>
      </c>
      <c r="I33" s="12">
        <v>0</v>
      </c>
    </row>
    <row r="34" spans="2:9" ht="15" customHeight="1" x14ac:dyDescent="0.2">
      <c r="B34" t="s">
        <v>100</v>
      </c>
      <c r="C34" s="12">
        <v>2</v>
      </c>
      <c r="D34" s="8">
        <v>3.03</v>
      </c>
      <c r="E34" s="12">
        <v>2</v>
      </c>
      <c r="F34" s="8">
        <v>28.57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108</v>
      </c>
      <c r="C35" s="12">
        <v>2</v>
      </c>
      <c r="D35" s="8">
        <v>3.03</v>
      </c>
      <c r="E35" s="12">
        <v>0</v>
      </c>
      <c r="F35" s="8">
        <v>0</v>
      </c>
      <c r="G35" s="12">
        <v>2</v>
      </c>
      <c r="H35" s="8">
        <v>3.51</v>
      </c>
      <c r="I35" s="12">
        <v>0</v>
      </c>
    </row>
    <row r="36" spans="2:9" ht="15" customHeight="1" x14ac:dyDescent="0.2">
      <c r="B36" t="s">
        <v>112</v>
      </c>
      <c r="C36" s="12">
        <v>1</v>
      </c>
      <c r="D36" s="8">
        <v>1.52</v>
      </c>
      <c r="E36" s="12">
        <v>0</v>
      </c>
      <c r="F36" s="8">
        <v>0</v>
      </c>
      <c r="G36" s="12">
        <v>1</v>
      </c>
      <c r="H36" s="8">
        <v>1.75</v>
      </c>
      <c r="I36" s="12">
        <v>0</v>
      </c>
    </row>
    <row r="37" spans="2:9" ht="15" customHeight="1" x14ac:dyDescent="0.2">
      <c r="B37" t="s">
        <v>115</v>
      </c>
      <c r="C37" s="12">
        <v>1</v>
      </c>
      <c r="D37" s="8">
        <v>1.52</v>
      </c>
      <c r="E37" s="12">
        <v>0</v>
      </c>
      <c r="F37" s="8">
        <v>0</v>
      </c>
      <c r="G37" s="12">
        <v>1</v>
      </c>
      <c r="H37" s="8">
        <v>1.75</v>
      </c>
      <c r="I37" s="12">
        <v>0</v>
      </c>
    </row>
    <row r="38" spans="2:9" ht="15" customHeight="1" x14ac:dyDescent="0.2">
      <c r="B38" t="s">
        <v>114</v>
      </c>
      <c r="C38" s="12">
        <v>1</v>
      </c>
      <c r="D38" s="8">
        <v>1.52</v>
      </c>
      <c r="E38" s="12">
        <v>0</v>
      </c>
      <c r="F38" s="8">
        <v>0</v>
      </c>
      <c r="G38" s="12">
        <v>1</v>
      </c>
      <c r="H38" s="8">
        <v>1.75</v>
      </c>
      <c r="I38" s="12">
        <v>0</v>
      </c>
    </row>
    <row r="39" spans="2:9" ht="15" customHeight="1" x14ac:dyDescent="0.2">
      <c r="B39" t="s">
        <v>145</v>
      </c>
      <c r="C39" s="12">
        <v>1</v>
      </c>
      <c r="D39" s="8">
        <v>1.52</v>
      </c>
      <c r="E39" s="12">
        <v>0</v>
      </c>
      <c r="F39" s="8">
        <v>0</v>
      </c>
      <c r="G39" s="12">
        <v>1</v>
      </c>
      <c r="H39" s="8">
        <v>1.75</v>
      </c>
      <c r="I39" s="12">
        <v>0</v>
      </c>
    </row>
    <row r="40" spans="2:9" ht="15" customHeight="1" x14ac:dyDescent="0.2">
      <c r="B40" t="s">
        <v>136</v>
      </c>
      <c r="C40" s="12">
        <v>1</v>
      </c>
      <c r="D40" s="8">
        <v>1.52</v>
      </c>
      <c r="E40" s="12">
        <v>0</v>
      </c>
      <c r="F40" s="8">
        <v>0</v>
      </c>
      <c r="G40" s="12">
        <v>1</v>
      </c>
      <c r="H40" s="8">
        <v>1.75</v>
      </c>
      <c r="I40" s="12">
        <v>0</v>
      </c>
    </row>
    <row r="41" spans="2:9" ht="15" customHeight="1" x14ac:dyDescent="0.2">
      <c r="B41" t="s">
        <v>152</v>
      </c>
      <c r="C41" s="12">
        <v>1</v>
      </c>
      <c r="D41" s="8">
        <v>1.52</v>
      </c>
      <c r="E41" s="12">
        <v>0</v>
      </c>
      <c r="F41" s="8">
        <v>0</v>
      </c>
      <c r="G41" s="12">
        <v>1</v>
      </c>
      <c r="H41" s="8">
        <v>1.75</v>
      </c>
      <c r="I41" s="12">
        <v>0</v>
      </c>
    </row>
    <row r="42" spans="2:9" ht="15" customHeight="1" x14ac:dyDescent="0.2">
      <c r="B42" t="s">
        <v>103</v>
      </c>
      <c r="C42" s="12">
        <v>1</v>
      </c>
      <c r="D42" s="8">
        <v>1.52</v>
      </c>
      <c r="E42" s="12">
        <v>0</v>
      </c>
      <c r="F42" s="8">
        <v>0</v>
      </c>
      <c r="G42" s="12">
        <v>1</v>
      </c>
      <c r="H42" s="8">
        <v>1.75</v>
      </c>
      <c r="I42" s="12">
        <v>0</v>
      </c>
    </row>
    <row r="43" spans="2:9" ht="15" customHeight="1" x14ac:dyDescent="0.2">
      <c r="B43" t="s">
        <v>104</v>
      </c>
      <c r="C43" s="12">
        <v>1</v>
      </c>
      <c r="D43" s="8">
        <v>1.52</v>
      </c>
      <c r="E43" s="12">
        <v>0</v>
      </c>
      <c r="F43" s="8">
        <v>0</v>
      </c>
      <c r="G43" s="12">
        <v>1</v>
      </c>
      <c r="H43" s="8">
        <v>1.75</v>
      </c>
      <c r="I43" s="12">
        <v>0</v>
      </c>
    </row>
    <row r="44" spans="2:9" ht="15" customHeight="1" x14ac:dyDescent="0.2">
      <c r="B44" t="s">
        <v>93</v>
      </c>
      <c r="C44" s="12">
        <v>1</v>
      </c>
      <c r="D44" s="8">
        <v>1.52</v>
      </c>
      <c r="E44" s="12">
        <v>1</v>
      </c>
      <c r="F44" s="8">
        <v>14.29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95</v>
      </c>
      <c r="C45" s="12">
        <v>1</v>
      </c>
      <c r="D45" s="8">
        <v>1.52</v>
      </c>
      <c r="E45" s="12">
        <v>1</v>
      </c>
      <c r="F45" s="8">
        <v>14.29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96</v>
      </c>
      <c r="C46" s="12">
        <v>1</v>
      </c>
      <c r="D46" s="8">
        <v>1.52</v>
      </c>
      <c r="E46" s="12">
        <v>1</v>
      </c>
      <c r="F46" s="8">
        <v>14.29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113</v>
      </c>
      <c r="C47" s="12">
        <v>1</v>
      </c>
      <c r="D47" s="8">
        <v>1.52</v>
      </c>
      <c r="E47" s="12">
        <v>0</v>
      </c>
      <c r="F47" s="8">
        <v>0</v>
      </c>
      <c r="G47" s="12">
        <v>1</v>
      </c>
      <c r="H47" s="8">
        <v>1.75</v>
      </c>
      <c r="I47" s="12">
        <v>0</v>
      </c>
    </row>
    <row r="48" spans="2:9" ht="15" customHeight="1" x14ac:dyDescent="0.2">
      <c r="B48" t="s">
        <v>98</v>
      </c>
      <c r="C48" s="12">
        <v>1</v>
      </c>
      <c r="D48" s="8">
        <v>1.52</v>
      </c>
      <c r="E48" s="12">
        <v>0</v>
      </c>
      <c r="F48" s="8">
        <v>0</v>
      </c>
      <c r="G48" s="12">
        <v>1</v>
      </c>
      <c r="H48" s="8">
        <v>1.75</v>
      </c>
      <c r="I48" s="12">
        <v>0</v>
      </c>
    </row>
    <row r="49" spans="2:9" ht="15" customHeight="1" x14ac:dyDescent="0.2">
      <c r="B49" t="s">
        <v>120</v>
      </c>
      <c r="C49" s="12">
        <v>1</v>
      </c>
      <c r="D49" s="8">
        <v>1.52</v>
      </c>
      <c r="E49" s="12">
        <v>0</v>
      </c>
      <c r="F49" s="8">
        <v>0</v>
      </c>
      <c r="G49" s="12">
        <v>1</v>
      </c>
      <c r="H49" s="8">
        <v>1.75</v>
      </c>
      <c r="I49" s="12">
        <v>0</v>
      </c>
    </row>
    <row r="50" spans="2:9" ht="15" customHeight="1" x14ac:dyDescent="0.2">
      <c r="B50" t="s">
        <v>102</v>
      </c>
      <c r="C50" s="12">
        <v>1</v>
      </c>
      <c r="D50" s="8">
        <v>1.52</v>
      </c>
      <c r="E50" s="12">
        <v>0</v>
      </c>
      <c r="F50" s="8">
        <v>0</v>
      </c>
      <c r="G50" s="12">
        <v>1</v>
      </c>
      <c r="H50" s="8">
        <v>1.75</v>
      </c>
      <c r="I50" s="12">
        <v>0</v>
      </c>
    </row>
    <row r="51" spans="2:9" ht="15" customHeight="1" x14ac:dyDescent="0.2">
      <c r="B51" t="s">
        <v>123</v>
      </c>
      <c r="C51" s="12">
        <v>1</v>
      </c>
      <c r="D51" s="8">
        <v>1.52</v>
      </c>
      <c r="E51" s="12">
        <v>0</v>
      </c>
      <c r="F51" s="8">
        <v>0</v>
      </c>
      <c r="G51" s="12">
        <v>1</v>
      </c>
      <c r="H51" s="8">
        <v>1.75</v>
      </c>
      <c r="I51" s="12">
        <v>0</v>
      </c>
    </row>
    <row r="54" spans="2:9" ht="33" customHeight="1" x14ac:dyDescent="0.2">
      <c r="B54" t="s">
        <v>339</v>
      </c>
      <c r="C54" s="10" t="s">
        <v>76</v>
      </c>
      <c r="D54" s="10" t="s">
        <v>77</v>
      </c>
      <c r="E54" s="10" t="s">
        <v>78</v>
      </c>
      <c r="F54" s="10" t="s">
        <v>79</v>
      </c>
      <c r="G54" s="10" t="s">
        <v>80</v>
      </c>
      <c r="H54" s="10" t="s">
        <v>81</v>
      </c>
      <c r="I54" s="10" t="s">
        <v>82</v>
      </c>
    </row>
    <row r="55" spans="2:9" ht="15" customHeight="1" x14ac:dyDescent="0.2">
      <c r="B55" t="s">
        <v>158</v>
      </c>
      <c r="C55" s="12">
        <v>8</v>
      </c>
      <c r="D55" s="8">
        <v>12.12</v>
      </c>
      <c r="E55" s="12">
        <v>0</v>
      </c>
      <c r="F55" s="8">
        <v>0</v>
      </c>
      <c r="G55" s="12">
        <v>7</v>
      </c>
      <c r="H55" s="8">
        <v>12.28</v>
      </c>
      <c r="I55" s="12">
        <v>1</v>
      </c>
    </row>
    <row r="56" spans="2:9" ht="15" customHeight="1" x14ac:dyDescent="0.2">
      <c r="B56" t="s">
        <v>187</v>
      </c>
      <c r="C56" s="12">
        <v>4</v>
      </c>
      <c r="D56" s="8">
        <v>6.06</v>
      </c>
      <c r="E56" s="12">
        <v>0</v>
      </c>
      <c r="F56" s="8">
        <v>0</v>
      </c>
      <c r="G56" s="12">
        <v>4</v>
      </c>
      <c r="H56" s="8">
        <v>7.02</v>
      </c>
      <c r="I56" s="12">
        <v>0</v>
      </c>
    </row>
    <row r="57" spans="2:9" ht="15" customHeight="1" x14ac:dyDescent="0.2">
      <c r="B57" t="s">
        <v>162</v>
      </c>
      <c r="C57" s="12">
        <v>3</v>
      </c>
      <c r="D57" s="8">
        <v>4.55</v>
      </c>
      <c r="E57" s="12">
        <v>0</v>
      </c>
      <c r="F57" s="8">
        <v>0</v>
      </c>
      <c r="G57" s="12">
        <v>3</v>
      </c>
      <c r="H57" s="8">
        <v>5.26</v>
      </c>
      <c r="I57" s="12">
        <v>0</v>
      </c>
    </row>
    <row r="58" spans="2:9" ht="15" customHeight="1" x14ac:dyDescent="0.2">
      <c r="B58" t="s">
        <v>188</v>
      </c>
      <c r="C58" s="12">
        <v>3</v>
      </c>
      <c r="D58" s="8">
        <v>4.55</v>
      </c>
      <c r="E58" s="12">
        <v>0</v>
      </c>
      <c r="F58" s="8">
        <v>0</v>
      </c>
      <c r="G58" s="12">
        <v>3</v>
      </c>
      <c r="H58" s="8">
        <v>5.26</v>
      </c>
      <c r="I58" s="12">
        <v>0</v>
      </c>
    </row>
    <row r="59" spans="2:9" ht="15" customHeight="1" x14ac:dyDescent="0.2">
      <c r="B59" t="s">
        <v>319</v>
      </c>
      <c r="C59" s="12">
        <v>3</v>
      </c>
      <c r="D59" s="8">
        <v>4.55</v>
      </c>
      <c r="E59" s="12">
        <v>0</v>
      </c>
      <c r="F59" s="8">
        <v>0</v>
      </c>
      <c r="G59" s="12">
        <v>3</v>
      </c>
      <c r="H59" s="8">
        <v>5.26</v>
      </c>
      <c r="I59" s="12">
        <v>0</v>
      </c>
    </row>
    <row r="60" spans="2:9" ht="15" customHeight="1" x14ac:dyDescent="0.2">
      <c r="B60" t="s">
        <v>287</v>
      </c>
      <c r="C60" s="12">
        <v>2</v>
      </c>
      <c r="D60" s="8">
        <v>3.03</v>
      </c>
      <c r="E60" s="12">
        <v>0</v>
      </c>
      <c r="F60" s="8">
        <v>0</v>
      </c>
      <c r="G60" s="12">
        <v>2</v>
      </c>
      <c r="H60" s="8">
        <v>3.51</v>
      </c>
      <c r="I60" s="12">
        <v>0</v>
      </c>
    </row>
    <row r="61" spans="2:9" ht="15" customHeight="1" x14ac:dyDescent="0.2">
      <c r="B61" t="s">
        <v>202</v>
      </c>
      <c r="C61" s="12">
        <v>2</v>
      </c>
      <c r="D61" s="8">
        <v>3.03</v>
      </c>
      <c r="E61" s="12">
        <v>1</v>
      </c>
      <c r="F61" s="8">
        <v>14.29</v>
      </c>
      <c r="G61" s="12">
        <v>1</v>
      </c>
      <c r="H61" s="8">
        <v>1.75</v>
      </c>
      <c r="I61" s="12">
        <v>0</v>
      </c>
    </row>
    <row r="62" spans="2:9" ht="15" customHeight="1" x14ac:dyDescent="0.2">
      <c r="B62" t="s">
        <v>307</v>
      </c>
      <c r="C62" s="12">
        <v>2</v>
      </c>
      <c r="D62" s="8">
        <v>3.03</v>
      </c>
      <c r="E62" s="12">
        <v>0</v>
      </c>
      <c r="F62" s="8">
        <v>0</v>
      </c>
      <c r="G62" s="12">
        <v>2</v>
      </c>
      <c r="H62" s="8">
        <v>3.51</v>
      </c>
      <c r="I62" s="12">
        <v>0</v>
      </c>
    </row>
    <row r="63" spans="2:9" ht="15" customHeight="1" x14ac:dyDescent="0.2">
      <c r="B63" t="s">
        <v>166</v>
      </c>
      <c r="C63" s="12">
        <v>2</v>
      </c>
      <c r="D63" s="8">
        <v>3.03</v>
      </c>
      <c r="E63" s="12">
        <v>0</v>
      </c>
      <c r="F63" s="8">
        <v>0</v>
      </c>
      <c r="G63" s="12">
        <v>2</v>
      </c>
      <c r="H63" s="8">
        <v>3.51</v>
      </c>
      <c r="I63" s="12">
        <v>0</v>
      </c>
    </row>
    <row r="64" spans="2:9" ht="15" customHeight="1" x14ac:dyDescent="0.2">
      <c r="B64" t="s">
        <v>311</v>
      </c>
      <c r="C64" s="12">
        <v>2</v>
      </c>
      <c r="D64" s="8">
        <v>3.03</v>
      </c>
      <c r="E64" s="12">
        <v>0</v>
      </c>
      <c r="F64" s="8">
        <v>0</v>
      </c>
      <c r="G64" s="12">
        <v>2</v>
      </c>
      <c r="H64" s="8">
        <v>3.51</v>
      </c>
      <c r="I64" s="12">
        <v>0</v>
      </c>
    </row>
    <row r="65" spans="2:9" ht="15" customHeight="1" x14ac:dyDescent="0.2">
      <c r="B65" t="s">
        <v>236</v>
      </c>
      <c r="C65" s="12">
        <v>2</v>
      </c>
      <c r="D65" s="8">
        <v>3.03</v>
      </c>
      <c r="E65" s="12">
        <v>0</v>
      </c>
      <c r="F65" s="8">
        <v>0</v>
      </c>
      <c r="G65" s="12">
        <v>1</v>
      </c>
      <c r="H65" s="8">
        <v>1.75</v>
      </c>
      <c r="I65" s="12">
        <v>0</v>
      </c>
    </row>
    <row r="66" spans="2:9" ht="15" customHeight="1" x14ac:dyDescent="0.2">
      <c r="B66" t="s">
        <v>286</v>
      </c>
      <c r="C66" s="12">
        <v>2</v>
      </c>
      <c r="D66" s="8">
        <v>3.03</v>
      </c>
      <c r="E66" s="12">
        <v>2</v>
      </c>
      <c r="F66" s="8">
        <v>28.57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196</v>
      </c>
      <c r="C67" s="12">
        <v>1</v>
      </c>
      <c r="D67" s="8">
        <v>1.52</v>
      </c>
      <c r="E67" s="12">
        <v>0</v>
      </c>
      <c r="F67" s="8">
        <v>0</v>
      </c>
      <c r="G67" s="12">
        <v>1</v>
      </c>
      <c r="H67" s="8">
        <v>1.75</v>
      </c>
      <c r="I67" s="12">
        <v>0</v>
      </c>
    </row>
    <row r="68" spans="2:9" ht="15" customHeight="1" x14ac:dyDescent="0.2">
      <c r="B68" t="s">
        <v>201</v>
      </c>
      <c r="C68" s="12">
        <v>1</v>
      </c>
      <c r="D68" s="8">
        <v>1.52</v>
      </c>
      <c r="E68" s="12">
        <v>0</v>
      </c>
      <c r="F68" s="8">
        <v>0</v>
      </c>
      <c r="G68" s="12">
        <v>1</v>
      </c>
      <c r="H68" s="8">
        <v>1.75</v>
      </c>
      <c r="I68" s="12">
        <v>0</v>
      </c>
    </row>
    <row r="69" spans="2:9" ht="15" customHeight="1" x14ac:dyDescent="0.2">
      <c r="B69" t="s">
        <v>161</v>
      </c>
      <c r="C69" s="12">
        <v>1</v>
      </c>
      <c r="D69" s="8">
        <v>1.52</v>
      </c>
      <c r="E69" s="12">
        <v>0</v>
      </c>
      <c r="F69" s="8">
        <v>0</v>
      </c>
      <c r="G69" s="12">
        <v>1</v>
      </c>
      <c r="H69" s="8">
        <v>1.75</v>
      </c>
      <c r="I69" s="12">
        <v>0</v>
      </c>
    </row>
    <row r="70" spans="2:9" ht="15" customHeight="1" x14ac:dyDescent="0.2">
      <c r="B70" t="s">
        <v>306</v>
      </c>
      <c r="C70" s="12">
        <v>1</v>
      </c>
      <c r="D70" s="8">
        <v>1.52</v>
      </c>
      <c r="E70" s="12">
        <v>0</v>
      </c>
      <c r="F70" s="8">
        <v>0</v>
      </c>
      <c r="G70" s="12">
        <v>1</v>
      </c>
      <c r="H70" s="8">
        <v>1.75</v>
      </c>
      <c r="I70" s="12">
        <v>0</v>
      </c>
    </row>
    <row r="71" spans="2:9" ht="15" customHeight="1" x14ac:dyDescent="0.2">
      <c r="B71" t="s">
        <v>309</v>
      </c>
      <c r="C71" s="12">
        <v>1</v>
      </c>
      <c r="D71" s="8">
        <v>1.52</v>
      </c>
      <c r="E71" s="12">
        <v>0</v>
      </c>
      <c r="F71" s="8">
        <v>0</v>
      </c>
      <c r="G71" s="12">
        <v>1</v>
      </c>
      <c r="H71" s="8">
        <v>1.75</v>
      </c>
      <c r="I71" s="12">
        <v>0</v>
      </c>
    </row>
    <row r="72" spans="2:9" ht="15" customHeight="1" x14ac:dyDescent="0.2">
      <c r="B72" t="s">
        <v>312</v>
      </c>
      <c r="C72" s="12">
        <v>1</v>
      </c>
      <c r="D72" s="8">
        <v>1.52</v>
      </c>
      <c r="E72" s="12">
        <v>0</v>
      </c>
      <c r="F72" s="8">
        <v>0</v>
      </c>
      <c r="G72" s="12">
        <v>1</v>
      </c>
      <c r="H72" s="8">
        <v>1.75</v>
      </c>
      <c r="I72" s="12">
        <v>0</v>
      </c>
    </row>
    <row r="73" spans="2:9" ht="15" customHeight="1" x14ac:dyDescent="0.2">
      <c r="B73" t="s">
        <v>219</v>
      </c>
      <c r="C73" s="12">
        <v>1</v>
      </c>
      <c r="D73" s="8">
        <v>1.52</v>
      </c>
      <c r="E73" s="12">
        <v>0</v>
      </c>
      <c r="F73" s="8">
        <v>0</v>
      </c>
      <c r="G73" s="12">
        <v>1</v>
      </c>
      <c r="H73" s="8">
        <v>1.75</v>
      </c>
      <c r="I73" s="12">
        <v>0</v>
      </c>
    </row>
    <row r="74" spans="2:9" ht="15" customHeight="1" x14ac:dyDescent="0.2">
      <c r="B74" t="s">
        <v>251</v>
      </c>
      <c r="C74" s="12">
        <v>1</v>
      </c>
      <c r="D74" s="8">
        <v>1.52</v>
      </c>
      <c r="E74" s="12">
        <v>0</v>
      </c>
      <c r="F74" s="8">
        <v>0</v>
      </c>
      <c r="G74" s="12">
        <v>1</v>
      </c>
      <c r="H74" s="8">
        <v>1.75</v>
      </c>
      <c r="I74" s="12">
        <v>0</v>
      </c>
    </row>
    <row r="75" spans="2:9" ht="15" customHeight="1" x14ac:dyDescent="0.2">
      <c r="B75" t="s">
        <v>254</v>
      </c>
      <c r="C75" s="12">
        <v>1</v>
      </c>
      <c r="D75" s="8">
        <v>1.52</v>
      </c>
      <c r="E75" s="12">
        <v>0</v>
      </c>
      <c r="F75" s="8">
        <v>0</v>
      </c>
      <c r="G75" s="12">
        <v>1</v>
      </c>
      <c r="H75" s="8">
        <v>1.75</v>
      </c>
      <c r="I75" s="12">
        <v>0</v>
      </c>
    </row>
    <row r="76" spans="2:9" ht="15" customHeight="1" x14ac:dyDescent="0.2">
      <c r="B76" t="s">
        <v>313</v>
      </c>
      <c r="C76" s="12">
        <v>1</v>
      </c>
      <c r="D76" s="8">
        <v>1.52</v>
      </c>
      <c r="E76" s="12">
        <v>0</v>
      </c>
      <c r="F76" s="8">
        <v>0</v>
      </c>
      <c r="G76" s="12">
        <v>1</v>
      </c>
      <c r="H76" s="8">
        <v>1.75</v>
      </c>
      <c r="I76" s="12">
        <v>0</v>
      </c>
    </row>
    <row r="77" spans="2:9" ht="15" customHeight="1" x14ac:dyDescent="0.2">
      <c r="B77" t="s">
        <v>314</v>
      </c>
      <c r="C77" s="12">
        <v>1</v>
      </c>
      <c r="D77" s="8">
        <v>1.52</v>
      </c>
      <c r="E77" s="12">
        <v>0</v>
      </c>
      <c r="F77" s="8">
        <v>0</v>
      </c>
      <c r="G77" s="12">
        <v>1</v>
      </c>
      <c r="H77" s="8">
        <v>1.75</v>
      </c>
      <c r="I77" s="12">
        <v>0</v>
      </c>
    </row>
    <row r="78" spans="2:9" ht="15" customHeight="1" x14ac:dyDescent="0.2">
      <c r="B78" t="s">
        <v>315</v>
      </c>
      <c r="C78" s="12">
        <v>1</v>
      </c>
      <c r="D78" s="8">
        <v>1.52</v>
      </c>
      <c r="E78" s="12">
        <v>0</v>
      </c>
      <c r="F78" s="8">
        <v>0</v>
      </c>
      <c r="G78" s="12">
        <v>1</v>
      </c>
      <c r="H78" s="8">
        <v>1.75</v>
      </c>
      <c r="I78" s="12">
        <v>0</v>
      </c>
    </row>
    <row r="79" spans="2:9" ht="15" customHeight="1" x14ac:dyDescent="0.2">
      <c r="B79" t="s">
        <v>316</v>
      </c>
      <c r="C79" s="12">
        <v>1</v>
      </c>
      <c r="D79" s="8">
        <v>1.52</v>
      </c>
      <c r="E79" s="12">
        <v>0</v>
      </c>
      <c r="F79" s="8">
        <v>0</v>
      </c>
      <c r="G79" s="12">
        <v>1</v>
      </c>
      <c r="H79" s="8">
        <v>1.75</v>
      </c>
      <c r="I79" s="12">
        <v>0</v>
      </c>
    </row>
    <row r="80" spans="2:9" ht="15" customHeight="1" x14ac:dyDescent="0.2">
      <c r="B80" t="s">
        <v>185</v>
      </c>
      <c r="C80" s="12">
        <v>1</v>
      </c>
      <c r="D80" s="8">
        <v>1.52</v>
      </c>
      <c r="E80" s="12">
        <v>0</v>
      </c>
      <c r="F80" s="8">
        <v>0</v>
      </c>
      <c r="G80" s="12">
        <v>1</v>
      </c>
      <c r="H80" s="8">
        <v>1.75</v>
      </c>
      <c r="I80" s="12">
        <v>0</v>
      </c>
    </row>
    <row r="81" spans="2:9" ht="15" customHeight="1" x14ac:dyDescent="0.2">
      <c r="B81" t="s">
        <v>317</v>
      </c>
      <c r="C81" s="12">
        <v>1</v>
      </c>
      <c r="D81" s="8">
        <v>1.52</v>
      </c>
      <c r="E81" s="12">
        <v>0</v>
      </c>
      <c r="F81" s="8">
        <v>0</v>
      </c>
      <c r="G81" s="12">
        <v>1</v>
      </c>
      <c r="H81" s="8">
        <v>1.75</v>
      </c>
      <c r="I81" s="12">
        <v>0</v>
      </c>
    </row>
    <row r="82" spans="2:9" ht="15" customHeight="1" x14ac:dyDescent="0.2">
      <c r="B82" t="s">
        <v>204</v>
      </c>
      <c r="C82" s="12">
        <v>1</v>
      </c>
      <c r="D82" s="8">
        <v>1.52</v>
      </c>
      <c r="E82" s="12">
        <v>0</v>
      </c>
      <c r="F82" s="8">
        <v>0</v>
      </c>
      <c r="G82" s="12">
        <v>1</v>
      </c>
      <c r="H82" s="8">
        <v>1.75</v>
      </c>
      <c r="I82" s="12">
        <v>0</v>
      </c>
    </row>
    <row r="83" spans="2:9" ht="15" customHeight="1" x14ac:dyDescent="0.2">
      <c r="B83" t="s">
        <v>183</v>
      </c>
      <c r="C83" s="12">
        <v>1</v>
      </c>
      <c r="D83" s="8">
        <v>1.52</v>
      </c>
      <c r="E83" s="12">
        <v>0</v>
      </c>
      <c r="F83" s="8">
        <v>0</v>
      </c>
      <c r="G83" s="12">
        <v>1</v>
      </c>
      <c r="H83" s="8">
        <v>1.75</v>
      </c>
      <c r="I83" s="12">
        <v>0</v>
      </c>
    </row>
    <row r="84" spans="2:9" ht="15" customHeight="1" x14ac:dyDescent="0.2">
      <c r="B84" t="s">
        <v>213</v>
      </c>
      <c r="C84" s="12">
        <v>1</v>
      </c>
      <c r="D84" s="8">
        <v>1.52</v>
      </c>
      <c r="E84" s="12">
        <v>1</v>
      </c>
      <c r="F84" s="8">
        <v>14.29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169</v>
      </c>
      <c r="C85" s="12">
        <v>1</v>
      </c>
      <c r="D85" s="8">
        <v>1.52</v>
      </c>
      <c r="E85" s="12">
        <v>0</v>
      </c>
      <c r="F85" s="8">
        <v>0</v>
      </c>
      <c r="G85" s="12">
        <v>1</v>
      </c>
      <c r="H85" s="8">
        <v>1.75</v>
      </c>
      <c r="I85" s="12">
        <v>0</v>
      </c>
    </row>
    <row r="86" spans="2:9" ht="15" customHeight="1" x14ac:dyDescent="0.2">
      <c r="B86" t="s">
        <v>318</v>
      </c>
      <c r="C86" s="12">
        <v>1</v>
      </c>
      <c r="D86" s="8">
        <v>1.52</v>
      </c>
      <c r="E86" s="12">
        <v>0</v>
      </c>
      <c r="F86" s="8">
        <v>0</v>
      </c>
      <c r="G86" s="12">
        <v>1</v>
      </c>
      <c r="H86" s="8">
        <v>1.75</v>
      </c>
      <c r="I86" s="12">
        <v>0</v>
      </c>
    </row>
    <row r="87" spans="2:9" ht="15" customHeight="1" x14ac:dyDescent="0.2">
      <c r="B87" t="s">
        <v>215</v>
      </c>
      <c r="C87" s="12">
        <v>1</v>
      </c>
      <c r="D87" s="8">
        <v>1.52</v>
      </c>
      <c r="E87" s="12">
        <v>1</v>
      </c>
      <c r="F87" s="8">
        <v>14.29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216</v>
      </c>
      <c r="C88" s="12">
        <v>1</v>
      </c>
      <c r="D88" s="8">
        <v>1.52</v>
      </c>
      <c r="E88" s="12">
        <v>1</v>
      </c>
      <c r="F88" s="8">
        <v>14.29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186</v>
      </c>
      <c r="C89" s="12">
        <v>1</v>
      </c>
      <c r="D89" s="8">
        <v>1.52</v>
      </c>
      <c r="E89" s="12">
        <v>0</v>
      </c>
      <c r="F89" s="8">
        <v>0</v>
      </c>
      <c r="G89" s="12">
        <v>1</v>
      </c>
      <c r="H89" s="8">
        <v>1.75</v>
      </c>
      <c r="I89" s="12">
        <v>0</v>
      </c>
    </row>
    <row r="90" spans="2:9" ht="15" customHeight="1" x14ac:dyDescent="0.2">
      <c r="B90" t="s">
        <v>173</v>
      </c>
      <c r="C90" s="12">
        <v>1</v>
      </c>
      <c r="D90" s="8">
        <v>1.52</v>
      </c>
      <c r="E90" s="12">
        <v>0</v>
      </c>
      <c r="F90" s="8">
        <v>0</v>
      </c>
      <c r="G90" s="12">
        <v>1</v>
      </c>
      <c r="H90" s="8">
        <v>1.75</v>
      </c>
      <c r="I90" s="12">
        <v>0</v>
      </c>
    </row>
    <row r="91" spans="2:9" ht="15" customHeight="1" x14ac:dyDescent="0.2">
      <c r="B91" t="s">
        <v>174</v>
      </c>
      <c r="C91" s="12">
        <v>1</v>
      </c>
      <c r="D91" s="8">
        <v>1.52</v>
      </c>
      <c r="E91" s="12">
        <v>1</v>
      </c>
      <c r="F91" s="8">
        <v>14.29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269</v>
      </c>
      <c r="C92" s="12">
        <v>1</v>
      </c>
      <c r="D92" s="8">
        <v>1.52</v>
      </c>
      <c r="E92" s="12">
        <v>0</v>
      </c>
      <c r="F92" s="8">
        <v>0</v>
      </c>
      <c r="G92" s="12">
        <v>1</v>
      </c>
      <c r="H92" s="8">
        <v>1.75</v>
      </c>
      <c r="I92" s="12">
        <v>0</v>
      </c>
    </row>
    <row r="93" spans="2:9" ht="15" customHeight="1" x14ac:dyDescent="0.2">
      <c r="B93" t="s">
        <v>218</v>
      </c>
      <c r="C93" s="12">
        <v>1</v>
      </c>
      <c r="D93" s="8">
        <v>1.52</v>
      </c>
      <c r="E93" s="12">
        <v>0</v>
      </c>
      <c r="F93" s="8">
        <v>0</v>
      </c>
      <c r="G93" s="12">
        <v>1</v>
      </c>
      <c r="H93" s="8">
        <v>1.75</v>
      </c>
      <c r="I93" s="12">
        <v>0</v>
      </c>
    </row>
    <row r="94" spans="2:9" ht="15" customHeight="1" x14ac:dyDescent="0.2">
      <c r="B94" t="s">
        <v>177</v>
      </c>
      <c r="C94" s="12">
        <v>1</v>
      </c>
      <c r="D94" s="8">
        <v>1.52</v>
      </c>
      <c r="E94" s="12">
        <v>0</v>
      </c>
      <c r="F94" s="8">
        <v>0</v>
      </c>
      <c r="G94" s="12">
        <v>1</v>
      </c>
      <c r="H94" s="8">
        <v>1.75</v>
      </c>
      <c r="I94" s="12">
        <v>0</v>
      </c>
    </row>
    <row r="95" spans="2:9" ht="15" customHeight="1" x14ac:dyDescent="0.2">
      <c r="B95" t="s">
        <v>320</v>
      </c>
      <c r="C95" s="12">
        <v>1</v>
      </c>
      <c r="D95" s="8">
        <v>1.52</v>
      </c>
      <c r="E95" s="12">
        <v>0</v>
      </c>
      <c r="F95" s="8">
        <v>0</v>
      </c>
      <c r="G95" s="12">
        <v>1</v>
      </c>
      <c r="H95" s="8">
        <v>1.75</v>
      </c>
      <c r="I95" s="12">
        <v>0</v>
      </c>
    </row>
    <row r="96" spans="2:9" ht="15" customHeight="1" x14ac:dyDescent="0.2">
      <c r="B96" t="s">
        <v>321</v>
      </c>
      <c r="C96" s="12">
        <v>1</v>
      </c>
      <c r="D96" s="8">
        <v>1.52</v>
      </c>
      <c r="E96" s="12">
        <v>0</v>
      </c>
      <c r="F96" s="8">
        <v>0</v>
      </c>
      <c r="G96" s="12">
        <v>1</v>
      </c>
      <c r="H96" s="8">
        <v>1.75</v>
      </c>
      <c r="I96" s="12">
        <v>0</v>
      </c>
    </row>
    <row r="97" spans="2:9" ht="15" customHeight="1" x14ac:dyDescent="0.2">
      <c r="B97" t="s">
        <v>322</v>
      </c>
      <c r="C97" s="12">
        <v>1</v>
      </c>
      <c r="D97" s="8">
        <v>1.52</v>
      </c>
      <c r="E97" s="12">
        <v>0</v>
      </c>
      <c r="F97" s="8">
        <v>0</v>
      </c>
      <c r="G97" s="12">
        <v>1</v>
      </c>
      <c r="H97" s="8">
        <v>1.75</v>
      </c>
      <c r="I97" s="12">
        <v>0</v>
      </c>
    </row>
    <row r="99" spans="2:9" ht="15" customHeight="1" x14ac:dyDescent="0.2">
      <c r="B9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1EB2B-C10C-483D-A080-8ADA9F7BB420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12</v>
      </c>
      <c r="D6" s="8">
        <v>26.67</v>
      </c>
      <c r="E6" s="12">
        <v>6</v>
      </c>
      <c r="F6" s="8">
        <v>25</v>
      </c>
      <c r="G6" s="12">
        <v>6</v>
      </c>
      <c r="H6" s="8">
        <v>30</v>
      </c>
      <c r="I6" s="12">
        <v>0</v>
      </c>
    </row>
    <row r="7" spans="2:9" ht="15" customHeight="1" x14ac:dyDescent="0.2">
      <c r="B7" t="s">
        <v>62</v>
      </c>
      <c r="C7" s="12">
        <v>8</v>
      </c>
      <c r="D7" s="8">
        <v>17.78</v>
      </c>
      <c r="E7" s="12">
        <v>3</v>
      </c>
      <c r="F7" s="8">
        <v>12.5</v>
      </c>
      <c r="G7" s="12">
        <v>5</v>
      </c>
      <c r="H7" s="8">
        <v>25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14</v>
      </c>
      <c r="D11" s="8">
        <v>31.11</v>
      </c>
      <c r="E11" s="12">
        <v>9</v>
      </c>
      <c r="F11" s="8">
        <v>37.5</v>
      </c>
      <c r="G11" s="12">
        <v>5</v>
      </c>
      <c r="H11" s="8">
        <v>25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6</v>
      </c>
      <c r="D15" s="8">
        <v>13.33</v>
      </c>
      <c r="E15" s="12">
        <v>5</v>
      </c>
      <c r="F15" s="8">
        <v>20.83</v>
      </c>
      <c r="G15" s="12">
        <v>1</v>
      </c>
      <c r="H15" s="8">
        <v>5</v>
      </c>
      <c r="I15" s="12">
        <v>0</v>
      </c>
    </row>
    <row r="16" spans="2:9" ht="15" customHeight="1" x14ac:dyDescent="0.2">
      <c r="B16" t="s">
        <v>71</v>
      </c>
      <c r="C16" s="12">
        <v>2</v>
      </c>
      <c r="D16" s="8">
        <v>4.4400000000000004</v>
      </c>
      <c r="E16" s="12">
        <v>1</v>
      </c>
      <c r="F16" s="8">
        <v>4.17</v>
      </c>
      <c r="G16" s="12">
        <v>1</v>
      </c>
      <c r="H16" s="8">
        <v>5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2.2200000000000002</v>
      </c>
      <c r="E18" s="12">
        <v>0</v>
      </c>
      <c r="F18" s="8">
        <v>0</v>
      </c>
      <c r="G18" s="12">
        <v>1</v>
      </c>
      <c r="H18" s="8">
        <v>5</v>
      </c>
      <c r="I18" s="12">
        <v>0</v>
      </c>
    </row>
    <row r="19" spans="2:9" ht="15" customHeight="1" x14ac:dyDescent="0.2">
      <c r="B19" t="s">
        <v>74</v>
      </c>
      <c r="C19" s="12">
        <v>2</v>
      </c>
      <c r="D19" s="8">
        <v>4.4400000000000004</v>
      </c>
      <c r="E19" s="12">
        <v>0</v>
      </c>
      <c r="F19" s="8">
        <v>0</v>
      </c>
      <c r="G19" s="12">
        <v>1</v>
      </c>
      <c r="H19" s="8">
        <v>5</v>
      </c>
      <c r="I19" s="12">
        <v>1</v>
      </c>
    </row>
    <row r="20" spans="2:9" ht="15" customHeight="1" x14ac:dyDescent="0.2">
      <c r="B20" s="9" t="s">
        <v>337</v>
      </c>
      <c r="C20" s="12">
        <f>SUM(LTBL_07544[総数／事業所数])</f>
        <v>45</v>
      </c>
      <c r="E20" s="12">
        <f>SUBTOTAL(109,LTBL_07544[個人／事業所数])</f>
        <v>24</v>
      </c>
      <c r="G20" s="12">
        <f>SUBTOTAL(109,LTBL_07544[法人／事業所数])</f>
        <v>20</v>
      </c>
      <c r="I20" s="12">
        <f>SUBTOTAL(109,LTBL_07544[法人以外の団体／事業所数])</f>
        <v>1</v>
      </c>
    </row>
    <row r="21" spans="2:9" ht="15" customHeight="1" x14ac:dyDescent="0.2">
      <c r="E21" s="11">
        <f>LTBL_07544[[#Totals],[個人／事業所数]]/LTBL_07544[[#Totals],[総数／事業所数]]</f>
        <v>0.53333333333333333</v>
      </c>
      <c r="G21" s="11">
        <f>LTBL_07544[[#Totals],[法人／事業所数]]/LTBL_07544[[#Totals],[総数／事業所数]]</f>
        <v>0.44444444444444442</v>
      </c>
      <c r="I21" s="11">
        <f>LTBL_07544[[#Totals],[法人以外の団体／事業所数]]/LTBL_07544[[#Totals],[総数／事業所数]]</f>
        <v>2.2222222222222223E-2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89</v>
      </c>
      <c r="C24" s="12">
        <v>8</v>
      </c>
      <c r="D24" s="8">
        <v>17.78</v>
      </c>
      <c r="E24" s="12">
        <v>7</v>
      </c>
      <c r="F24" s="8">
        <v>29.17</v>
      </c>
      <c r="G24" s="12">
        <v>1</v>
      </c>
      <c r="H24" s="8">
        <v>5</v>
      </c>
      <c r="I24" s="12">
        <v>0</v>
      </c>
    </row>
    <row r="25" spans="2:9" ht="15" customHeight="1" x14ac:dyDescent="0.2">
      <c r="B25" t="s">
        <v>85</v>
      </c>
      <c r="C25" s="12">
        <v>5</v>
      </c>
      <c r="D25" s="8">
        <v>11.11</v>
      </c>
      <c r="E25" s="12">
        <v>2</v>
      </c>
      <c r="F25" s="8">
        <v>8.33</v>
      </c>
      <c r="G25" s="12">
        <v>3</v>
      </c>
      <c r="H25" s="8">
        <v>15</v>
      </c>
      <c r="I25" s="12">
        <v>0</v>
      </c>
    </row>
    <row r="26" spans="2:9" ht="15" customHeight="1" x14ac:dyDescent="0.2">
      <c r="B26" t="s">
        <v>83</v>
      </c>
      <c r="C26" s="12">
        <v>4</v>
      </c>
      <c r="D26" s="8">
        <v>8.89</v>
      </c>
      <c r="E26" s="12">
        <v>2</v>
      </c>
      <c r="F26" s="8">
        <v>8.33</v>
      </c>
      <c r="G26" s="12">
        <v>2</v>
      </c>
      <c r="H26" s="8">
        <v>10</v>
      </c>
      <c r="I26" s="12">
        <v>0</v>
      </c>
    </row>
    <row r="27" spans="2:9" ht="15" customHeight="1" x14ac:dyDescent="0.2">
      <c r="B27" t="s">
        <v>111</v>
      </c>
      <c r="C27" s="12">
        <v>4</v>
      </c>
      <c r="D27" s="8">
        <v>8.89</v>
      </c>
      <c r="E27" s="12">
        <v>3</v>
      </c>
      <c r="F27" s="8">
        <v>12.5</v>
      </c>
      <c r="G27" s="12">
        <v>1</v>
      </c>
      <c r="H27" s="8">
        <v>5</v>
      </c>
      <c r="I27" s="12">
        <v>0</v>
      </c>
    </row>
    <row r="28" spans="2:9" ht="15" customHeight="1" x14ac:dyDescent="0.2">
      <c r="B28" t="s">
        <v>96</v>
      </c>
      <c r="C28" s="12">
        <v>4</v>
      </c>
      <c r="D28" s="8">
        <v>8.89</v>
      </c>
      <c r="E28" s="12">
        <v>4</v>
      </c>
      <c r="F28" s="8">
        <v>16.670000000000002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84</v>
      </c>
      <c r="C29" s="12">
        <v>3</v>
      </c>
      <c r="D29" s="8">
        <v>6.67</v>
      </c>
      <c r="E29" s="12">
        <v>2</v>
      </c>
      <c r="F29" s="8">
        <v>8.33</v>
      </c>
      <c r="G29" s="12">
        <v>1</v>
      </c>
      <c r="H29" s="8">
        <v>5</v>
      </c>
      <c r="I29" s="12">
        <v>0</v>
      </c>
    </row>
    <row r="30" spans="2:9" ht="15" customHeight="1" x14ac:dyDescent="0.2">
      <c r="B30" t="s">
        <v>91</v>
      </c>
      <c r="C30" s="12">
        <v>3</v>
      </c>
      <c r="D30" s="8">
        <v>6.67</v>
      </c>
      <c r="E30" s="12">
        <v>2</v>
      </c>
      <c r="F30" s="8">
        <v>8.33</v>
      </c>
      <c r="G30" s="12">
        <v>1</v>
      </c>
      <c r="H30" s="8">
        <v>5</v>
      </c>
      <c r="I30" s="12">
        <v>0</v>
      </c>
    </row>
    <row r="31" spans="2:9" ht="15" customHeight="1" x14ac:dyDescent="0.2">
      <c r="B31" t="s">
        <v>103</v>
      </c>
      <c r="C31" s="12">
        <v>2</v>
      </c>
      <c r="D31" s="8">
        <v>4.4400000000000004</v>
      </c>
      <c r="E31" s="12">
        <v>0</v>
      </c>
      <c r="F31" s="8">
        <v>0</v>
      </c>
      <c r="G31" s="12">
        <v>2</v>
      </c>
      <c r="H31" s="8">
        <v>10</v>
      </c>
      <c r="I31" s="12">
        <v>0</v>
      </c>
    </row>
    <row r="32" spans="2:9" ht="15" customHeight="1" x14ac:dyDescent="0.2">
      <c r="B32" t="s">
        <v>97</v>
      </c>
      <c r="C32" s="12">
        <v>2</v>
      </c>
      <c r="D32" s="8">
        <v>4.4400000000000004</v>
      </c>
      <c r="E32" s="12">
        <v>1</v>
      </c>
      <c r="F32" s="8">
        <v>4.17</v>
      </c>
      <c r="G32" s="12">
        <v>1</v>
      </c>
      <c r="H32" s="8">
        <v>5</v>
      </c>
      <c r="I32" s="12">
        <v>0</v>
      </c>
    </row>
    <row r="33" spans="2:9" ht="15" customHeight="1" x14ac:dyDescent="0.2">
      <c r="B33" t="s">
        <v>110</v>
      </c>
      <c r="C33" s="12">
        <v>1</v>
      </c>
      <c r="D33" s="8">
        <v>2.2200000000000002</v>
      </c>
      <c r="E33" s="12">
        <v>0</v>
      </c>
      <c r="F33" s="8">
        <v>0</v>
      </c>
      <c r="G33" s="12">
        <v>1</v>
      </c>
      <c r="H33" s="8">
        <v>5</v>
      </c>
      <c r="I33" s="12">
        <v>0</v>
      </c>
    </row>
    <row r="34" spans="2:9" ht="15" customHeight="1" x14ac:dyDescent="0.2">
      <c r="B34" t="s">
        <v>143</v>
      </c>
      <c r="C34" s="12">
        <v>1</v>
      </c>
      <c r="D34" s="8">
        <v>2.2200000000000002</v>
      </c>
      <c r="E34" s="12">
        <v>0</v>
      </c>
      <c r="F34" s="8">
        <v>0</v>
      </c>
      <c r="G34" s="12">
        <v>1</v>
      </c>
      <c r="H34" s="8">
        <v>5</v>
      </c>
      <c r="I34" s="12">
        <v>0</v>
      </c>
    </row>
    <row r="35" spans="2:9" ht="15" customHeight="1" x14ac:dyDescent="0.2">
      <c r="B35" t="s">
        <v>112</v>
      </c>
      <c r="C35" s="12">
        <v>1</v>
      </c>
      <c r="D35" s="8">
        <v>2.2200000000000002</v>
      </c>
      <c r="E35" s="12">
        <v>0</v>
      </c>
      <c r="F35" s="8">
        <v>0</v>
      </c>
      <c r="G35" s="12">
        <v>1</v>
      </c>
      <c r="H35" s="8">
        <v>5</v>
      </c>
      <c r="I35" s="12">
        <v>0</v>
      </c>
    </row>
    <row r="36" spans="2:9" ht="15" customHeight="1" x14ac:dyDescent="0.2">
      <c r="B36" t="s">
        <v>142</v>
      </c>
      <c r="C36" s="12">
        <v>1</v>
      </c>
      <c r="D36" s="8">
        <v>2.2200000000000002</v>
      </c>
      <c r="E36" s="12">
        <v>0</v>
      </c>
      <c r="F36" s="8">
        <v>0</v>
      </c>
      <c r="G36" s="12">
        <v>1</v>
      </c>
      <c r="H36" s="8">
        <v>5</v>
      </c>
      <c r="I36" s="12">
        <v>0</v>
      </c>
    </row>
    <row r="37" spans="2:9" ht="15" customHeight="1" x14ac:dyDescent="0.2">
      <c r="B37" t="s">
        <v>88</v>
      </c>
      <c r="C37" s="12">
        <v>1</v>
      </c>
      <c r="D37" s="8">
        <v>2.2200000000000002</v>
      </c>
      <c r="E37" s="12">
        <v>0</v>
      </c>
      <c r="F37" s="8">
        <v>0</v>
      </c>
      <c r="G37" s="12">
        <v>1</v>
      </c>
      <c r="H37" s="8">
        <v>5</v>
      </c>
      <c r="I37" s="12">
        <v>0</v>
      </c>
    </row>
    <row r="38" spans="2:9" ht="15" customHeight="1" x14ac:dyDescent="0.2">
      <c r="B38" t="s">
        <v>95</v>
      </c>
      <c r="C38" s="12">
        <v>1</v>
      </c>
      <c r="D38" s="8">
        <v>2.2200000000000002</v>
      </c>
      <c r="E38" s="12">
        <v>1</v>
      </c>
      <c r="F38" s="8">
        <v>4.17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113</v>
      </c>
      <c r="C39" s="12">
        <v>1</v>
      </c>
      <c r="D39" s="8">
        <v>2.2200000000000002</v>
      </c>
      <c r="E39" s="12">
        <v>0</v>
      </c>
      <c r="F39" s="8">
        <v>0</v>
      </c>
      <c r="G39" s="12">
        <v>1</v>
      </c>
      <c r="H39" s="8">
        <v>5</v>
      </c>
      <c r="I39" s="12">
        <v>0</v>
      </c>
    </row>
    <row r="40" spans="2:9" ht="15" customHeight="1" x14ac:dyDescent="0.2">
      <c r="B40" t="s">
        <v>101</v>
      </c>
      <c r="C40" s="12">
        <v>1</v>
      </c>
      <c r="D40" s="8">
        <v>2.2200000000000002</v>
      </c>
      <c r="E40" s="12">
        <v>0</v>
      </c>
      <c r="F40" s="8">
        <v>0</v>
      </c>
      <c r="G40" s="12">
        <v>1</v>
      </c>
      <c r="H40" s="8">
        <v>5</v>
      </c>
      <c r="I40" s="12">
        <v>0</v>
      </c>
    </row>
    <row r="41" spans="2:9" ht="15" customHeight="1" x14ac:dyDescent="0.2">
      <c r="B41" t="s">
        <v>120</v>
      </c>
      <c r="C41" s="12">
        <v>1</v>
      </c>
      <c r="D41" s="8">
        <v>2.2200000000000002</v>
      </c>
      <c r="E41" s="12">
        <v>0</v>
      </c>
      <c r="F41" s="8">
        <v>0</v>
      </c>
      <c r="G41" s="12">
        <v>0</v>
      </c>
      <c r="H41" s="8">
        <v>0</v>
      </c>
      <c r="I41" s="12">
        <v>1</v>
      </c>
    </row>
    <row r="42" spans="2:9" ht="15" customHeight="1" x14ac:dyDescent="0.2">
      <c r="B42" t="s">
        <v>102</v>
      </c>
      <c r="C42" s="12">
        <v>1</v>
      </c>
      <c r="D42" s="8">
        <v>2.2200000000000002</v>
      </c>
      <c r="E42" s="12">
        <v>0</v>
      </c>
      <c r="F42" s="8">
        <v>0</v>
      </c>
      <c r="G42" s="12">
        <v>1</v>
      </c>
      <c r="H42" s="8">
        <v>5</v>
      </c>
      <c r="I42" s="12">
        <v>0</v>
      </c>
    </row>
    <row r="45" spans="2:9" ht="33" customHeight="1" x14ac:dyDescent="0.2">
      <c r="B45" t="s">
        <v>339</v>
      </c>
      <c r="C45" s="10" t="s">
        <v>76</v>
      </c>
      <c r="D45" s="10" t="s">
        <v>77</v>
      </c>
      <c r="E45" s="10" t="s">
        <v>78</v>
      </c>
      <c r="F45" s="10" t="s">
        <v>79</v>
      </c>
      <c r="G45" s="10" t="s">
        <v>80</v>
      </c>
      <c r="H45" s="10" t="s">
        <v>81</v>
      </c>
      <c r="I45" s="10" t="s">
        <v>82</v>
      </c>
    </row>
    <row r="46" spans="2:9" ht="15" customHeight="1" x14ac:dyDescent="0.2">
      <c r="B46" t="s">
        <v>289</v>
      </c>
      <c r="C46" s="12">
        <v>4</v>
      </c>
      <c r="D46" s="8">
        <v>8.89</v>
      </c>
      <c r="E46" s="12">
        <v>3</v>
      </c>
      <c r="F46" s="8">
        <v>12.5</v>
      </c>
      <c r="G46" s="12">
        <v>1</v>
      </c>
      <c r="H46" s="8">
        <v>5</v>
      </c>
      <c r="I46" s="12">
        <v>0</v>
      </c>
    </row>
    <row r="47" spans="2:9" ht="15" customHeight="1" x14ac:dyDescent="0.2">
      <c r="B47" t="s">
        <v>191</v>
      </c>
      <c r="C47" s="12">
        <v>4</v>
      </c>
      <c r="D47" s="8">
        <v>8.89</v>
      </c>
      <c r="E47" s="12">
        <v>3</v>
      </c>
      <c r="F47" s="8">
        <v>12.5</v>
      </c>
      <c r="G47" s="12">
        <v>1</v>
      </c>
      <c r="H47" s="8">
        <v>5</v>
      </c>
      <c r="I47" s="12">
        <v>0</v>
      </c>
    </row>
    <row r="48" spans="2:9" ht="15" customHeight="1" x14ac:dyDescent="0.2">
      <c r="B48" t="s">
        <v>162</v>
      </c>
      <c r="C48" s="12">
        <v>3</v>
      </c>
      <c r="D48" s="8">
        <v>6.67</v>
      </c>
      <c r="E48" s="12">
        <v>2</v>
      </c>
      <c r="F48" s="8">
        <v>8.33</v>
      </c>
      <c r="G48" s="12">
        <v>1</v>
      </c>
      <c r="H48" s="8">
        <v>5</v>
      </c>
      <c r="I48" s="12">
        <v>0</v>
      </c>
    </row>
    <row r="49" spans="2:9" ht="15" customHeight="1" x14ac:dyDescent="0.2">
      <c r="B49" t="s">
        <v>160</v>
      </c>
      <c r="C49" s="12">
        <v>2</v>
      </c>
      <c r="D49" s="8">
        <v>4.4400000000000004</v>
      </c>
      <c r="E49" s="12">
        <v>2</v>
      </c>
      <c r="F49" s="8">
        <v>8.33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163</v>
      </c>
      <c r="C50" s="12">
        <v>2</v>
      </c>
      <c r="D50" s="8">
        <v>4.4400000000000004</v>
      </c>
      <c r="E50" s="12">
        <v>2</v>
      </c>
      <c r="F50" s="8">
        <v>8.33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258</v>
      </c>
      <c r="C51" s="12">
        <v>2</v>
      </c>
      <c r="D51" s="8">
        <v>4.4400000000000004</v>
      </c>
      <c r="E51" s="12">
        <v>0</v>
      </c>
      <c r="F51" s="8">
        <v>0</v>
      </c>
      <c r="G51" s="12">
        <v>2</v>
      </c>
      <c r="H51" s="8">
        <v>10</v>
      </c>
      <c r="I51" s="12">
        <v>0</v>
      </c>
    </row>
    <row r="52" spans="2:9" ht="15" customHeight="1" x14ac:dyDescent="0.2">
      <c r="B52" t="s">
        <v>171</v>
      </c>
      <c r="C52" s="12">
        <v>2</v>
      </c>
      <c r="D52" s="8">
        <v>4.4400000000000004</v>
      </c>
      <c r="E52" s="12">
        <v>2</v>
      </c>
      <c r="F52" s="8">
        <v>8.33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158</v>
      </c>
      <c r="C53" s="12">
        <v>1</v>
      </c>
      <c r="D53" s="8">
        <v>2.2200000000000002</v>
      </c>
      <c r="E53" s="12">
        <v>0</v>
      </c>
      <c r="F53" s="8">
        <v>0</v>
      </c>
      <c r="G53" s="12">
        <v>1</v>
      </c>
      <c r="H53" s="8">
        <v>5</v>
      </c>
      <c r="I53" s="12">
        <v>0</v>
      </c>
    </row>
    <row r="54" spans="2:9" ht="15" customHeight="1" x14ac:dyDescent="0.2">
      <c r="B54" t="s">
        <v>159</v>
      </c>
      <c r="C54" s="12">
        <v>1</v>
      </c>
      <c r="D54" s="8">
        <v>2.2200000000000002</v>
      </c>
      <c r="E54" s="12">
        <v>0</v>
      </c>
      <c r="F54" s="8">
        <v>0</v>
      </c>
      <c r="G54" s="12">
        <v>1</v>
      </c>
      <c r="H54" s="8">
        <v>5</v>
      </c>
      <c r="I54" s="12">
        <v>0</v>
      </c>
    </row>
    <row r="55" spans="2:9" ht="15" customHeight="1" x14ac:dyDescent="0.2">
      <c r="B55" t="s">
        <v>196</v>
      </c>
      <c r="C55" s="12">
        <v>1</v>
      </c>
      <c r="D55" s="8">
        <v>2.2200000000000002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6" spans="2:9" ht="15" customHeight="1" x14ac:dyDescent="0.2">
      <c r="B56" t="s">
        <v>323</v>
      </c>
      <c r="C56" s="12">
        <v>1</v>
      </c>
      <c r="D56" s="8">
        <v>2.2200000000000002</v>
      </c>
      <c r="E56" s="12">
        <v>1</v>
      </c>
      <c r="F56" s="8">
        <v>4.17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187</v>
      </c>
      <c r="C57" s="12">
        <v>1</v>
      </c>
      <c r="D57" s="8">
        <v>2.2200000000000002</v>
      </c>
      <c r="E57" s="12">
        <v>1</v>
      </c>
      <c r="F57" s="8">
        <v>4.17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161</v>
      </c>
      <c r="C58" s="12">
        <v>1</v>
      </c>
      <c r="D58" s="8">
        <v>2.2200000000000002</v>
      </c>
      <c r="E58" s="12">
        <v>0</v>
      </c>
      <c r="F58" s="8">
        <v>0</v>
      </c>
      <c r="G58" s="12">
        <v>1</v>
      </c>
      <c r="H58" s="8">
        <v>5</v>
      </c>
      <c r="I58" s="12">
        <v>0</v>
      </c>
    </row>
    <row r="59" spans="2:9" ht="15" customHeight="1" x14ac:dyDescent="0.2">
      <c r="B59" t="s">
        <v>309</v>
      </c>
      <c r="C59" s="12">
        <v>1</v>
      </c>
      <c r="D59" s="8">
        <v>2.2200000000000002</v>
      </c>
      <c r="E59" s="12">
        <v>0</v>
      </c>
      <c r="F59" s="8">
        <v>0</v>
      </c>
      <c r="G59" s="12">
        <v>1</v>
      </c>
      <c r="H59" s="8">
        <v>5</v>
      </c>
      <c r="I59" s="12">
        <v>0</v>
      </c>
    </row>
    <row r="60" spans="2:9" ht="15" customHeight="1" x14ac:dyDescent="0.2">
      <c r="B60" t="s">
        <v>237</v>
      </c>
      <c r="C60" s="12">
        <v>1</v>
      </c>
      <c r="D60" s="8">
        <v>2.2200000000000002</v>
      </c>
      <c r="E60" s="12">
        <v>0</v>
      </c>
      <c r="F60" s="8">
        <v>0</v>
      </c>
      <c r="G60" s="12">
        <v>1</v>
      </c>
      <c r="H60" s="8">
        <v>5</v>
      </c>
      <c r="I60" s="12">
        <v>0</v>
      </c>
    </row>
    <row r="61" spans="2:9" ht="15" customHeight="1" x14ac:dyDescent="0.2">
      <c r="B61" t="s">
        <v>324</v>
      </c>
      <c r="C61" s="12">
        <v>1</v>
      </c>
      <c r="D61" s="8">
        <v>2.2200000000000002</v>
      </c>
      <c r="E61" s="12">
        <v>0</v>
      </c>
      <c r="F61" s="8">
        <v>0</v>
      </c>
      <c r="G61" s="12">
        <v>1</v>
      </c>
      <c r="H61" s="8">
        <v>5</v>
      </c>
      <c r="I61" s="12">
        <v>0</v>
      </c>
    </row>
    <row r="62" spans="2:9" ht="15" customHeight="1" x14ac:dyDescent="0.2">
      <c r="B62" t="s">
        <v>280</v>
      </c>
      <c r="C62" s="12">
        <v>1</v>
      </c>
      <c r="D62" s="8">
        <v>2.2200000000000002</v>
      </c>
      <c r="E62" s="12">
        <v>0</v>
      </c>
      <c r="F62" s="8">
        <v>0</v>
      </c>
      <c r="G62" s="12">
        <v>1</v>
      </c>
      <c r="H62" s="8">
        <v>5</v>
      </c>
      <c r="I62" s="12">
        <v>0</v>
      </c>
    </row>
    <row r="63" spans="2:9" ht="15" customHeight="1" x14ac:dyDescent="0.2">
      <c r="B63" t="s">
        <v>238</v>
      </c>
      <c r="C63" s="12">
        <v>1</v>
      </c>
      <c r="D63" s="8">
        <v>2.2200000000000002</v>
      </c>
      <c r="E63" s="12">
        <v>0</v>
      </c>
      <c r="F63" s="8">
        <v>0</v>
      </c>
      <c r="G63" s="12">
        <v>1</v>
      </c>
      <c r="H63" s="8">
        <v>5</v>
      </c>
      <c r="I63" s="12">
        <v>0</v>
      </c>
    </row>
    <row r="64" spans="2:9" ht="15" customHeight="1" x14ac:dyDescent="0.2">
      <c r="B64" t="s">
        <v>222</v>
      </c>
      <c r="C64" s="12">
        <v>1</v>
      </c>
      <c r="D64" s="8">
        <v>2.2200000000000002</v>
      </c>
      <c r="E64" s="12">
        <v>0</v>
      </c>
      <c r="F64" s="8">
        <v>0</v>
      </c>
      <c r="G64" s="12">
        <v>1</v>
      </c>
      <c r="H64" s="8">
        <v>5</v>
      </c>
      <c r="I64" s="12">
        <v>0</v>
      </c>
    </row>
    <row r="65" spans="2:9" ht="15" customHeight="1" x14ac:dyDescent="0.2">
      <c r="B65" t="s">
        <v>212</v>
      </c>
      <c r="C65" s="12">
        <v>1</v>
      </c>
      <c r="D65" s="8">
        <v>2.2200000000000002</v>
      </c>
      <c r="E65" s="12">
        <v>1</v>
      </c>
      <c r="F65" s="8">
        <v>4.17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207</v>
      </c>
      <c r="C66" s="12">
        <v>1</v>
      </c>
      <c r="D66" s="8">
        <v>2.2200000000000002</v>
      </c>
      <c r="E66" s="12">
        <v>1</v>
      </c>
      <c r="F66" s="8">
        <v>4.17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210</v>
      </c>
      <c r="C67" s="12">
        <v>1</v>
      </c>
      <c r="D67" s="8">
        <v>2.2200000000000002</v>
      </c>
      <c r="E67" s="12">
        <v>1</v>
      </c>
      <c r="F67" s="8">
        <v>4.17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226</v>
      </c>
      <c r="C68" s="12">
        <v>1</v>
      </c>
      <c r="D68" s="8">
        <v>2.2200000000000002</v>
      </c>
      <c r="E68" s="12">
        <v>0</v>
      </c>
      <c r="F68" s="8">
        <v>0</v>
      </c>
      <c r="G68" s="12">
        <v>1</v>
      </c>
      <c r="H68" s="8">
        <v>5</v>
      </c>
      <c r="I68" s="12">
        <v>0</v>
      </c>
    </row>
    <row r="69" spans="2:9" ht="15" customHeight="1" x14ac:dyDescent="0.2">
      <c r="B69" t="s">
        <v>208</v>
      </c>
      <c r="C69" s="12">
        <v>1</v>
      </c>
      <c r="D69" s="8">
        <v>2.2200000000000002</v>
      </c>
      <c r="E69" s="12">
        <v>1</v>
      </c>
      <c r="F69" s="8">
        <v>4.17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215</v>
      </c>
      <c r="C70" s="12">
        <v>1</v>
      </c>
      <c r="D70" s="8">
        <v>2.2200000000000002</v>
      </c>
      <c r="E70" s="12">
        <v>1</v>
      </c>
      <c r="F70" s="8">
        <v>4.17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170</v>
      </c>
      <c r="C71" s="12">
        <v>1</v>
      </c>
      <c r="D71" s="8">
        <v>2.2200000000000002</v>
      </c>
      <c r="E71" s="12">
        <v>1</v>
      </c>
      <c r="F71" s="8">
        <v>4.17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172</v>
      </c>
      <c r="C72" s="12">
        <v>1</v>
      </c>
      <c r="D72" s="8">
        <v>2.2200000000000002</v>
      </c>
      <c r="E72" s="12">
        <v>1</v>
      </c>
      <c r="F72" s="8">
        <v>4.17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186</v>
      </c>
      <c r="C73" s="12">
        <v>1</v>
      </c>
      <c r="D73" s="8">
        <v>2.2200000000000002</v>
      </c>
      <c r="E73" s="12">
        <v>0</v>
      </c>
      <c r="F73" s="8">
        <v>0</v>
      </c>
      <c r="G73" s="12">
        <v>1</v>
      </c>
      <c r="H73" s="8">
        <v>5</v>
      </c>
      <c r="I73" s="12">
        <v>0</v>
      </c>
    </row>
    <row r="74" spans="2:9" ht="15" customHeight="1" x14ac:dyDescent="0.2">
      <c r="B74" t="s">
        <v>182</v>
      </c>
      <c r="C74" s="12">
        <v>1</v>
      </c>
      <c r="D74" s="8">
        <v>2.2200000000000002</v>
      </c>
      <c r="E74" s="12">
        <v>0</v>
      </c>
      <c r="F74" s="8">
        <v>0</v>
      </c>
      <c r="G74" s="12">
        <v>1</v>
      </c>
      <c r="H74" s="8">
        <v>5</v>
      </c>
      <c r="I74" s="12">
        <v>0</v>
      </c>
    </row>
    <row r="75" spans="2:9" ht="15" customHeight="1" x14ac:dyDescent="0.2">
      <c r="B75" t="s">
        <v>173</v>
      </c>
      <c r="C75" s="12">
        <v>1</v>
      </c>
      <c r="D75" s="8">
        <v>2.2200000000000002</v>
      </c>
      <c r="E75" s="12">
        <v>1</v>
      </c>
      <c r="F75" s="8">
        <v>4.17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325</v>
      </c>
      <c r="C76" s="12">
        <v>1</v>
      </c>
      <c r="D76" s="8">
        <v>2.2200000000000002</v>
      </c>
      <c r="E76" s="12">
        <v>0</v>
      </c>
      <c r="F76" s="8">
        <v>0</v>
      </c>
      <c r="G76" s="12">
        <v>1</v>
      </c>
      <c r="H76" s="8">
        <v>5</v>
      </c>
      <c r="I76" s="12">
        <v>0</v>
      </c>
    </row>
    <row r="77" spans="2:9" ht="15" customHeight="1" x14ac:dyDescent="0.2">
      <c r="B77" t="s">
        <v>326</v>
      </c>
      <c r="C77" s="12">
        <v>1</v>
      </c>
      <c r="D77" s="8">
        <v>2.2200000000000002</v>
      </c>
      <c r="E77" s="12">
        <v>0</v>
      </c>
      <c r="F77" s="8">
        <v>0</v>
      </c>
      <c r="G77" s="12">
        <v>0</v>
      </c>
      <c r="H77" s="8">
        <v>0</v>
      </c>
      <c r="I77" s="12">
        <v>1</v>
      </c>
    </row>
    <row r="78" spans="2:9" ht="15" customHeight="1" x14ac:dyDescent="0.2">
      <c r="B78" t="s">
        <v>177</v>
      </c>
      <c r="C78" s="12">
        <v>1</v>
      </c>
      <c r="D78" s="8">
        <v>2.2200000000000002</v>
      </c>
      <c r="E78" s="12">
        <v>0</v>
      </c>
      <c r="F78" s="8">
        <v>0</v>
      </c>
      <c r="G78" s="12">
        <v>1</v>
      </c>
      <c r="H78" s="8">
        <v>5</v>
      </c>
      <c r="I78" s="12">
        <v>0</v>
      </c>
    </row>
    <row r="80" spans="2:9" ht="15" customHeight="1" x14ac:dyDescent="0.2">
      <c r="B80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D0EF-C217-4495-BEBB-86890DD5A598}">
  <sheetPr>
    <pageSetUpPr fitToPage="1"/>
  </sheetPr>
  <dimension ref="B2:I4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</v>
      </c>
      <c r="D6" s="8">
        <v>22.22</v>
      </c>
      <c r="E6" s="12">
        <v>0</v>
      </c>
      <c r="F6" s="8">
        <v>0</v>
      </c>
      <c r="G6" s="12">
        <v>2</v>
      </c>
      <c r="H6" s="8">
        <v>40</v>
      </c>
      <c r="I6" s="12">
        <v>0</v>
      </c>
    </row>
    <row r="7" spans="2:9" ht="15" customHeight="1" x14ac:dyDescent="0.2">
      <c r="B7" t="s">
        <v>62</v>
      </c>
      <c r="C7" s="12">
        <v>1</v>
      </c>
      <c r="D7" s="8">
        <v>11.11</v>
      </c>
      <c r="E7" s="12">
        <v>0</v>
      </c>
      <c r="F7" s="8">
        <v>0</v>
      </c>
      <c r="G7" s="12">
        <v>1</v>
      </c>
      <c r="H7" s="8">
        <v>20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3</v>
      </c>
      <c r="D11" s="8">
        <v>33.33</v>
      </c>
      <c r="E11" s="12">
        <v>1</v>
      </c>
      <c r="F11" s="8">
        <v>33.33</v>
      </c>
      <c r="G11" s="12">
        <v>2</v>
      </c>
      <c r="H11" s="8">
        <v>40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2</v>
      </c>
      <c r="D15" s="8">
        <v>22.22</v>
      </c>
      <c r="E15" s="12">
        <v>2</v>
      </c>
      <c r="F15" s="8">
        <v>66.67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11.11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SUM(LTBL_07545[総数／事業所数])</f>
        <v>9</v>
      </c>
      <c r="E20" s="12">
        <f>SUBTOTAL(109,LTBL_07545[個人／事業所数])</f>
        <v>3</v>
      </c>
      <c r="G20" s="12">
        <f>SUBTOTAL(109,LTBL_07545[法人／事業所数])</f>
        <v>5</v>
      </c>
      <c r="I20" s="12">
        <f>SUBTOTAL(109,LTBL_07545[法人以外の団体／事業所数])</f>
        <v>0</v>
      </c>
    </row>
    <row r="21" spans="2:9" ht="15" customHeight="1" x14ac:dyDescent="0.2">
      <c r="E21" s="11">
        <f>LTBL_07545[[#Totals],[個人／事業所数]]/LTBL_07545[[#Totals],[総数／事業所数]]</f>
        <v>0.33333333333333331</v>
      </c>
      <c r="G21" s="11">
        <f>LTBL_07545[[#Totals],[法人／事業所数]]/LTBL_07545[[#Totals],[総数／事業所数]]</f>
        <v>0.55555555555555558</v>
      </c>
      <c r="I21" s="11">
        <f>LTBL_07545[[#Totals],[法人以外の団体／事業所数]]/LTBL_07545[[#Totals],[総数／事業所数]]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2</v>
      </c>
      <c r="D24" s="8">
        <v>22.22</v>
      </c>
      <c r="E24" s="12">
        <v>0</v>
      </c>
      <c r="F24" s="8">
        <v>0</v>
      </c>
      <c r="G24" s="12">
        <v>2</v>
      </c>
      <c r="H24" s="8">
        <v>40</v>
      </c>
      <c r="I24" s="12">
        <v>0</v>
      </c>
    </row>
    <row r="25" spans="2:9" ht="15" customHeight="1" x14ac:dyDescent="0.2">
      <c r="B25" t="s">
        <v>91</v>
      </c>
      <c r="C25" s="12">
        <v>2</v>
      </c>
      <c r="D25" s="8">
        <v>22.22</v>
      </c>
      <c r="E25" s="12">
        <v>0</v>
      </c>
      <c r="F25" s="8">
        <v>0</v>
      </c>
      <c r="G25" s="12">
        <v>2</v>
      </c>
      <c r="H25" s="8">
        <v>40</v>
      </c>
      <c r="I25" s="12">
        <v>0</v>
      </c>
    </row>
    <row r="26" spans="2:9" ht="15" customHeight="1" x14ac:dyDescent="0.2">
      <c r="B26" t="s">
        <v>96</v>
      </c>
      <c r="C26" s="12">
        <v>2</v>
      </c>
      <c r="D26" s="8">
        <v>22.22</v>
      </c>
      <c r="E26" s="12">
        <v>2</v>
      </c>
      <c r="F26" s="8">
        <v>66.67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112</v>
      </c>
      <c r="C27" s="12">
        <v>1</v>
      </c>
      <c r="D27" s="8">
        <v>11.11</v>
      </c>
      <c r="E27" s="12">
        <v>0</v>
      </c>
      <c r="F27" s="8">
        <v>0</v>
      </c>
      <c r="G27" s="12">
        <v>1</v>
      </c>
      <c r="H27" s="8">
        <v>20</v>
      </c>
      <c r="I27" s="12">
        <v>0</v>
      </c>
    </row>
    <row r="28" spans="2:9" ht="15" customHeight="1" x14ac:dyDescent="0.2">
      <c r="B28" t="s">
        <v>90</v>
      </c>
      <c r="C28" s="12">
        <v>1</v>
      </c>
      <c r="D28" s="8">
        <v>11.11</v>
      </c>
      <c r="E28" s="12">
        <v>1</v>
      </c>
      <c r="F28" s="8">
        <v>33.33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101</v>
      </c>
      <c r="C29" s="12">
        <v>1</v>
      </c>
      <c r="D29" s="8">
        <v>11.11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2" spans="2:9" ht="33" customHeight="1" x14ac:dyDescent="0.2">
      <c r="B32" t="s">
        <v>339</v>
      </c>
      <c r="C32" s="10" t="s">
        <v>76</v>
      </c>
      <c r="D32" s="10" t="s">
        <v>77</v>
      </c>
      <c r="E32" s="10" t="s">
        <v>78</v>
      </c>
      <c r="F32" s="10" t="s">
        <v>79</v>
      </c>
      <c r="G32" s="10" t="s">
        <v>80</v>
      </c>
      <c r="H32" s="10" t="s">
        <v>81</v>
      </c>
      <c r="I32" s="10" t="s">
        <v>82</v>
      </c>
    </row>
    <row r="33" spans="2:9" ht="15" customHeight="1" x14ac:dyDescent="0.2">
      <c r="B33" t="s">
        <v>166</v>
      </c>
      <c r="C33" s="12">
        <v>2</v>
      </c>
      <c r="D33" s="8">
        <v>22.22</v>
      </c>
      <c r="E33" s="12">
        <v>0</v>
      </c>
      <c r="F33" s="8">
        <v>0</v>
      </c>
      <c r="G33" s="12">
        <v>2</v>
      </c>
      <c r="H33" s="8">
        <v>40</v>
      </c>
      <c r="I33" s="12">
        <v>0</v>
      </c>
    </row>
    <row r="34" spans="2:9" ht="15" customHeight="1" x14ac:dyDescent="0.2">
      <c r="B34" t="s">
        <v>158</v>
      </c>
      <c r="C34" s="12">
        <v>1</v>
      </c>
      <c r="D34" s="8">
        <v>11.11</v>
      </c>
      <c r="E34" s="12">
        <v>0</v>
      </c>
      <c r="F34" s="8">
        <v>0</v>
      </c>
      <c r="G34" s="12">
        <v>1</v>
      </c>
      <c r="H34" s="8">
        <v>20</v>
      </c>
      <c r="I34" s="12">
        <v>0</v>
      </c>
    </row>
    <row r="35" spans="2:9" ht="15" customHeight="1" x14ac:dyDescent="0.2">
      <c r="B35" t="s">
        <v>159</v>
      </c>
      <c r="C35" s="12">
        <v>1</v>
      </c>
      <c r="D35" s="8">
        <v>11.11</v>
      </c>
      <c r="E35" s="12">
        <v>0</v>
      </c>
      <c r="F35" s="8">
        <v>0</v>
      </c>
      <c r="G35" s="12">
        <v>1</v>
      </c>
      <c r="H35" s="8">
        <v>20</v>
      </c>
      <c r="I35" s="12">
        <v>0</v>
      </c>
    </row>
    <row r="36" spans="2:9" ht="15" customHeight="1" x14ac:dyDescent="0.2">
      <c r="B36" t="s">
        <v>280</v>
      </c>
      <c r="C36" s="12">
        <v>1</v>
      </c>
      <c r="D36" s="8">
        <v>11.11</v>
      </c>
      <c r="E36" s="12">
        <v>0</v>
      </c>
      <c r="F36" s="8">
        <v>0</v>
      </c>
      <c r="G36" s="12">
        <v>1</v>
      </c>
      <c r="H36" s="8">
        <v>20</v>
      </c>
      <c r="I36" s="12">
        <v>0</v>
      </c>
    </row>
    <row r="37" spans="2:9" ht="15" customHeight="1" x14ac:dyDescent="0.2">
      <c r="B37" t="s">
        <v>193</v>
      </c>
      <c r="C37" s="12">
        <v>1</v>
      </c>
      <c r="D37" s="8">
        <v>11.11</v>
      </c>
      <c r="E37" s="12">
        <v>1</v>
      </c>
      <c r="F37" s="8">
        <v>33.33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227</v>
      </c>
      <c r="C38" s="12">
        <v>1</v>
      </c>
      <c r="D38" s="8">
        <v>11.11</v>
      </c>
      <c r="E38" s="12">
        <v>1</v>
      </c>
      <c r="F38" s="8">
        <v>33.33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327</v>
      </c>
      <c r="C39" s="12">
        <v>1</v>
      </c>
      <c r="D39" s="8">
        <v>11.11</v>
      </c>
      <c r="E39" s="12">
        <v>1</v>
      </c>
      <c r="F39" s="8">
        <v>33.33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200</v>
      </c>
      <c r="C40" s="12">
        <v>1</v>
      </c>
      <c r="D40" s="8">
        <v>11.11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2" spans="2:9" ht="15" customHeight="1" x14ac:dyDescent="0.2">
      <c r="B42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150A-E3D8-4478-BF18-5D903223ECC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834</v>
      </c>
      <c r="D6" s="8">
        <v>12.67</v>
      </c>
      <c r="E6" s="12">
        <v>182</v>
      </c>
      <c r="F6" s="8">
        <v>5.9</v>
      </c>
      <c r="G6" s="12">
        <v>652</v>
      </c>
      <c r="H6" s="8">
        <v>18.79</v>
      </c>
      <c r="I6" s="12">
        <v>0</v>
      </c>
    </row>
    <row r="7" spans="2:9" ht="15" customHeight="1" x14ac:dyDescent="0.2">
      <c r="B7" t="s">
        <v>62</v>
      </c>
      <c r="C7" s="12">
        <v>374</v>
      </c>
      <c r="D7" s="8">
        <v>5.68</v>
      </c>
      <c r="E7" s="12">
        <v>94</v>
      </c>
      <c r="F7" s="8">
        <v>3.05</v>
      </c>
      <c r="G7" s="12">
        <v>280</v>
      </c>
      <c r="H7" s="8">
        <v>8.07</v>
      </c>
      <c r="I7" s="12">
        <v>0</v>
      </c>
    </row>
    <row r="8" spans="2:9" ht="15" customHeight="1" x14ac:dyDescent="0.2">
      <c r="B8" t="s">
        <v>63</v>
      </c>
      <c r="C8" s="12">
        <v>13</v>
      </c>
      <c r="D8" s="8">
        <v>0.2</v>
      </c>
      <c r="E8" s="12">
        <v>0</v>
      </c>
      <c r="F8" s="8">
        <v>0</v>
      </c>
      <c r="G8" s="12">
        <v>12</v>
      </c>
      <c r="H8" s="8">
        <v>0.35</v>
      </c>
      <c r="I8" s="12">
        <v>0</v>
      </c>
    </row>
    <row r="9" spans="2:9" ht="15" customHeight="1" x14ac:dyDescent="0.2">
      <c r="B9" t="s">
        <v>64</v>
      </c>
      <c r="C9" s="12">
        <v>63</v>
      </c>
      <c r="D9" s="8">
        <v>0.96</v>
      </c>
      <c r="E9" s="12">
        <v>3</v>
      </c>
      <c r="F9" s="8">
        <v>0.1</v>
      </c>
      <c r="G9" s="12">
        <v>59</v>
      </c>
      <c r="H9" s="8">
        <v>1.7</v>
      </c>
      <c r="I9" s="12">
        <v>1</v>
      </c>
    </row>
    <row r="10" spans="2:9" ht="15" customHeight="1" x14ac:dyDescent="0.2">
      <c r="B10" t="s">
        <v>65</v>
      </c>
      <c r="C10" s="12">
        <v>55</v>
      </c>
      <c r="D10" s="8">
        <v>0.84</v>
      </c>
      <c r="E10" s="12">
        <v>23</v>
      </c>
      <c r="F10" s="8">
        <v>0.75</v>
      </c>
      <c r="G10" s="12">
        <v>31</v>
      </c>
      <c r="H10" s="8">
        <v>0.89</v>
      </c>
      <c r="I10" s="12">
        <v>1</v>
      </c>
    </row>
    <row r="11" spans="2:9" ht="15" customHeight="1" x14ac:dyDescent="0.2">
      <c r="B11" t="s">
        <v>66</v>
      </c>
      <c r="C11" s="12">
        <v>1558</v>
      </c>
      <c r="D11" s="8">
        <v>23.67</v>
      </c>
      <c r="E11" s="12">
        <v>604</v>
      </c>
      <c r="F11" s="8">
        <v>19.59</v>
      </c>
      <c r="G11" s="12">
        <v>950</v>
      </c>
      <c r="H11" s="8">
        <v>27.38</v>
      </c>
      <c r="I11" s="12">
        <v>4</v>
      </c>
    </row>
    <row r="12" spans="2:9" ht="15" customHeight="1" x14ac:dyDescent="0.2">
      <c r="B12" t="s">
        <v>67</v>
      </c>
      <c r="C12" s="12">
        <v>53</v>
      </c>
      <c r="D12" s="8">
        <v>0.81</v>
      </c>
      <c r="E12" s="12">
        <v>5</v>
      </c>
      <c r="F12" s="8">
        <v>0.16</v>
      </c>
      <c r="G12" s="12">
        <v>48</v>
      </c>
      <c r="H12" s="8">
        <v>1.38</v>
      </c>
      <c r="I12" s="12">
        <v>0</v>
      </c>
    </row>
    <row r="13" spans="2:9" ht="15" customHeight="1" x14ac:dyDescent="0.2">
      <c r="B13" t="s">
        <v>68</v>
      </c>
      <c r="C13" s="12">
        <v>874</v>
      </c>
      <c r="D13" s="8">
        <v>13.28</v>
      </c>
      <c r="E13" s="12">
        <v>508</v>
      </c>
      <c r="F13" s="8">
        <v>16.48</v>
      </c>
      <c r="G13" s="12">
        <v>364</v>
      </c>
      <c r="H13" s="8">
        <v>10.49</v>
      </c>
      <c r="I13" s="12">
        <v>1</v>
      </c>
    </row>
    <row r="14" spans="2:9" ht="15" customHeight="1" x14ac:dyDescent="0.2">
      <c r="B14" t="s">
        <v>69</v>
      </c>
      <c r="C14" s="12">
        <v>406</v>
      </c>
      <c r="D14" s="8">
        <v>6.17</v>
      </c>
      <c r="E14" s="12">
        <v>167</v>
      </c>
      <c r="F14" s="8">
        <v>5.42</v>
      </c>
      <c r="G14" s="12">
        <v>237</v>
      </c>
      <c r="H14" s="8">
        <v>6.83</v>
      </c>
      <c r="I14" s="12">
        <v>1</v>
      </c>
    </row>
    <row r="15" spans="2:9" ht="15" customHeight="1" x14ac:dyDescent="0.2">
      <c r="B15" t="s">
        <v>70</v>
      </c>
      <c r="C15" s="12">
        <v>738</v>
      </c>
      <c r="D15" s="8">
        <v>11.21</v>
      </c>
      <c r="E15" s="12">
        <v>513</v>
      </c>
      <c r="F15" s="8">
        <v>16.64</v>
      </c>
      <c r="G15" s="12">
        <v>222</v>
      </c>
      <c r="H15" s="8">
        <v>6.4</v>
      </c>
      <c r="I15" s="12">
        <v>0</v>
      </c>
    </row>
    <row r="16" spans="2:9" ht="15" customHeight="1" x14ac:dyDescent="0.2">
      <c r="B16" t="s">
        <v>71</v>
      </c>
      <c r="C16" s="12">
        <v>847</v>
      </c>
      <c r="D16" s="8">
        <v>12.87</v>
      </c>
      <c r="E16" s="12">
        <v>601</v>
      </c>
      <c r="F16" s="8">
        <v>19.489999999999998</v>
      </c>
      <c r="G16" s="12">
        <v>241</v>
      </c>
      <c r="H16" s="8">
        <v>6.95</v>
      </c>
      <c r="I16" s="12">
        <v>0</v>
      </c>
    </row>
    <row r="17" spans="2:9" ht="15" customHeight="1" x14ac:dyDescent="0.2">
      <c r="B17" t="s">
        <v>72</v>
      </c>
      <c r="C17" s="12">
        <v>194</v>
      </c>
      <c r="D17" s="8">
        <v>2.95</v>
      </c>
      <c r="E17" s="12">
        <v>121</v>
      </c>
      <c r="F17" s="8">
        <v>3.92</v>
      </c>
      <c r="G17" s="12">
        <v>70</v>
      </c>
      <c r="H17" s="8">
        <v>2.02</v>
      </c>
      <c r="I17" s="12">
        <v>0</v>
      </c>
    </row>
    <row r="18" spans="2:9" ht="15" customHeight="1" x14ac:dyDescent="0.2">
      <c r="B18" t="s">
        <v>73</v>
      </c>
      <c r="C18" s="12">
        <v>308</v>
      </c>
      <c r="D18" s="8">
        <v>4.68</v>
      </c>
      <c r="E18" s="12">
        <v>192</v>
      </c>
      <c r="F18" s="8">
        <v>6.23</v>
      </c>
      <c r="G18" s="12">
        <v>113</v>
      </c>
      <c r="H18" s="8">
        <v>3.26</v>
      </c>
      <c r="I18" s="12">
        <v>3</v>
      </c>
    </row>
    <row r="19" spans="2:9" ht="15" customHeight="1" x14ac:dyDescent="0.2">
      <c r="B19" t="s">
        <v>74</v>
      </c>
      <c r="C19" s="12">
        <v>264</v>
      </c>
      <c r="D19" s="8">
        <v>4.01</v>
      </c>
      <c r="E19" s="12">
        <v>70</v>
      </c>
      <c r="F19" s="8">
        <v>2.27</v>
      </c>
      <c r="G19" s="12">
        <v>191</v>
      </c>
      <c r="H19" s="8">
        <v>5.5</v>
      </c>
      <c r="I19" s="12">
        <v>2</v>
      </c>
    </row>
    <row r="20" spans="2:9" ht="15" customHeight="1" x14ac:dyDescent="0.2">
      <c r="B20" s="9" t="s">
        <v>337</v>
      </c>
      <c r="C20" s="12">
        <f>SUM(LTBL_07201[総数／事業所数])</f>
        <v>6581</v>
      </c>
      <c r="E20" s="12">
        <f>SUBTOTAL(109,LTBL_07201[個人／事業所数])</f>
        <v>3083</v>
      </c>
      <c r="G20" s="12">
        <f>SUBTOTAL(109,LTBL_07201[法人／事業所数])</f>
        <v>3470</v>
      </c>
      <c r="I20" s="12">
        <f>SUBTOTAL(109,LTBL_07201[法人以外の団体／事業所数])</f>
        <v>13</v>
      </c>
    </row>
    <row r="21" spans="2:9" ht="15" customHeight="1" x14ac:dyDescent="0.2">
      <c r="E21" s="11">
        <f>LTBL_07201[[#Totals],[個人／事業所数]]/LTBL_07201[[#Totals],[総数／事業所数]]</f>
        <v>0.46846983741072784</v>
      </c>
      <c r="G21" s="11">
        <f>LTBL_07201[[#Totals],[法人／事業所数]]/LTBL_07201[[#Totals],[総数／事業所数]]</f>
        <v>0.52727549004710528</v>
      </c>
      <c r="I21" s="11">
        <f>LTBL_07201[[#Totals],[法人以外の団体／事業所数]]/LTBL_07201[[#Totals],[総数／事業所数]]</f>
        <v>1.975383680291749E-3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92</v>
      </c>
      <c r="C24" s="12">
        <v>761</v>
      </c>
      <c r="D24" s="8">
        <v>11.56</v>
      </c>
      <c r="E24" s="12">
        <v>504</v>
      </c>
      <c r="F24" s="8">
        <v>16.350000000000001</v>
      </c>
      <c r="G24" s="12">
        <v>255</v>
      </c>
      <c r="H24" s="8">
        <v>7.35</v>
      </c>
      <c r="I24" s="12">
        <v>1</v>
      </c>
    </row>
    <row r="25" spans="2:9" ht="15" customHeight="1" x14ac:dyDescent="0.2">
      <c r="B25" t="s">
        <v>97</v>
      </c>
      <c r="C25" s="12">
        <v>719</v>
      </c>
      <c r="D25" s="8">
        <v>10.93</v>
      </c>
      <c r="E25" s="12">
        <v>555</v>
      </c>
      <c r="F25" s="8">
        <v>18</v>
      </c>
      <c r="G25" s="12">
        <v>161</v>
      </c>
      <c r="H25" s="8">
        <v>4.6399999999999997</v>
      </c>
      <c r="I25" s="12">
        <v>0</v>
      </c>
    </row>
    <row r="26" spans="2:9" ht="15" customHeight="1" x14ac:dyDescent="0.2">
      <c r="B26" t="s">
        <v>96</v>
      </c>
      <c r="C26" s="12">
        <v>623</v>
      </c>
      <c r="D26" s="8">
        <v>9.4700000000000006</v>
      </c>
      <c r="E26" s="12">
        <v>489</v>
      </c>
      <c r="F26" s="8">
        <v>15.86</v>
      </c>
      <c r="G26" s="12">
        <v>134</v>
      </c>
      <c r="H26" s="8">
        <v>3.86</v>
      </c>
      <c r="I26" s="12">
        <v>0</v>
      </c>
    </row>
    <row r="27" spans="2:9" ht="15" customHeight="1" x14ac:dyDescent="0.2">
      <c r="B27" t="s">
        <v>91</v>
      </c>
      <c r="C27" s="12">
        <v>492</v>
      </c>
      <c r="D27" s="8">
        <v>7.48</v>
      </c>
      <c r="E27" s="12">
        <v>212</v>
      </c>
      <c r="F27" s="8">
        <v>6.88</v>
      </c>
      <c r="G27" s="12">
        <v>278</v>
      </c>
      <c r="H27" s="8">
        <v>8.01</v>
      </c>
      <c r="I27" s="12">
        <v>2</v>
      </c>
    </row>
    <row r="28" spans="2:9" ht="15" customHeight="1" x14ac:dyDescent="0.2">
      <c r="B28" t="s">
        <v>83</v>
      </c>
      <c r="C28" s="12">
        <v>389</v>
      </c>
      <c r="D28" s="8">
        <v>5.91</v>
      </c>
      <c r="E28" s="12">
        <v>75</v>
      </c>
      <c r="F28" s="8">
        <v>2.4300000000000002</v>
      </c>
      <c r="G28" s="12">
        <v>314</v>
      </c>
      <c r="H28" s="8">
        <v>9.0500000000000007</v>
      </c>
      <c r="I28" s="12">
        <v>0</v>
      </c>
    </row>
    <row r="29" spans="2:9" ht="15" customHeight="1" x14ac:dyDescent="0.2">
      <c r="B29" t="s">
        <v>89</v>
      </c>
      <c r="C29" s="12">
        <v>278</v>
      </c>
      <c r="D29" s="8">
        <v>4.22</v>
      </c>
      <c r="E29" s="12">
        <v>160</v>
      </c>
      <c r="F29" s="8">
        <v>5.19</v>
      </c>
      <c r="G29" s="12">
        <v>117</v>
      </c>
      <c r="H29" s="8">
        <v>3.37</v>
      </c>
      <c r="I29" s="12">
        <v>1</v>
      </c>
    </row>
    <row r="30" spans="2:9" ht="15" customHeight="1" x14ac:dyDescent="0.2">
      <c r="B30" t="s">
        <v>84</v>
      </c>
      <c r="C30" s="12">
        <v>236</v>
      </c>
      <c r="D30" s="8">
        <v>3.59</v>
      </c>
      <c r="E30" s="12">
        <v>79</v>
      </c>
      <c r="F30" s="8">
        <v>2.56</v>
      </c>
      <c r="G30" s="12">
        <v>157</v>
      </c>
      <c r="H30" s="8">
        <v>4.5199999999999996</v>
      </c>
      <c r="I30" s="12">
        <v>0</v>
      </c>
    </row>
    <row r="31" spans="2:9" ht="15" customHeight="1" x14ac:dyDescent="0.2">
      <c r="B31" t="s">
        <v>90</v>
      </c>
      <c r="C31" s="12">
        <v>214</v>
      </c>
      <c r="D31" s="8">
        <v>3.25</v>
      </c>
      <c r="E31" s="12">
        <v>92</v>
      </c>
      <c r="F31" s="8">
        <v>2.98</v>
      </c>
      <c r="G31" s="12">
        <v>122</v>
      </c>
      <c r="H31" s="8">
        <v>3.52</v>
      </c>
      <c r="I31" s="12">
        <v>0</v>
      </c>
    </row>
    <row r="32" spans="2:9" ht="15" customHeight="1" x14ac:dyDescent="0.2">
      <c r="B32" t="s">
        <v>85</v>
      </c>
      <c r="C32" s="12">
        <v>209</v>
      </c>
      <c r="D32" s="8">
        <v>3.18</v>
      </c>
      <c r="E32" s="12">
        <v>28</v>
      </c>
      <c r="F32" s="8">
        <v>0.91</v>
      </c>
      <c r="G32" s="12">
        <v>181</v>
      </c>
      <c r="H32" s="8">
        <v>5.22</v>
      </c>
      <c r="I32" s="12">
        <v>0</v>
      </c>
    </row>
    <row r="33" spans="2:9" ht="15" customHeight="1" x14ac:dyDescent="0.2">
      <c r="B33" t="s">
        <v>100</v>
      </c>
      <c r="C33" s="12">
        <v>208</v>
      </c>
      <c r="D33" s="8">
        <v>3.16</v>
      </c>
      <c r="E33" s="12">
        <v>186</v>
      </c>
      <c r="F33" s="8">
        <v>6.03</v>
      </c>
      <c r="G33" s="12">
        <v>22</v>
      </c>
      <c r="H33" s="8">
        <v>0.63</v>
      </c>
      <c r="I33" s="12">
        <v>0</v>
      </c>
    </row>
    <row r="34" spans="2:9" ht="15" customHeight="1" x14ac:dyDescent="0.2">
      <c r="B34" t="s">
        <v>99</v>
      </c>
      <c r="C34" s="12">
        <v>194</v>
      </c>
      <c r="D34" s="8">
        <v>2.95</v>
      </c>
      <c r="E34" s="12">
        <v>121</v>
      </c>
      <c r="F34" s="8">
        <v>3.92</v>
      </c>
      <c r="G34" s="12">
        <v>70</v>
      </c>
      <c r="H34" s="8">
        <v>2.02</v>
      </c>
      <c r="I34" s="12">
        <v>0</v>
      </c>
    </row>
    <row r="35" spans="2:9" ht="15" customHeight="1" x14ac:dyDescent="0.2">
      <c r="B35" t="s">
        <v>93</v>
      </c>
      <c r="C35" s="12">
        <v>189</v>
      </c>
      <c r="D35" s="8">
        <v>2.87</v>
      </c>
      <c r="E35" s="12">
        <v>113</v>
      </c>
      <c r="F35" s="8">
        <v>3.67</v>
      </c>
      <c r="G35" s="12">
        <v>76</v>
      </c>
      <c r="H35" s="8">
        <v>2.19</v>
      </c>
      <c r="I35" s="12">
        <v>0</v>
      </c>
    </row>
    <row r="36" spans="2:9" ht="15" customHeight="1" x14ac:dyDescent="0.2">
      <c r="B36" t="s">
        <v>94</v>
      </c>
      <c r="C36" s="12">
        <v>185</v>
      </c>
      <c r="D36" s="8">
        <v>2.81</v>
      </c>
      <c r="E36" s="12">
        <v>54</v>
      </c>
      <c r="F36" s="8">
        <v>1.75</v>
      </c>
      <c r="G36" s="12">
        <v>131</v>
      </c>
      <c r="H36" s="8">
        <v>3.78</v>
      </c>
      <c r="I36" s="12">
        <v>0</v>
      </c>
    </row>
    <row r="37" spans="2:9" ht="15" customHeight="1" x14ac:dyDescent="0.2">
      <c r="B37" t="s">
        <v>88</v>
      </c>
      <c r="C37" s="12">
        <v>171</v>
      </c>
      <c r="D37" s="8">
        <v>2.6</v>
      </c>
      <c r="E37" s="12">
        <v>75</v>
      </c>
      <c r="F37" s="8">
        <v>2.4300000000000002</v>
      </c>
      <c r="G37" s="12">
        <v>96</v>
      </c>
      <c r="H37" s="8">
        <v>2.77</v>
      </c>
      <c r="I37" s="12">
        <v>0</v>
      </c>
    </row>
    <row r="38" spans="2:9" ht="15" customHeight="1" x14ac:dyDescent="0.2">
      <c r="B38" t="s">
        <v>101</v>
      </c>
      <c r="C38" s="12">
        <v>100</v>
      </c>
      <c r="D38" s="8">
        <v>1.52</v>
      </c>
      <c r="E38" s="12">
        <v>6</v>
      </c>
      <c r="F38" s="8">
        <v>0.19</v>
      </c>
      <c r="G38" s="12">
        <v>91</v>
      </c>
      <c r="H38" s="8">
        <v>2.62</v>
      </c>
      <c r="I38" s="12">
        <v>3</v>
      </c>
    </row>
    <row r="39" spans="2:9" ht="15" customHeight="1" x14ac:dyDescent="0.2">
      <c r="B39" t="s">
        <v>102</v>
      </c>
      <c r="C39" s="12">
        <v>98</v>
      </c>
      <c r="D39" s="8">
        <v>1.49</v>
      </c>
      <c r="E39" s="12">
        <v>51</v>
      </c>
      <c r="F39" s="8">
        <v>1.65</v>
      </c>
      <c r="G39" s="12">
        <v>47</v>
      </c>
      <c r="H39" s="8">
        <v>1.35</v>
      </c>
      <c r="I39" s="12">
        <v>0</v>
      </c>
    </row>
    <row r="40" spans="2:9" ht="15" customHeight="1" x14ac:dyDescent="0.2">
      <c r="B40" t="s">
        <v>98</v>
      </c>
      <c r="C40" s="12">
        <v>87</v>
      </c>
      <c r="D40" s="8">
        <v>1.32</v>
      </c>
      <c r="E40" s="12">
        <v>31</v>
      </c>
      <c r="F40" s="8">
        <v>1.01</v>
      </c>
      <c r="G40" s="12">
        <v>54</v>
      </c>
      <c r="H40" s="8">
        <v>1.56</v>
      </c>
      <c r="I40" s="12">
        <v>0</v>
      </c>
    </row>
    <row r="41" spans="2:9" ht="15" customHeight="1" x14ac:dyDescent="0.2">
      <c r="B41" t="s">
        <v>103</v>
      </c>
      <c r="C41" s="12">
        <v>85</v>
      </c>
      <c r="D41" s="8">
        <v>1.29</v>
      </c>
      <c r="E41" s="12">
        <v>26</v>
      </c>
      <c r="F41" s="8">
        <v>0.84</v>
      </c>
      <c r="G41" s="12">
        <v>59</v>
      </c>
      <c r="H41" s="8">
        <v>1.7</v>
      </c>
      <c r="I41" s="12">
        <v>0</v>
      </c>
    </row>
    <row r="42" spans="2:9" ht="15" customHeight="1" x14ac:dyDescent="0.2">
      <c r="B42" t="s">
        <v>104</v>
      </c>
      <c r="C42" s="12">
        <v>85</v>
      </c>
      <c r="D42" s="8">
        <v>1.29</v>
      </c>
      <c r="E42" s="12">
        <v>3</v>
      </c>
      <c r="F42" s="8">
        <v>0.1</v>
      </c>
      <c r="G42" s="12">
        <v>82</v>
      </c>
      <c r="H42" s="8">
        <v>2.36</v>
      </c>
      <c r="I42" s="12">
        <v>0</v>
      </c>
    </row>
    <row r="43" spans="2:9" ht="15" customHeight="1" x14ac:dyDescent="0.2">
      <c r="B43" t="s">
        <v>87</v>
      </c>
      <c r="C43" s="12">
        <v>84</v>
      </c>
      <c r="D43" s="8">
        <v>1.28</v>
      </c>
      <c r="E43" s="12">
        <v>4</v>
      </c>
      <c r="F43" s="8">
        <v>0.13</v>
      </c>
      <c r="G43" s="12">
        <v>80</v>
      </c>
      <c r="H43" s="8">
        <v>2.31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511</v>
      </c>
      <c r="D47" s="8">
        <v>7.76</v>
      </c>
      <c r="E47" s="12">
        <v>390</v>
      </c>
      <c r="F47" s="8">
        <v>12.65</v>
      </c>
      <c r="G47" s="12">
        <v>121</v>
      </c>
      <c r="H47" s="8">
        <v>3.49</v>
      </c>
      <c r="I47" s="12">
        <v>0</v>
      </c>
    </row>
    <row r="48" spans="2:9" ht="15" customHeight="1" x14ac:dyDescent="0.2">
      <c r="B48" t="s">
        <v>174</v>
      </c>
      <c r="C48" s="12">
        <v>373</v>
      </c>
      <c r="D48" s="8">
        <v>5.67</v>
      </c>
      <c r="E48" s="12">
        <v>312</v>
      </c>
      <c r="F48" s="8">
        <v>10.119999999999999</v>
      </c>
      <c r="G48" s="12">
        <v>61</v>
      </c>
      <c r="H48" s="8">
        <v>1.76</v>
      </c>
      <c r="I48" s="12">
        <v>0</v>
      </c>
    </row>
    <row r="49" spans="2:9" ht="15" customHeight="1" x14ac:dyDescent="0.2">
      <c r="B49" t="s">
        <v>173</v>
      </c>
      <c r="C49" s="12">
        <v>213</v>
      </c>
      <c r="D49" s="8">
        <v>3.24</v>
      </c>
      <c r="E49" s="12">
        <v>203</v>
      </c>
      <c r="F49" s="8">
        <v>6.58</v>
      </c>
      <c r="G49" s="12">
        <v>10</v>
      </c>
      <c r="H49" s="8">
        <v>0.28999999999999998</v>
      </c>
      <c r="I49" s="12">
        <v>0</v>
      </c>
    </row>
    <row r="50" spans="2:9" ht="15" customHeight="1" x14ac:dyDescent="0.2">
      <c r="B50" t="s">
        <v>170</v>
      </c>
      <c r="C50" s="12">
        <v>164</v>
      </c>
      <c r="D50" s="8">
        <v>2.4900000000000002</v>
      </c>
      <c r="E50" s="12">
        <v>118</v>
      </c>
      <c r="F50" s="8">
        <v>3.83</v>
      </c>
      <c r="G50" s="12">
        <v>46</v>
      </c>
      <c r="H50" s="8">
        <v>1.33</v>
      </c>
      <c r="I50" s="12">
        <v>0</v>
      </c>
    </row>
    <row r="51" spans="2:9" ht="15" customHeight="1" x14ac:dyDescent="0.2">
      <c r="B51" t="s">
        <v>172</v>
      </c>
      <c r="C51" s="12">
        <v>157</v>
      </c>
      <c r="D51" s="8">
        <v>2.39</v>
      </c>
      <c r="E51" s="12">
        <v>147</v>
      </c>
      <c r="F51" s="8">
        <v>4.7699999999999996</v>
      </c>
      <c r="G51" s="12">
        <v>10</v>
      </c>
      <c r="H51" s="8">
        <v>0.28999999999999998</v>
      </c>
      <c r="I51" s="12">
        <v>0</v>
      </c>
    </row>
    <row r="52" spans="2:9" ht="15" customHeight="1" x14ac:dyDescent="0.2">
      <c r="B52" t="s">
        <v>166</v>
      </c>
      <c r="C52" s="12">
        <v>144</v>
      </c>
      <c r="D52" s="8">
        <v>2.19</v>
      </c>
      <c r="E52" s="12">
        <v>76</v>
      </c>
      <c r="F52" s="8">
        <v>2.4700000000000002</v>
      </c>
      <c r="G52" s="12">
        <v>66</v>
      </c>
      <c r="H52" s="8">
        <v>1.9</v>
      </c>
      <c r="I52" s="12">
        <v>2</v>
      </c>
    </row>
    <row r="53" spans="2:9" ht="15" customHeight="1" x14ac:dyDescent="0.2">
      <c r="B53" t="s">
        <v>176</v>
      </c>
      <c r="C53" s="12">
        <v>142</v>
      </c>
      <c r="D53" s="8">
        <v>2.16</v>
      </c>
      <c r="E53" s="12">
        <v>137</v>
      </c>
      <c r="F53" s="8">
        <v>4.4400000000000004</v>
      </c>
      <c r="G53" s="12">
        <v>5</v>
      </c>
      <c r="H53" s="8">
        <v>0.14000000000000001</v>
      </c>
      <c r="I53" s="12">
        <v>0</v>
      </c>
    </row>
    <row r="54" spans="2:9" ht="15" customHeight="1" x14ac:dyDescent="0.2">
      <c r="B54" t="s">
        <v>169</v>
      </c>
      <c r="C54" s="12">
        <v>136</v>
      </c>
      <c r="D54" s="8">
        <v>2.0699999999999998</v>
      </c>
      <c r="E54" s="12">
        <v>30</v>
      </c>
      <c r="F54" s="8">
        <v>0.97</v>
      </c>
      <c r="G54" s="12">
        <v>106</v>
      </c>
      <c r="H54" s="8">
        <v>3.05</v>
      </c>
      <c r="I54" s="12">
        <v>0</v>
      </c>
    </row>
    <row r="55" spans="2:9" ht="15" customHeight="1" x14ac:dyDescent="0.2">
      <c r="B55" t="s">
        <v>165</v>
      </c>
      <c r="C55" s="12">
        <v>132</v>
      </c>
      <c r="D55" s="8">
        <v>2.0099999999999998</v>
      </c>
      <c r="E55" s="12">
        <v>38</v>
      </c>
      <c r="F55" s="8">
        <v>1.23</v>
      </c>
      <c r="G55" s="12">
        <v>94</v>
      </c>
      <c r="H55" s="8">
        <v>2.71</v>
      </c>
      <c r="I55" s="12">
        <v>0</v>
      </c>
    </row>
    <row r="56" spans="2:9" ht="15" customHeight="1" x14ac:dyDescent="0.2">
      <c r="B56" t="s">
        <v>171</v>
      </c>
      <c r="C56" s="12">
        <v>132</v>
      </c>
      <c r="D56" s="8">
        <v>2.0099999999999998</v>
      </c>
      <c r="E56" s="12">
        <v>97</v>
      </c>
      <c r="F56" s="8">
        <v>3.15</v>
      </c>
      <c r="G56" s="12">
        <v>35</v>
      </c>
      <c r="H56" s="8">
        <v>1.01</v>
      </c>
      <c r="I56" s="12">
        <v>0</v>
      </c>
    </row>
    <row r="57" spans="2:9" ht="15" customHeight="1" x14ac:dyDescent="0.2">
      <c r="B57" t="s">
        <v>167</v>
      </c>
      <c r="C57" s="12">
        <v>130</v>
      </c>
      <c r="D57" s="8">
        <v>1.98</v>
      </c>
      <c r="E57" s="12">
        <v>52</v>
      </c>
      <c r="F57" s="8">
        <v>1.69</v>
      </c>
      <c r="G57" s="12">
        <v>77</v>
      </c>
      <c r="H57" s="8">
        <v>2.2200000000000002</v>
      </c>
      <c r="I57" s="12">
        <v>1</v>
      </c>
    </row>
    <row r="58" spans="2:9" ht="15" customHeight="1" x14ac:dyDescent="0.2">
      <c r="B58" t="s">
        <v>164</v>
      </c>
      <c r="C58" s="12">
        <v>122</v>
      </c>
      <c r="D58" s="8">
        <v>1.85</v>
      </c>
      <c r="E58" s="12">
        <v>51</v>
      </c>
      <c r="F58" s="8">
        <v>1.65</v>
      </c>
      <c r="G58" s="12">
        <v>71</v>
      </c>
      <c r="H58" s="8">
        <v>2.0499999999999998</v>
      </c>
      <c r="I58" s="12">
        <v>0</v>
      </c>
    </row>
    <row r="59" spans="2:9" ht="15" customHeight="1" x14ac:dyDescent="0.2">
      <c r="B59" t="s">
        <v>175</v>
      </c>
      <c r="C59" s="12">
        <v>113</v>
      </c>
      <c r="D59" s="8">
        <v>1.72</v>
      </c>
      <c r="E59" s="12">
        <v>86</v>
      </c>
      <c r="F59" s="8">
        <v>2.79</v>
      </c>
      <c r="G59" s="12">
        <v>27</v>
      </c>
      <c r="H59" s="8">
        <v>0.78</v>
      </c>
      <c r="I59" s="12">
        <v>0</v>
      </c>
    </row>
    <row r="60" spans="2:9" ht="15" customHeight="1" x14ac:dyDescent="0.2">
      <c r="B60" t="s">
        <v>158</v>
      </c>
      <c r="C60" s="12">
        <v>110</v>
      </c>
      <c r="D60" s="8">
        <v>1.67</v>
      </c>
      <c r="E60" s="12">
        <v>15</v>
      </c>
      <c r="F60" s="8">
        <v>0.49</v>
      </c>
      <c r="G60" s="12">
        <v>95</v>
      </c>
      <c r="H60" s="8">
        <v>2.74</v>
      </c>
      <c r="I60" s="12">
        <v>0</v>
      </c>
    </row>
    <row r="61" spans="2:9" ht="15" customHeight="1" x14ac:dyDescent="0.2">
      <c r="B61" t="s">
        <v>163</v>
      </c>
      <c r="C61" s="12">
        <v>103</v>
      </c>
      <c r="D61" s="8">
        <v>1.57</v>
      </c>
      <c r="E61" s="12">
        <v>50</v>
      </c>
      <c r="F61" s="8">
        <v>1.62</v>
      </c>
      <c r="G61" s="12">
        <v>52</v>
      </c>
      <c r="H61" s="8">
        <v>1.5</v>
      </c>
      <c r="I61" s="12">
        <v>1</v>
      </c>
    </row>
    <row r="62" spans="2:9" ht="15" customHeight="1" x14ac:dyDescent="0.2">
      <c r="B62" t="s">
        <v>160</v>
      </c>
      <c r="C62" s="12">
        <v>98</v>
      </c>
      <c r="D62" s="8">
        <v>1.49</v>
      </c>
      <c r="E62" s="12">
        <v>34</v>
      </c>
      <c r="F62" s="8">
        <v>1.1000000000000001</v>
      </c>
      <c r="G62" s="12">
        <v>64</v>
      </c>
      <c r="H62" s="8">
        <v>1.84</v>
      </c>
      <c r="I62" s="12">
        <v>0</v>
      </c>
    </row>
    <row r="63" spans="2:9" ht="15" customHeight="1" x14ac:dyDescent="0.2">
      <c r="B63" t="s">
        <v>177</v>
      </c>
      <c r="C63" s="12">
        <v>98</v>
      </c>
      <c r="D63" s="8">
        <v>1.49</v>
      </c>
      <c r="E63" s="12">
        <v>51</v>
      </c>
      <c r="F63" s="8">
        <v>1.65</v>
      </c>
      <c r="G63" s="12">
        <v>47</v>
      </c>
      <c r="H63" s="8">
        <v>1.35</v>
      </c>
      <c r="I63" s="12">
        <v>0</v>
      </c>
    </row>
    <row r="64" spans="2:9" ht="15" customHeight="1" x14ac:dyDescent="0.2">
      <c r="B64" t="s">
        <v>159</v>
      </c>
      <c r="C64" s="12">
        <v>86</v>
      </c>
      <c r="D64" s="8">
        <v>1.31</v>
      </c>
      <c r="E64" s="12">
        <v>9</v>
      </c>
      <c r="F64" s="8">
        <v>0.28999999999999998</v>
      </c>
      <c r="G64" s="12">
        <v>77</v>
      </c>
      <c r="H64" s="8">
        <v>2.2200000000000002</v>
      </c>
      <c r="I64" s="12">
        <v>0</v>
      </c>
    </row>
    <row r="65" spans="2:9" ht="15" customHeight="1" x14ac:dyDescent="0.2">
      <c r="B65" t="s">
        <v>178</v>
      </c>
      <c r="C65" s="12">
        <v>84</v>
      </c>
      <c r="D65" s="8">
        <v>1.28</v>
      </c>
      <c r="E65" s="12">
        <v>55</v>
      </c>
      <c r="F65" s="8">
        <v>1.78</v>
      </c>
      <c r="G65" s="12">
        <v>29</v>
      </c>
      <c r="H65" s="8">
        <v>0.84</v>
      </c>
      <c r="I65" s="12">
        <v>0</v>
      </c>
    </row>
    <row r="66" spans="2:9" ht="15" customHeight="1" x14ac:dyDescent="0.2">
      <c r="B66" t="s">
        <v>161</v>
      </c>
      <c r="C66" s="12">
        <v>81</v>
      </c>
      <c r="D66" s="8">
        <v>1.23</v>
      </c>
      <c r="E66" s="12">
        <v>13</v>
      </c>
      <c r="F66" s="8">
        <v>0.42</v>
      </c>
      <c r="G66" s="12">
        <v>68</v>
      </c>
      <c r="H66" s="8">
        <v>1.96</v>
      </c>
      <c r="I66" s="12">
        <v>0</v>
      </c>
    </row>
    <row r="67" spans="2:9" ht="15" customHeight="1" x14ac:dyDescent="0.2">
      <c r="B67" t="s">
        <v>179</v>
      </c>
      <c r="C67" s="12">
        <v>81</v>
      </c>
      <c r="D67" s="8">
        <v>1.23</v>
      </c>
      <c r="E67" s="12">
        <v>60</v>
      </c>
      <c r="F67" s="8">
        <v>1.95</v>
      </c>
      <c r="G67" s="12">
        <v>21</v>
      </c>
      <c r="H67" s="8">
        <v>0.61</v>
      </c>
      <c r="I67" s="12">
        <v>0</v>
      </c>
    </row>
    <row r="69" spans="2:9" ht="15" customHeight="1" x14ac:dyDescent="0.2">
      <c r="B69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09AB-5C31-49A7-97F9-B7DEC81D2FC2}">
  <sheetPr>
    <pageSetUpPr fitToPage="1"/>
  </sheetPr>
  <dimension ref="B2:I3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395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/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2</v>
      </c>
      <c r="D6" s="8">
        <v>66.67</v>
      </c>
      <c r="E6" s="12">
        <v>0</v>
      </c>
      <c r="F6" s="8"/>
      <c r="G6" s="12">
        <v>2</v>
      </c>
      <c r="H6" s="8">
        <v>66.67</v>
      </c>
      <c r="I6" s="12">
        <v>0</v>
      </c>
    </row>
    <row r="7" spans="2:9" ht="15" customHeight="1" x14ac:dyDescent="0.2">
      <c r="B7" t="s">
        <v>62</v>
      </c>
      <c r="C7" s="12">
        <v>1</v>
      </c>
      <c r="D7" s="8">
        <v>33.33</v>
      </c>
      <c r="E7" s="12">
        <v>0</v>
      </c>
      <c r="F7" s="8"/>
      <c r="G7" s="12">
        <v>1</v>
      </c>
      <c r="H7" s="8">
        <v>33.33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/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/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/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0</v>
      </c>
      <c r="D11" s="8">
        <v>0</v>
      </c>
      <c r="E11" s="12">
        <v>0</v>
      </c>
      <c r="F11" s="8"/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/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/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/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0</v>
      </c>
      <c r="D15" s="8">
        <v>0</v>
      </c>
      <c r="E15" s="12">
        <v>0</v>
      </c>
      <c r="F15" s="8"/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71</v>
      </c>
      <c r="C16" s="12">
        <v>0</v>
      </c>
      <c r="D16" s="8">
        <v>0</v>
      </c>
      <c r="E16" s="12">
        <v>0</v>
      </c>
      <c r="F16" s="8"/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/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0</v>
      </c>
      <c r="D18" s="8">
        <v>0</v>
      </c>
      <c r="E18" s="12">
        <v>0</v>
      </c>
      <c r="F18" s="8"/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0</v>
      </c>
      <c r="D19" s="8">
        <v>0</v>
      </c>
      <c r="E19" s="12">
        <v>0</v>
      </c>
      <c r="F19" s="8"/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SUM(LTBL_07546[総数／事業所数])</f>
        <v>3</v>
      </c>
      <c r="E20" s="12">
        <f>SUBTOTAL(109,LTBL_07546[個人／事業所数])</f>
        <v>0</v>
      </c>
      <c r="G20" s="12">
        <f>SUBTOTAL(109,LTBL_07546[法人／事業所数])</f>
        <v>3</v>
      </c>
      <c r="I20" s="12">
        <f>SUBTOTAL(109,LTBL_07546[法人以外の団体／事業所数])</f>
        <v>0</v>
      </c>
    </row>
    <row r="21" spans="2:9" ht="15" customHeight="1" x14ac:dyDescent="0.2">
      <c r="E21" s="11">
        <f>LTBL_07546[[#Totals],[個人／事業所数]]/LTBL_07546[[#Totals],[総数／事業所数]]</f>
        <v>0</v>
      </c>
      <c r="G21" s="11">
        <f>LTBL_07546[[#Totals],[法人／事業所数]]/LTBL_07546[[#Totals],[総数／事業所数]]</f>
        <v>1</v>
      </c>
      <c r="I21" s="11">
        <f>LTBL_07546[[#Totals],[法人以外の団体／事業所数]]/LTBL_07546[[#Totals],[総数／事業所数]]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1</v>
      </c>
      <c r="D24" s="8">
        <v>33.33</v>
      </c>
      <c r="E24" s="12">
        <v>0</v>
      </c>
      <c r="F24" s="8"/>
      <c r="G24" s="12">
        <v>1</v>
      </c>
      <c r="H24" s="8">
        <v>33.33</v>
      </c>
      <c r="I24" s="12">
        <v>0</v>
      </c>
    </row>
    <row r="25" spans="2:9" ht="15" customHeight="1" x14ac:dyDescent="0.2">
      <c r="B25" t="s">
        <v>84</v>
      </c>
      <c r="C25" s="12">
        <v>1</v>
      </c>
      <c r="D25" s="8">
        <v>33.33</v>
      </c>
      <c r="E25" s="12">
        <v>0</v>
      </c>
      <c r="F25" s="8"/>
      <c r="G25" s="12">
        <v>1</v>
      </c>
      <c r="H25" s="8">
        <v>33.33</v>
      </c>
      <c r="I25" s="12">
        <v>0</v>
      </c>
    </row>
    <row r="26" spans="2:9" ht="15" customHeight="1" x14ac:dyDescent="0.2">
      <c r="B26" t="s">
        <v>118</v>
      </c>
      <c r="C26" s="12">
        <v>1</v>
      </c>
      <c r="D26" s="8">
        <v>33.33</v>
      </c>
      <c r="E26" s="12">
        <v>0</v>
      </c>
      <c r="F26" s="8"/>
      <c r="G26" s="12">
        <v>1</v>
      </c>
      <c r="H26" s="8">
        <v>33.33</v>
      </c>
      <c r="I26" s="12">
        <v>0</v>
      </c>
    </row>
    <row r="29" spans="2:9" ht="33" customHeight="1" x14ac:dyDescent="0.2">
      <c r="B29" t="s">
        <v>339</v>
      </c>
      <c r="C29" s="10" t="s">
        <v>76</v>
      </c>
      <c r="D29" s="10" t="s">
        <v>77</v>
      </c>
      <c r="E29" s="10" t="s">
        <v>78</v>
      </c>
      <c r="F29" s="10" t="s">
        <v>79</v>
      </c>
      <c r="G29" s="10" t="s">
        <v>80</v>
      </c>
      <c r="H29" s="10" t="s">
        <v>81</v>
      </c>
      <c r="I29" s="10" t="s">
        <v>82</v>
      </c>
    </row>
    <row r="30" spans="2:9" ht="15" customHeight="1" x14ac:dyDescent="0.2">
      <c r="B30" t="s">
        <v>159</v>
      </c>
      <c r="C30" s="12">
        <v>1</v>
      </c>
      <c r="D30" s="8">
        <v>33.33</v>
      </c>
      <c r="E30" s="12">
        <v>0</v>
      </c>
      <c r="F30" s="8"/>
      <c r="G30" s="12">
        <v>1</v>
      </c>
      <c r="H30" s="8">
        <v>33.33</v>
      </c>
      <c r="I30" s="12">
        <v>0</v>
      </c>
    </row>
    <row r="31" spans="2:9" ht="15" customHeight="1" x14ac:dyDescent="0.2">
      <c r="B31" t="s">
        <v>196</v>
      </c>
      <c r="C31" s="12">
        <v>1</v>
      </c>
      <c r="D31" s="8">
        <v>33.33</v>
      </c>
      <c r="E31" s="12">
        <v>0</v>
      </c>
      <c r="F31" s="8"/>
      <c r="G31" s="12">
        <v>1</v>
      </c>
      <c r="H31" s="8">
        <v>33.33</v>
      </c>
      <c r="I31" s="12">
        <v>0</v>
      </c>
    </row>
    <row r="32" spans="2:9" ht="15" customHeight="1" x14ac:dyDescent="0.2">
      <c r="B32" t="s">
        <v>203</v>
      </c>
      <c r="C32" s="12">
        <v>1</v>
      </c>
      <c r="D32" s="8">
        <v>33.33</v>
      </c>
      <c r="E32" s="12">
        <v>0</v>
      </c>
      <c r="F32" s="8"/>
      <c r="G32" s="12">
        <v>1</v>
      </c>
      <c r="H32" s="8">
        <v>33.33</v>
      </c>
      <c r="I32" s="12">
        <v>0</v>
      </c>
    </row>
    <row r="34" spans="2:2" ht="15" customHeight="1" x14ac:dyDescent="0.2">
      <c r="B34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BB8C-3218-4922-BCCE-E6A38049247E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396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14</v>
      </c>
      <c r="D6" s="8">
        <v>31.11</v>
      </c>
      <c r="E6" s="12">
        <v>1</v>
      </c>
      <c r="F6" s="8">
        <v>7.14</v>
      </c>
      <c r="G6" s="12">
        <v>13</v>
      </c>
      <c r="H6" s="8">
        <v>41.94</v>
      </c>
      <c r="I6" s="12">
        <v>0</v>
      </c>
    </row>
    <row r="7" spans="2:9" ht="15" customHeight="1" x14ac:dyDescent="0.2">
      <c r="B7" t="s">
        <v>62</v>
      </c>
      <c r="C7" s="12">
        <v>5</v>
      </c>
      <c r="D7" s="8">
        <v>11.11</v>
      </c>
      <c r="E7" s="12">
        <v>0</v>
      </c>
      <c r="F7" s="8">
        <v>0</v>
      </c>
      <c r="G7" s="12">
        <v>5</v>
      </c>
      <c r="H7" s="8">
        <v>16.13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2</v>
      </c>
      <c r="D9" s="8">
        <v>4.4400000000000004</v>
      </c>
      <c r="E9" s="12">
        <v>0</v>
      </c>
      <c r="F9" s="8">
        <v>0</v>
      </c>
      <c r="G9" s="12">
        <v>2</v>
      </c>
      <c r="H9" s="8">
        <v>6.45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7</v>
      </c>
      <c r="D11" s="8">
        <v>15.56</v>
      </c>
      <c r="E11" s="12">
        <v>4</v>
      </c>
      <c r="F11" s="8">
        <v>28.57</v>
      </c>
      <c r="G11" s="12">
        <v>3</v>
      </c>
      <c r="H11" s="8">
        <v>9.68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</v>
      </c>
      <c r="D13" s="8">
        <v>2.2200000000000002</v>
      </c>
      <c r="E13" s="12">
        <v>0</v>
      </c>
      <c r="F13" s="8">
        <v>0</v>
      </c>
      <c r="G13" s="12">
        <v>1</v>
      </c>
      <c r="H13" s="8">
        <v>3.23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2.2200000000000002</v>
      </c>
      <c r="E14" s="12">
        <v>0</v>
      </c>
      <c r="F14" s="8">
        <v>0</v>
      </c>
      <c r="G14" s="12">
        <v>1</v>
      </c>
      <c r="H14" s="8">
        <v>3.23</v>
      </c>
      <c r="I14" s="12">
        <v>0</v>
      </c>
    </row>
    <row r="15" spans="2:9" ht="15" customHeight="1" x14ac:dyDescent="0.2">
      <c r="B15" t="s">
        <v>70</v>
      </c>
      <c r="C15" s="12">
        <v>8</v>
      </c>
      <c r="D15" s="8">
        <v>17.78</v>
      </c>
      <c r="E15" s="12">
        <v>6</v>
      </c>
      <c r="F15" s="8">
        <v>42.86</v>
      </c>
      <c r="G15" s="12">
        <v>2</v>
      </c>
      <c r="H15" s="8">
        <v>6.45</v>
      </c>
      <c r="I15" s="12">
        <v>0</v>
      </c>
    </row>
    <row r="16" spans="2:9" ht="15" customHeight="1" x14ac:dyDescent="0.2">
      <c r="B16" t="s">
        <v>71</v>
      </c>
      <c r="C16" s="12">
        <v>1</v>
      </c>
      <c r="D16" s="8">
        <v>2.2200000000000002</v>
      </c>
      <c r="E16" s="12">
        <v>0</v>
      </c>
      <c r="F16" s="8">
        <v>0</v>
      </c>
      <c r="G16" s="12">
        <v>1</v>
      </c>
      <c r="H16" s="8">
        <v>3.23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2.2200000000000002</v>
      </c>
      <c r="E18" s="12">
        <v>1</v>
      </c>
      <c r="F18" s="8">
        <v>7.14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5</v>
      </c>
      <c r="D19" s="8">
        <v>11.11</v>
      </c>
      <c r="E19" s="12">
        <v>2</v>
      </c>
      <c r="F19" s="8">
        <v>14.29</v>
      </c>
      <c r="G19" s="12">
        <v>3</v>
      </c>
      <c r="H19" s="8">
        <v>9.68</v>
      </c>
      <c r="I19" s="12">
        <v>0</v>
      </c>
    </row>
    <row r="20" spans="2:9" ht="15" customHeight="1" x14ac:dyDescent="0.2">
      <c r="B20" s="9" t="s">
        <v>337</v>
      </c>
      <c r="C20" s="12">
        <f>SUM(LTBL_07547[総数／事業所数])</f>
        <v>45</v>
      </c>
      <c r="E20" s="12">
        <f>SUBTOTAL(109,LTBL_07547[個人／事業所数])</f>
        <v>14</v>
      </c>
      <c r="G20" s="12">
        <f>SUBTOTAL(109,LTBL_07547[法人／事業所数])</f>
        <v>31</v>
      </c>
      <c r="I20" s="12">
        <f>SUBTOTAL(109,LTBL_07547[法人以外の団体／事業所数])</f>
        <v>0</v>
      </c>
    </row>
    <row r="21" spans="2:9" ht="15" customHeight="1" x14ac:dyDescent="0.2">
      <c r="E21" s="11">
        <f>LTBL_07547[[#Totals],[個人／事業所数]]/LTBL_07547[[#Totals],[総数／事業所数]]</f>
        <v>0.31111111111111112</v>
      </c>
      <c r="G21" s="11">
        <f>LTBL_07547[[#Totals],[法人／事業所数]]/LTBL_07547[[#Totals],[総数／事業所数]]</f>
        <v>0.68888888888888888</v>
      </c>
      <c r="I21" s="11">
        <f>LTBL_07547[[#Totals],[法人以外の団体／事業所数]]/LTBL_07547[[#Totals],[総数／事業所数]]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7</v>
      </c>
      <c r="D24" s="8">
        <v>15.56</v>
      </c>
      <c r="E24" s="12">
        <v>5</v>
      </c>
      <c r="F24" s="8">
        <v>35.71</v>
      </c>
      <c r="G24" s="12">
        <v>2</v>
      </c>
      <c r="H24" s="8">
        <v>6.45</v>
      </c>
      <c r="I24" s="12">
        <v>0</v>
      </c>
    </row>
    <row r="25" spans="2:9" ht="15" customHeight="1" x14ac:dyDescent="0.2">
      <c r="B25" t="s">
        <v>83</v>
      </c>
      <c r="C25" s="12">
        <v>6</v>
      </c>
      <c r="D25" s="8">
        <v>13.33</v>
      </c>
      <c r="E25" s="12">
        <v>1</v>
      </c>
      <c r="F25" s="8">
        <v>7.14</v>
      </c>
      <c r="G25" s="12">
        <v>5</v>
      </c>
      <c r="H25" s="8">
        <v>16.13</v>
      </c>
      <c r="I25" s="12">
        <v>0</v>
      </c>
    </row>
    <row r="26" spans="2:9" ht="15" customHeight="1" x14ac:dyDescent="0.2">
      <c r="B26" t="s">
        <v>91</v>
      </c>
      <c r="C26" s="12">
        <v>5</v>
      </c>
      <c r="D26" s="8">
        <v>11.11</v>
      </c>
      <c r="E26" s="12">
        <v>3</v>
      </c>
      <c r="F26" s="8">
        <v>21.43</v>
      </c>
      <c r="G26" s="12">
        <v>2</v>
      </c>
      <c r="H26" s="8">
        <v>6.45</v>
      </c>
      <c r="I26" s="12">
        <v>0</v>
      </c>
    </row>
    <row r="27" spans="2:9" ht="15" customHeight="1" x14ac:dyDescent="0.2">
      <c r="B27" t="s">
        <v>84</v>
      </c>
      <c r="C27" s="12">
        <v>4</v>
      </c>
      <c r="D27" s="8">
        <v>8.89</v>
      </c>
      <c r="E27" s="12">
        <v>0</v>
      </c>
      <c r="F27" s="8">
        <v>0</v>
      </c>
      <c r="G27" s="12">
        <v>4</v>
      </c>
      <c r="H27" s="8">
        <v>12.9</v>
      </c>
      <c r="I27" s="12">
        <v>0</v>
      </c>
    </row>
    <row r="28" spans="2:9" ht="15" customHeight="1" x14ac:dyDescent="0.2">
      <c r="B28" t="s">
        <v>85</v>
      </c>
      <c r="C28" s="12">
        <v>4</v>
      </c>
      <c r="D28" s="8">
        <v>8.89</v>
      </c>
      <c r="E28" s="12">
        <v>0</v>
      </c>
      <c r="F28" s="8">
        <v>0</v>
      </c>
      <c r="G28" s="12">
        <v>4</v>
      </c>
      <c r="H28" s="8">
        <v>12.9</v>
      </c>
      <c r="I28" s="12">
        <v>0</v>
      </c>
    </row>
    <row r="29" spans="2:9" ht="15" customHeight="1" x14ac:dyDescent="0.2">
      <c r="B29" t="s">
        <v>102</v>
      </c>
      <c r="C29" s="12">
        <v>3</v>
      </c>
      <c r="D29" s="8">
        <v>6.67</v>
      </c>
      <c r="E29" s="12">
        <v>2</v>
      </c>
      <c r="F29" s="8">
        <v>14.29</v>
      </c>
      <c r="G29" s="12">
        <v>1</v>
      </c>
      <c r="H29" s="8">
        <v>3.23</v>
      </c>
      <c r="I29" s="12">
        <v>0</v>
      </c>
    </row>
    <row r="30" spans="2:9" ht="15" customHeight="1" x14ac:dyDescent="0.2">
      <c r="B30" t="s">
        <v>112</v>
      </c>
      <c r="C30" s="12">
        <v>2</v>
      </c>
      <c r="D30" s="8">
        <v>4.4400000000000004</v>
      </c>
      <c r="E30" s="12">
        <v>0</v>
      </c>
      <c r="F30" s="8">
        <v>0</v>
      </c>
      <c r="G30" s="12">
        <v>2</v>
      </c>
      <c r="H30" s="8">
        <v>6.45</v>
      </c>
      <c r="I30" s="12">
        <v>0</v>
      </c>
    </row>
    <row r="31" spans="2:9" ht="15" customHeight="1" x14ac:dyDescent="0.2">
      <c r="B31" t="s">
        <v>155</v>
      </c>
      <c r="C31" s="12">
        <v>2</v>
      </c>
      <c r="D31" s="8">
        <v>4.4400000000000004</v>
      </c>
      <c r="E31" s="12">
        <v>0</v>
      </c>
      <c r="F31" s="8">
        <v>0</v>
      </c>
      <c r="G31" s="12">
        <v>2</v>
      </c>
      <c r="H31" s="8">
        <v>6.45</v>
      </c>
      <c r="I31" s="12">
        <v>0</v>
      </c>
    </row>
    <row r="32" spans="2:9" ht="15" customHeight="1" x14ac:dyDescent="0.2">
      <c r="B32" t="s">
        <v>132</v>
      </c>
      <c r="C32" s="12">
        <v>1</v>
      </c>
      <c r="D32" s="8">
        <v>2.2200000000000002</v>
      </c>
      <c r="E32" s="12">
        <v>0</v>
      </c>
      <c r="F32" s="8">
        <v>0</v>
      </c>
      <c r="G32" s="12">
        <v>1</v>
      </c>
      <c r="H32" s="8">
        <v>3.23</v>
      </c>
      <c r="I32" s="12">
        <v>0</v>
      </c>
    </row>
    <row r="33" spans="2:9" ht="15" customHeight="1" x14ac:dyDescent="0.2">
      <c r="B33" t="s">
        <v>111</v>
      </c>
      <c r="C33" s="12">
        <v>1</v>
      </c>
      <c r="D33" s="8">
        <v>2.2200000000000002</v>
      </c>
      <c r="E33" s="12">
        <v>0</v>
      </c>
      <c r="F33" s="8">
        <v>0</v>
      </c>
      <c r="G33" s="12">
        <v>1</v>
      </c>
      <c r="H33" s="8">
        <v>3.23</v>
      </c>
      <c r="I33" s="12">
        <v>0</v>
      </c>
    </row>
    <row r="34" spans="2:9" ht="15" customHeight="1" x14ac:dyDescent="0.2">
      <c r="B34" t="s">
        <v>122</v>
      </c>
      <c r="C34" s="12">
        <v>1</v>
      </c>
      <c r="D34" s="8">
        <v>2.2200000000000002</v>
      </c>
      <c r="E34" s="12">
        <v>0</v>
      </c>
      <c r="F34" s="8">
        <v>0</v>
      </c>
      <c r="G34" s="12">
        <v>1</v>
      </c>
      <c r="H34" s="8">
        <v>3.23</v>
      </c>
      <c r="I34" s="12">
        <v>0</v>
      </c>
    </row>
    <row r="35" spans="2:9" ht="15" customHeight="1" x14ac:dyDescent="0.2">
      <c r="B35" t="s">
        <v>89</v>
      </c>
      <c r="C35" s="12">
        <v>1</v>
      </c>
      <c r="D35" s="8">
        <v>2.2200000000000002</v>
      </c>
      <c r="E35" s="12">
        <v>0</v>
      </c>
      <c r="F35" s="8">
        <v>0</v>
      </c>
      <c r="G35" s="12">
        <v>1</v>
      </c>
      <c r="H35" s="8">
        <v>3.23</v>
      </c>
      <c r="I35" s="12">
        <v>0</v>
      </c>
    </row>
    <row r="36" spans="2:9" ht="15" customHeight="1" x14ac:dyDescent="0.2">
      <c r="B36" t="s">
        <v>90</v>
      </c>
      <c r="C36" s="12">
        <v>1</v>
      </c>
      <c r="D36" s="8">
        <v>2.2200000000000002</v>
      </c>
      <c r="E36" s="12">
        <v>1</v>
      </c>
      <c r="F36" s="8">
        <v>7.14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92</v>
      </c>
      <c r="C37" s="12">
        <v>1</v>
      </c>
      <c r="D37" s="8">
        <v>2.2200000000000002</v>
      </c>
      <c r="E37" s="12">
        <v>0</v>
      </c>
      <c r="F37" s="8">
        <v>0</v>
      </c>
      <c r="G37" s="12">
        <v>1</v>
      </c>
      <c r="H37" s="8">
        <v>3.23</v>
      </c>
      <c r="I37" s="12">
        <v>0</v>
      </c>
    </row>
    <row r="38" spans="2:9" ht="15" customHeight="1" x14ac:dyDescent="0.2">
      <c r="B38" t="s">
        <v>94</v>
      </c>
      <c r="C38" s="12">
        <v>1</v>
      </c>
      <c r="D38" s="8">
        <v>2.2200000000000002</v>
      </c>
      <c r="E38" s="12">
        <v>0</v>
      </c>
      <c r="F38" s="8">
        <v>0</v>
      </c>
      <c r="G38" s="12">
        <v>1</v>
      </c>
      <c r="H38" s="8">
        <v>3.23</v>
      </c>
      <c r="I38" s="12">
        <v>0</v>
      </c>
    </row>
    <row r="39" spans="2:9" ht="15" customHeight="1" x14ac:dyDescent="0.2">
      <c r="B39" t="s">
        <v>113</v>
      </c>
      <c r="C39" s="12">
        <v>1</v>
      </c>
      <c r="D39" s="8">
        <v>2.2200000000000002</v>
      </c>
      <c r="E39" s="12">
        <v>1</v>
      </c>
      <c r="F39" s="8">
        <v>7.14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97</v>
      </c>
      <c r="C40" s="12">
        <v>1</v>
      </c>
      <c r="D40" s="8">
        <v>2.2200000000000002</v>
      </c>
      <c r="E40" s="12">
        <v>0</v>
      </c>
      <c r="F40" s="8">
        <v>0</v>
      </c>
      <c r="G40" s="12">
        <v>1</v>
      </c>
      <c r="H40" s="8">
        <v>3.23</v>
      </c>
      <c r="I40" s="12">
        <v>0</v>
      </c>
    </row>
    <row r="41" spans="2:9" ht="15" customHeight="1" x14ac:dyDescent="0.2">
      <c r="B41" t="s">
        <v>100</v>
      </c>
      <c r="C41" s="12">
        <v>1</v>
      </c>
      <c r="D41" s="8">
        <v>2.2200000000000002</v>
      </c>
      <c r="E41" s="12">
        <v>1</v>
      </c>
      <c r="F41" s="8">
        <v>7.14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120</v>
      </c>
      <c r="C42" s="12">
        <v>1</v>
      </c>
      <c r="D42" s="8">
        <v>2.2200000000000002</v>
      </c>
      <c r="E42" s="12">
        <v>0</v>
      </c>
      <c r="F42" s="8">
        <v>0</v>
      </c>
      <c r="G42" s="12">
        <v>1</v>
      </c>
      <c r="H42" s="8">
        <v>3.23</v>
      </c>
      <c r="I42" s="12">
        <v>0</v>
      </c>
    </row>
    <row r="43" spans="2:9" ht="15" customHeight="1" x14ac:dyDescent="0.2">
      <c r="B43" t="s">
        <v>108</v>
      </c>
      <c r="C43" s="12">
        <v>1</v>
      </c>
      <c r="D43" s="8">
        <v>2.2200000000000002</v>
      </c>
      <c r="E43" s="12">
        <v>0</v>
      </c>
      <c r="F43" s="8">
        <v>0</v>
      </c>
      <c r="G43" s="12">
        <v>1</v>
      </c>
      <c r="H43" s="8">
        <v>3.23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170</v>
      </c>
      <c r="C47" s="12">
        <v>5</v>
      </c>
      <c r="D47" s="8">
        <v>11.11</v>
      </c>
      <c r="E47" s="12">
        <v>3</v>
      </c>
      <c r="F47" s="8">
        <v>21.43</v>
      </c>
      <c r="G47" s="12">
        <v>2</v>
      </c>
      <c r="H47" s="8">
        <v>6.45</v>
      </c>
      <c r="I47" s="12">
        <v>0</v>
      </c>
    </row>
    <row r="48" spans="2:9" ht="15" customHeight="1" x14ac:dyDescent="0.2">
      <c r="B48" t="s">
        <v>185</v>
      </c>
      <c r="C48" s="12">
        <v>3</v>
      </c>
      <c r="D48" s="8">
        <v>6.67</v>
      </c>
      <c r="E48" s="12">
        <v>1</v>
      </c>
      <c r="F48" s="8">
        <v>7.14</v>
      </c>
      <c r="G48" s="12">
        <v>2</v>
      </c>
      <c r="H48" s="8">
        <v>6.45</v>
      </c>
      <c r="I48" s="12">
        <v>0</v>
      </c>
    </row>
    <row r="49" spans="2:9" ht="15" customHeight="1" x14ac:dyDescent="0.2">
      <c r="B49" t="s">
        <v>177</v>
      </c>
      <c r="C49" s="12">
        <v>3</v>
      </c>
      <c r="D49" s="8">
        <v>6.67</v>
      </c>
      <c r="E49" s="12">
        <v>2</v>
      </c>
      <c r="F49" s="8">
        <v>14.29</v>
      </c>
      <c r="G49" s="12">
        <v>1</v>
      </c>
      <c r="H49" s="8">
        <v>3.23</v>
      </c>
      <c r="I49" s="12">
        <v>0</v>
      </c>
    </row>
    <row r="50" spans="2:9" ht="15" customHeight="1" x14ac:dyDescent="0.2">
      <c r="B50" t="s">
        <v>159</v>
      </c>
      <c r="C50" s="12">
        <v>2</v>
      </c>
      <c r="D50" s="8">
        <v>4.4400000000000004</v>
      </c>
      <c r="E50" s="12">
        <v>1</v>
      </c>
      <c r="F50" s="8">
        <v>7.14</v>
      </c>
      <c r="G50" s="12">
        <v>1</v>
      </c>
      <c r="H50" s="8">
        <v>3.23</v>
      </c>
      <c r="I50" s="12">
        <v>0</v>
      </c>
    </row>
    <row r="51" spans="2:9" ht="15" customHeight="1" x14ac:dyDescent="0.2">
      <c r="B51" t="s">
        <v>196</v>
      </c>
      <c r="C51" s="12">
        <v>2</v>
      </c>
      <c r="D51" s="8">
        <v>4.4400000000000004</v>
      </c>
      <c r="E51" s="12">
        <v>0</v>
      </c>
      <c r="F51" s="8">
        <v>0</v>
      </c>
      <c r="G51" s="12">
        <v>2</v>
      </c>
      <c r="H51" s="8">
        <v>6.45</v>
      </c>
      <c r="I51" s="12">
        <v>0</v>
      </c>
    </row>
    <row r="52" spans="2:9" ht="15" customHeight="1" x14ac:dyDescent="0.2">
      <c r="B52" t="s">
        <v>162</v>
      </c>
      <c r="C52" s="12">
        <v>2</v>
      </c>
      <c r="D52" s="8">
        <v>4.4400000000000004</v>
      </c>
      <c r="E52" s="12">
        <v>0</v>
      </c>
      <c r="F52" s="8">
        <v>0</v>
      </c>
      <c r="G52" s="12">
        <v>2</v>
      </c>
      <c r="H52" s="8">
        <v>6.45</v>
      </c>
      <c r="I52" s="12">
        <v>0</v>
      </c>
    </row>
    <row r="53" spans="2:9" ht="15" customHeight="1" x14ac:dyDescent="0.2">
      <c r="B53" t="s">
        <v>210</v>
      </c>
      <c r="C53" s="12">
        <v>2</v>
      </c>
      <c r="D53" s="8">
        <v>4.4400000000000004</v>
      </c>
      <c r="E53" s="12">
        <v>2</v>
      </c>
      <c r="F53" s="8">
        <v>14.29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158</v>
      </c>
      <c r="C54" s="12">
        <v>1</v>
      </c>
      <c r="D54" s="8">
        <v>2.2200000000000002</v>
      </c>
      <c r="E54" s="12">
        <v>0</v>
      </c>
      <c r="F54" s="8">
        <v>0</v>
      </c>
      <c r="G54" s="12">
        <v>1</v>
      </c>
      <c r="H54" s="8">
        <v>3.23</v>
      </c>
      <c r="I54" s="12">
        <v>0</v>
      </c>
    </row>
    <row r="55" spans="2:9" ht="15" customHeight="1" x14ac:dyDescent="0.2">
      <c r="B55" t="s">
        <v>305</v>
      </c>
      <c r="C55" s="12">
        <v>1</v>
      </c>
      <c r="D55" s="8">
        <v>2.2200000000000002</v>
      </c>
      <c r="E55" s="12">
        <v>0</v>
      </c>
      <c r="F55" s="8">
        <v>0</v>
      </c>
      <c r="G55" s="12">
        <v>1</v>
      </c>
      <c r="H55" s="8">
        <v>3.23</v>
      </c>
      <c r="I55" s="12">
        <v>0</v>
      </c>
    </row>
    <row r="56" spans="2:9" ht="15" customHeight="1" x14ac:dyDescent="0.2">
      <c r="B56" t="s">
        <v>160</v>
      </c>
      <c r="C56" s="12">
        <v>1</v>
      </c>
      <c r="D56" s="8">
        <v>2.2200000000000002</v>
      </c>
      <c r="E56" s="12">
        <v>0</v>
      </c>
      <c r="F56" s="8">
        <v>0</v>
      </c>
      <c r="G56" s="12">
        <v>1</v>
      </c>
      <c r="H56" s="8">
        <v>3.23</v>
      </c>
      <c r="I56" s="12">
        <v>0</v>
      </c>
    </row>
    <row r="57" spans="2:9" ht="15" customHeight="1" x14ac:dyDescent="0.2">
      <c r="B57" t="s">
        <v>198</v>
      </c>
      <c r="C57" s="12">
        <v>1</v>
      </c>
      <c r="D57" s="8">
        <v>2.2200000000000002</v>
      </c>
      <c r="E57" s="12">
        <v>0</v>
      </c>
      <c r="F57" s="8">
        <v>0</v>
      </c>
      <c r="G57" s="12">
        <v>1</v>
      </c>
      <c r="H57" s="8">
        <v>3.23</v>
      </c>
      <c r="I57" s="12">
        <v>0</v>
      </c>
    </row>
    <row r="58" spans="2:9" ht="15" customHeight="1" x14ac:dyDescent="0.2">
      <c r="B58" t="s">
        <v>288</v>
      </c>
      <c r="C58" s="12">
        <v>1</v>
      </c>
      <c r="D58" s="8">
        <v>2.2200000000000002</v>
      </c>
      <c r="E58" s="12">
        <v>0</v>
      </c>
      <c r="F58" s="8">
        <v>0</v>
      </c>
      <c r="G58" s="12">
        <v>1</v>
      </c>
      <c r="H58" s="8">
        <v>3.23</v>
      </c>
      <c r="I58" s="12">
        <v>0</v>
      </c>
    </row>
    <row r="59" spans="2:9" ht="15" customHeight="1" x14ac:dyDescent="0.2">
      <c r="B59" t="s">
        <v>195</v>
      </c>
      <c r="C59" s="12">
        <v>1</v>
      </c>
      <c r="D59" s="8">
        <v>2.2200000000000002</v>
      </c>
      <c r="E59" s="12">
        <v>0</v>
      </c>
      <c r="F59" s="8">
        <v>0</v>
      </c>
      <c r="G59" s="12">
        <v>1</v>
      </c>
      <c r="H59" s="8">
        <v>3.23</v>
      </c>
      <c r="I59" s="12">
        <v>0</v>
      </c>
    </row>
    <row r="60" spans="2:9" ht="15" customHeight="1" x14ac:dyDescent="0.2">
      <c r="B60" t="s">
        <v>161</v>
      </c>
      <c r="C60" s="12">
        <v>1</v>
      </c>
      <c r="D60" s="8">
        <v>2.2200000000000002</v>
      </c>
      <c r="E60" s="12">
        <v>0</v>
      </c>
      <c r="F60" s="8">
        <v>0</v>
      </c>
      <c r="G60" s="12">
        <v>1</v>
      </c>
      <c r="H60" s="8">
        <v>3.23</v>
      </c>
      <c r="I60" s="12">
        <v>0</v>
      </c>
    </row>
    <row r="61" spans="2:9" ht="15" customHeight="1" x14ac:dyDescent="0.2">
      <c r="B61" t="s">
        <v>307</v>
      </c>
      <c r="C61" s="12">
        <v>1</v>
      </c>
      <c r="D61" s="8">
        <v>2.2200000000000002</v>
      </c>
      <c r="E61" s="12">
        <v>0</v>
      </c>
      <c r="F61" s="8">
        <v>0</v>
      </c>
      <c r="G61" s="12">
        <v>1</v>
      </c>
      <c r="H61" s="8">
        <v>3.23</v>
      </c>
      <c r="I61" s="12">
        <v>0</v>
      </c>
    </row>
    <row r="62" spans="2:9" ht="15" customHeight="1" x14ac:dyDescent="0.2">
      <c r="B62" t="s">
        <v>245</v>
      </c>
      <c r="C62" s="12">
        <v>1</v>
      </c>
      <c r="D62" s="8">
        <v>2.2200000000000002</v>
      </c>
      <c r="E62" s="12">
        <v>0</v>
      </c>
      <c r="F62" s="8">
        <v>0</v>
      </c>
      <c r="G62" s="12">
        <v>1</v>
      </c>
      <c r="H62" s="8">
        <v>3.23</v>
      </c>
      <c r="I62" s="12">
        <v>0</v>
      </c>
    </row>
    <row r="63" spans="2:9" ht="15" customHeight="1" x14ac:dyDescent="0.2">
      <c r="B63" t="s">
        <v>289</v>
      </c>
      <c r="C63" s="12">
        <v>1</v>
      </c>
      <c r="D63" s="8">
        <v>2.2200000000000002</v>
      </c>
      <c r="E63" s="12">
        <v>0</v>
      </c>
      <c r="F63" s="8">
        <v>0</v>
      </c>
      <c r="G63" s="12">
        <v>1</v>
      </c>
      <c r="H63" s="8">
        <v>3.23</v>
      </c>
      <c r="I63" s="12">
        <v>0</v>
      </c>
    </row>
    <row r="64" spans="2:9" ht="15" customHeight="1" x14ac:dyDescent="0.2">
      <c r="B64" t="s">
        <v>312</v>
      </c>
      <c r="C64" s="12">
        <v>1</v>
      </c>
      <c r="D64" s="8">
        <v>2.2200000000000002</v>
      </c>
      <c r="E64" s="12">
        <v>0</v>
      </c>
      <c r="F64" s="8">
        <v>0</v>
      </c>
      <c r="G64" s="12">
        <v>1</v>
      </c>
      <c r="H64" s="8">
        <v>3.23</v>
      </c>
      <c r="I64" s="12">
        <v>0</v>
      </c>
    </row>
    <row r="65" spans="2:9" ht="15" customHeight="1" x14ac:dyDescent="0.2">
      <c r="B65" t="s">
        <v>283</v>
      </c>
      <c r="C65" s="12">
        <v>1</v>
      </c>
      <c r="D65" s="8">
        <v>2.2200000000000002</v>
      </c>
      <c r="E65" s="12">
        <v>0</v>
      </c>
      <c r="F65" s="8">
        <v>0</v>
      </c>
      <c r="G65" s="12">
        <v>1</v>
      </c>
      <c r="H65" s="8">
        <v>3.23</v>
      </c>
      <c r="I65" s="12">
        <v>0</v>
      </c>
    </row>
    <row r="66" spans="2:9" ht="15" customHeight="1" x14ac:dyDescent="0.2">
      <c r="B66" t="s">
        <v>328</v>
      </c>
      <c r="C66" s="12">
        <v>1</v>
      </c>
      <c r="D66" s="8">
        <v>2.2200000000000002</v>
      </c>
      <c r="E66" s="12">
        <v>0</v>
      </c>
      <c r="F66" s="8">
        <v>0</v>
      </c>
      <c r="G66" s="12">
        <v>1</v>
      </c>
      <c r="H66" s="8">
        <v>3.23</v>
      </c>
      <c r="I66" s="12">
        <v>0</v>
      </c>
    </row>
    <row r="67" spans="2:9" ht="15" customHeight="1" x14ac:dyDescent="0.2">
      <c r="B67" t="s">
        <v>313</v>
      </c>
      <c r="C67" s="12">
        <v>1</v>
      </c>
      <c r="D67" s="8">
        <v>2.2200000000000002</v>
      </c>
      <c r="E67" s="12">
        <v>0</v>
      </c>
      <c r="F67" s="8">
        <v>0</v>
      </c>
      <c r="G67" s="12">
        <v>1</v>
      </c>
      <c r="H67" s="8">
        <v>3.23</v>
      </c>
      <c r="I67" s="12">
        <v>0</v>
      </c>
    </row>
    <row r="68" spans="2:9" ht="15" customHeight="1" x14ac:dyDescent="0.2">
      <c r="B68" t="s">
        <v>314</v>
      </c>
      <c r="C68" s="12">
        <v>1</v>
      </c>
      <c r="D68" s="8">
        <v>2.2200000000000002</v>
      </c>
      <c r="E68" s="12">
        <v>0</v>
      </c>
      <c r="F68" s="8">
        <v>0</v>
      </c>
      <c r="G68" s="12">
        <v>1</v>
      </c>
      <c r="H68" s="8">
        <v>3.23</v>
      </c>
      <c r="I68" s="12">
        <v>0</v>
      </c>
    </row>
    <row r="69" spans="2:9" ht="15" customHeight="1" x14ac:dyDescent="0.2">
      <c r="B69" t="s">
        <v>191</v>
      </c>
      <c r="C69" s="12">
        <v>1</v>
      </c>
      <c r="D69" s="8">
        <v>2.2200000000000002</v>
      </c>
      <c r="E69" s="12">
        <v>0</v>
      </c>
      <c r="F69" s="8">
        <v>0</v>
      </c>
      <c r="G69" s="12">
        <v>1</v>
      </c>
      <c r="H69" s="8">
        <v>3.23</v>
      </c>
      <c r="I69" s="12">
        <v>0</v>
      </c>
    </row>
    <row r="70" spans="2:9" ht="15" customHeight="1" x14ac:dyDescent="0.2">
      <c r="B70" t="s">
        <v>164</v>
      </c>
      <c r="C70" s="12">
        <v>1</v>
      </c>
      <c r="D70" s="8">
        <v>2.2200000000000002</v>
      </c>
      <c r="E70" s="12">
        <v>1</v>
      </c>
      <c r="F70" s="8">
        <v>7.14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168</v>
      </c>
      <c r="C71" s="12">
        <v>1</v>
      </c>
      <c r="D71" s="8">
        <v>2.2200000000000002</v>
      </c>
      <c r="E71" s="12">
        <v>0</v>
      </c>
      <c r="F71" s="8">
        <v>0</v>
      </c>
      <c r="G71" s="12">
        <v>1</v>
      </c>
      <c r="H71" s="8">
        <v>3.23</v>
      </c>
      <c r="I71" s="12">
        <v>0</v>
      </c>
    </row>
    <row r="72" spans="2:9" ht="15" customHeight="1" x14ac:dyDescent="0.2">
      <c r="B72" t="s">
        <v>169</v>
      </c>
      <c r="C72" s="12">
        <v>1</v>
      </c>
      <c r="D72" s="8">
        <v>2.2200000000000002</v>
      </c>
      <c r="E72" s="12">
        <v>0</v>
      </c>
      <c r="F72" s="8">
        <v>0</v>
      </c>
      <c r="G72" s="12">
        <v>1</v>
      </c>
      <c r="H72" s="8">
        <v>3.23</v>
      </c>
      <c r="I72" s="12">
        <v>0</v>
      </c>
    </row>
    <row r="73" spans="2:9" ht="15" customHeight="1" x14ac:dyDescent="0.2">
      <c r="B73" t="s">
        <v>181</v>
      </c>
      <c r="C73" s="12">
        <v>1</v>
      </c>
      <c r="D73" s="8">
        <v>2.2200000000000002</v>
      </c>
      <c r="E73" s="12">
        <v>1</v>
      </c>
      <c r="F73" s="8">
        <v>7.14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171</v>
      </c>
      <c r="C74" s="12">
        <v>1</v>
      </c>
      <c r="D74" s="8">
        <v>2.2200000000000002</v>
      </c>
      <c r="E74" s="12">
        <v>1</v>
      </c>
      <c r="F74" s="8">
        <v>7.14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282</v>
      </c>
      <c r="C75" s="12">
        <v>1</v>
      </c>
      <c r="D75" s="8">
        <v>2.2200000000000002</v>
      </c>
      <c r="E75" s="12">
        <v>1</v>
      </c>
      <c r="F75" s="8">
        <v>7.14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268</v>
      </c>
      <c r="C76" s="12">
        <v>1</v>
      </c>
      <c r="D76" s="8">
        <v>2.2200000000000002</v>
      </c>
      <c r="E76" s="12">
        <v>0</v>
      </c>
      <c r="F76" s="8">
        <v>0</v>
      </c>
      <c r="G76" s="12">
        <v>1</v>
      </c>
      <c r="H76" s="8">
        <v>3.23</v>
      </c>
      <c r="I76" s="12">
        <v>0</v>
      </c>
    </row>
    <row r="77" spans="2:9" ht="15" customHeight="1" x14ac:dyDescent="0.2">
      <c r="B77" t="s">
        <v>286</v>
      </c>
      <c r="C77" s="12">
        <v>1</v>
      </c>
      <c r="D77" s="8">
        <v>2.2200000000000002</v>
      </c>
      <c r="E77" s="12">
        <v>1</v>
      </c>
      <c r="F77" s="8">
        <v>7.14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326</v>
      </c>
      <c r="C78" s="12">
        <v>1</v>
      </c>
      <c r="D78" s="8">
        <v>2.2200000000000002</v>
      </c>
      <c r="E78" s="12">
        <v>0</v>
      </c>
      <c r="F78" s="8">
        <v>0</v>
      </c>
      <c r="G78" s="12">
        <v>1</v>
      </c>
      <c r="H78" s="8">
        <v>3.23</v>
      </c>
      <c r="I78" s="12">
        <v>0</v>
      </c>
    </row>
    <row r="79" spans="2:9" ht="15" customHeight="1" x14ac:dyDescent="0.2">
      <c r="B79" t="s">
        <v>322</v>
      </c>
      <c r="C79" s="12">
        <v>1</v>
      </c>
      <c r="D79" s="8">
        <v>2.2200000000000002</v>
      </c>
      <c r="E79" s="12">
        <v>0</v>
      </c>
      <c r="F79" s="8">
        <v>0</v>
      </c>
      <c r="G79" s="12">
        <v>1</v>
      </c>
      <c r="H79" s="8">
        <v>3.23</v>
      </c>
      <c r="I79" s="12">
        <v>0</v>
      </c>
    </row>
    <row r="81" spans="2:2" ht="15" customHeight="1" x14ac:dyDescent="0.2">
      <c r="B81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E901-5675-41E0-AC54-1B4CC871D8F7}">
  <sheetPr>
    <pageSetUpPr fitToPage="1"/>
  </sheetPr>
  <dimension ref="B2:I4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397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</v>
      </c>
      <c r="D6" s="8">
        <v>33.33</v>
      </c>
      <c r="E6" s="12">
        <v>0</v>
      </c>
      <c r="F6" s="8">
        <v>0</v>
      </c>
      <c r="G6" s="12">
        <v>4</v>
      </c>
      <c r="H6" s="8">
        <v>50</v>
      </c>
      <c r="I6" s="12">
        <v>0</v>
      </c>
    </row>
    <row r="7" spans="2:9" ht="15" customHeight="1" x14ac:dyDescent="0.2">
      <c r="B7" t="s">
        <v>62</v>
      </c>
      <c r="C7" s="12">
        <v>2</v>
      </c>
      <c r="D7" s="8">
        <v>16.670000000000002</v>
      </c>
      <c r="E7" s="12">
        <v>0</v>
      </c>
      <c r="F7" s="8">
        <v>0</v>
      </c>
      <c r="G7" s="12">
        <v>2</v>
      </c>
      <c r="H7" s="8">
        <v>25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3</v>
      </c>
      <c r="D11" s="8">
        <v>25</v>
      </c>
      <c r="E11" s="12">
        <v>2</v>
      </c>
      <c r="F11" s="8">
        <v>66.67</v>
      </c>
      <c r="G11" s="12">
        <v>1</v>
      </c>
      <c r="H11" s="8">
        <v>12.5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1</v>
      </c>
      <c r="D14" s="8">
        <v>8.33</v>
      </c>
      <c r="E14" s="12">
        <v>0</v>
      </c>
      <c r="F14" s="8">
        <v>0</v>
      </c>
      <c r="G14" s="12">
        <v>1</v>
      </c>
      <c r="H14" s="8">
        <v>12.5</v>
      </c>
      <c r="I14" s="12">
        <v>0</v>
      </c>
    </row>
    <row r="15" spans="2:9" ht="15" customHeight="1" x14ac:dyDescent="0.2">
      <c r="B15" t="s">
        <v>70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71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1</v>
      </c>
      <c r="D17" s="8">
        <v>8.33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1</v>
      </c>
      <c r="D18" s="8">
        <v>8.33</v>
      </c>
      <c r="E18" s="12">
        <v>1</v>
      </c>
      <c r="F18" s="8">
        <v>33.33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337</v>
      </c>
      <c r="C20" s="12">
        <f>SUM(LTBL_07548[総数／事業所数])</f>
        <v>12</v>
      </c>
      <c r="E20" s="12">
        <f>SUBTOTAL(109,LTBL_07548[個人／事業所数])</f>
        <v>3</v>
      </c>
      <c r="G20" s="12">
        <f>SUBTOTAL(109,LTBL_07548[法人／事業所数])</f>
        <v>8</v>
      </c>
      <c r="I20" s="12">
        <f>SUBTOTAL(109,LTBL_07548[法人以外の団体／事業所数])</f>
        <v>0</v>
      </c>
    </row>
    <row r="21" spans="2:9" ht="15" customHeight="1" x14ac:dyDescent="0.2">
      <c r="E21" s="11">
        <f>LTBL_07548[[#Totals],[個人／事業所数]]/LTBL_07548[[#Totals],[総数／事業所数]]</f>
        <v>0.25</v>
      </c>
      <c r="G21" s="11">
        <f>LTBL_07548[[#Totals],[法人／事業所数]]/LTBL_07548[[#Totals],[総数／事業所数]]</f>
        <v>0.66666666666666663</v>
      </c>
      <c r="I21" s="11">
        <f>LTBL_07548[[#Totals],[法人以外の団体／事業所数]]/LTBL_07548[[#Totals],[総数／事業所数]]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83</v>
      </c>
      <c r="C24" s="12">
        <v>2</v>
      </c>
      <c r="D24" s="8">
        <v>16.670000000000002</v>
      </c>
      <c r="E24" s="12">
        <v>0</v>
      </c>
      <c r="F24" s="8">
        <v>0</v>
      </c>
      <c r="G24" s="12">
        <v>2</v>
      </c>
      <c r="H24" s="8">
        <v>25</v>
      </c>
      <c r="I24" s="12">
        <v>0</v>
      </c>
    </row>
    <row r="25" spans="2:9" ht="15" customHeight="1" x14ac:dyDescent="0.2">
      <c r="B25" t="s">
        <v>84</v>
      </c>
      <c r="C25" s="12">
        <v>2</v>
      </c>
      <c r="D25" s="8">
        <v>16.670000000000002</v>
      </c>
      <c r="E25" s="12">
        <v>0</v>
      </c>
      <c r="F25" s="8">
        <v>0</v>
      </c>
      <c r="G25" s="12">
        <v>2</v>
      </c>
      <c r="H25" s="8">
        <v>25</v>
      </c>
      <c r="I25" s="12">
        <v>0</v>
      </c>
    </row>
    <row r="26" spans="2:9" ht="15" customHeight="1" x14ac:dyDescent="0.2">
      <c r="B26" t="s">
        <v>91</v>
      </c>
      <c r="C26" s="12">
        <v>2</v>
      </c>
      <c r="D26" s="8">
        <v>16.670000000000002</v>
      </c>
      <c r="E26" s="12">
        <v>2</v>
      </c>
      <c r="F26" s="8">
        <v>66.67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110</v>
      </c>
      <c r="C27" s="12">
        <v>1</v>
      </c>
      <c r="D27" s="8">
        <v>8.33</v>
      </c>
      <c r="E27" s="12">
        <v>0</v>
      </c>
      <c r="F27" s="8">
        <v>0</v>
      </c>
      <c r="G27" s="12">
        <v>1</v>
      </c>
      <c r="H27" s="8">
        <v>12.5</v>
      </c>
      <c r="I27" s="12">
        <v>0</v>
      </c>
    </row>
    <row r="28" spans="2:9" ht="15" customHeight="1" x14ac:dyDescent="0.2">
      <c r="B28" t="s">
        <v>119</v>
      </c>
      <c r="C28" s="12">
        <v>1</v>
      </c>
      <c r="D28" s="8">
        <v>8.33</v>
      </c>
      <c r="E28" s="12">
        <v>0</v>
      </c>
      <c r="F28" s="8">
        <v>0</v>
      </c>
      <c r="G28" s="12">
        <v>1</v>
      </c>
      <c r="H28" s="8">
        <v>12.5</v>
      </c>
      <c r="I28" s="12">
        <v>0</v>
      </c>
    </row>
    <row r="29" spans="2:9" ht="15" customHeight="1" x14ac:dyDescent="0.2">
      <c r="B29" t="s">
        <v>103</v>
      </c>
      <c r="C29" s="12">
        <v>1</v>
      </c>
      <c r="D29" s="8">
        <v>8.33</v>
      </c>
      <c r="E29" s="12">
        <v>0</v>
      </c>
      <c r="F29" s="8">
        <v>0</v>
      </c>
      <c r="G29" s="12">
        <v>1</v>
      </c>
      <c r="H29" s="8">
        <v>12.5</v>
      </c>
      <c r="I29" s="12">
        <v>0</v>
      </c>
    </row>
    <row r="30" spans="2:9" ht="15" customHeight="1" x14ac:dyDescent="0.2">
      <c r="B30" t="s">
        <v>93</v>
      </c>
      <c r="C30" s="12">
        <v>1</v>
      </c>
      <c r="D30" s="8">
        <v>8.33</v>
      </c>
      <c r="E30" s="12">
        <v>0</v>
      </c>
      <c r="F30" s="8">
        <v>0</v>
      </c>
      <c r="G30" s="12">
        <v>1</v>
      </c>
      <c r="H30" s="8">
        <v>12.5</v>
      </c>
      <c r="I30" s="12">
        <v>0</v>
      </c>
    </row>
    <row r="31" spans="2:9" ht="15" customHeight="1" x14ac:dyDescent="0.2">
      <c r="B31" t="s">
        <v>99</v>
      </c>
      <c r="C31" s="12">
        <v>1</v>
      </c>
      <c r="D31" s="8">
        <v>8.33</v>
      </c>
      <c r="E31" s="12">
        <v>0</v>
      </c>
      <c r="F31" s="8">
        <v>0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100</v>
      </c>
      <c r="C32" s="12">
        <v>1</v>
      </c>
      <c r="D32" s="8">
        <v>8.33</v>
      </c>
      <c r="E32" s="12">
        <v>1</v>
      </c>
      <c r="F32" s="8">
        <v>33.33</v>
      </c>
      <c r="G32" s="12">
        <v>0</v>
      </c>
      <c r="H32" s="8">
        <v>0</v>
      </c>
      <c r="I32" s="12">
        <v>0</v>
      </c>
    </row>
    <row r="35" spans="2:9" ht="33" customHeight="1" x14ac:dyDescent="0.2">
      <c r="B35" t="s">
        <v>339</v>
      </c>
      <c r="C35" s="10" t="s">
        <v>76</v>
      </c>
      <c r="D35" s="10" t="s">
        <v>77</v>
      </c>
      <c r="E35" s="10" t="s">
        <v>78</v>
      </c>
      <c r="F35" s="10" t="s">
        <v>79</v>
      </c>
      <c r="G35" s="10" t="s">
        <v>80</v>
      </c>
      <c r="H35" s="10" t="s">
        <v>81</v>
      </c>
      <c r="I35" s="10" t="s">
        <v>82</v>
      </c>
    </row>
    <row r="36" spans="2:9" ht="15" customHeight="1" x14ac:dyDescent="0.2">
      <c r="B36" t="s">
        <v>185</v>
      </c>
      <c r="C36" s="12">
        <v>2</v>
      </c>
      <c r="D36" s="8">
        <v>16.670000000000002</v>
      </c>
      <c r="E36" s="12">
        <v>2</v>
      </c>
      <c r="F36" s="8">
        <v>66.67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287</v>
      </c>
      <c r="C37" s="12">
        <v>1</v>
      </c>
      <c r="D37" s="8">
        <v>8.33</v>
      </c>
      <c r="E37" s="12">
        <v>0</v>
      </c>
      <c r="F37" s="8">
        <v>0</v>
      </c>
      <c r="G37" s="12">
        <v>1</v>
      </c>
      <c r="H37" s="8">
        <v>12.5</v>
      </c>
      <c r="I37" s="12">
        <v>0</v>
      </c>
    </row>
    <row r="38" spans="2:9" ht="15" customHeight="1" x14ac:dyDescent="0.2">
      <c r="B38" t="s">
        <v>158</v>
      </c>
      <c r="C38" s="12">
        <v>1</v>
      </c>
      <c r="D38" s="8">
        <v>8.33</v>
      </c>
      <c r="E38" s="12">
        <v>0</v>
      </c>
      <c r="F38" s="8">
        <v>0</v>
      </c>
      <c r="G38" s="12">
        <v>1</v>
      </c>
      <c r="H38" s="8">
        <v>12.5</v>
      </c>
      <c r="I38" s="12">
        <v>0</v>
      </c>
    </row>
    <row r="39" spans="2:9" ht="15" customHeight="1" x14ac:dyDescent="0.2">
      <c r="B39" t="s">
        <v>196</v>
      </c>
      <c r="C39" s="12">
        <v>1</v>
      </c>
      <c r="D39" s="8">
        <v>8.33</v>
      </c>
      <c r="E39" s="12">
        <v>0</v>
      </c>
      <c r="F39" s="8">
        <v>0</v>
      </c>
      <c r="G39" s="12">
        <v>1</v>
      </c>
      <c r="H39" s="8">
        <v>12.5</v>
      </c>
      <c r="I39" s="12">
        <v>0</v>
      </c>
    </row>
    <row r="40" spans="2:9" ht="15" customHeight="1" x14ac:dyDescent="0.2">
      <c r="B40" t="s">
        <v>187</v>
      </c>
      <c r="C40" s="12">
        <v>1</v>
      </c>
      <c r="D40" s="8">
        <v>8.33</v>
      </c>
      <c r="E40" s="12">
        <v>0</v>
      </c>
      <c r="F40" s="8">
        <v>0</v>
      </c>
      <c r="G40" s="12">
        <v>1</v>
      </c>
      <c r="H40" s="8">
        <v>12.5</v>
      </c>
      <c r="I40" s="12">
        <v>0</v>
      </c>
    </row>
    <row r="41" spans="2:9" ht="15" customHeight="1" x14ac:dyDescent="0.2">
      <c r="B41" t="s">
        <v>244</v>
      </c>
      <c r="C41" s="12">
        <v>1</v>
      </c>
      <c r="D41" s="8">
        <v>8.33</v>
      </c>
      <c r="E41" s="12">
        <v>0</v>
      </c>
      <c r="F41" s="8">
        <v>0</v>
      </c>
      <c r="G41" s="12">
        <v>1</v>
      </c>
      <c r="H41" s="8">
        <v>12.5</v>
      </c>
      <c r="I41" s="12">
        <v>0</v>
      </c>
    </row>
    <row r="42" spans="2:9" ht="15" customHeight="1" x14ac:dyDescent="0.2">
      <c r="B42" t="s">
        <v>329</v>
      </c>
      <c r="C42" s="12">
        <v>1</v>
      </c>
      <c r="D42" s="8">
        <v>8.33</v>
      </c>
      <c r="E42" s="12">
        <v>0</v>
      </c>
      <c r="F42" s="8">
        <v>0</v>
      </c>
      <c r="G42" s="12">
        <v>1</v>
      </c>
      <c r="H42" s="8">
        <v>12.5</v>
      </c>
      <c r="I42" s="12">
        <v>0</v>
      </c>
    </row>
    <row r="43" spans="2:9" ht="15" customHeight="1" x14ac:dyDescent="0.2">
      <c r="B43" t="s">
        <v>330</v>
      </c>
      <c r="C43" s="12">
        <v>1</v>
      </c>
      <c r="D43" s="8">
        <v>8.33</v>
      </c>
      <c r="E43" s="12">
        <v>0</v>
      </c>
      <c r="F43" s="8">
        <v>0</v>
      </c>
      <c r="G43" s="12">
        <v>1</v>
      </c>
      <c r="H43" s="8">
        <v>12.5</v>
      </c>
      <c r="I43" s="12">
        <v>0</v>
      </c>
    </row>
    <row r="44" spans="2:9" ht="15" customHeight="1" x14ac:dyDescent="0.2">
      <c r="B44" t="s">
        <v>331</v>
      </c>
      <c r="C44" s="12">
        <v>1</v>
      </c>
      <c r="D44" s="8">
        <v>8.33</v>
      </c>
      <c r="E44" s="12">
        <v>0</v>
      </c>
      <c r="F44" s="8">
        <v>0</v>
      </c>
      <c r="G44" s="12">
        <v>1</v>
      </c>
      <c r="H44" s="8">
        <v>12.5</v>
      </c>
      <c r="I44" s="12">
        <v>0</v>
      </c>
    </row>
    <row r="45" spans="2:9" ht="15" customHeight="1" x14ac:dyDescent="0.2">
      <c r="B45" t="s">
        <v>236</v>
      </c>
      <c r="C45" s="12">
        <v>1</v>
      </c>
      <c r="D45" s="8">
        <v>8.33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286</v>
      </c>
      <c r="C46" s="12">
        <v>1</v>
      </c>
      <c r="D46" s="8">
        <v>8.33</v>
      </c>
      <c r="E46" s="12">
        <v>1</v>
      </c>
      <c r="F46" s="8">
        <v>33.33</v>
      </c>
      <c r="G46" s="12">
        <v>0</v>
      </c>
      <c r="H46" s="8">
        <v>0</v>
      </c>
      <c r="I46" s="12">
        <v>0</v>
      </c>
    </row>
    <row r="48" spans="2:9" ht="15" customHeight="1" x14ac:dyDescent="0.2">
      <c r="B4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B98AC-5720-4683-BE56-E17CD5748BE8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398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43</v>
      </c>
      <c r="D6" s="8">
        <v>23.12</v>
      </c>
      <c r="E6" s="12">
        <v>10</v>
      </c>
      <c r="F6" s="8">
        <v>10.64</v>
      </c>
      <c r="G6" s="12">
        <v>33</v>
      </c>
      <c r="H6" s="8">
        <v>38.82</v>
      </c>
      <c r="I6" s="12">
        <v>0</v>
      </c>
    </row>
    <row r="7" spans="2:9" ht="15" customHeight="1" x14ac:dyDescent="0.2">
      <c r="B7" t="s">
        <v>62</v>
      </c>
      <c r="C7" s="12">
        <v>26</v>
      </c>
      <c r="D7" s="8">
        <v>13.98</v>
      </c>
      <c r="E7" s="12">
        <v>9</v>
      </c>
      <c r="F7" s="8">
        <v>9.57</v>
      </c>
      <c r="G7" s="12">
        <v>17</v>
      </c>
      <c r="H7" s="8">
        <v>20</v>
      </c>
      <c r="I7" s="12">
        <v>0</v>
      </c>
    </row>
    <row r="8" spans="2:9" ht="15" customHeight="1" x14ac:dyDescent="0.2">
      <c r="B8" t="s">
        <v>63</v>
      </c>
      <c r="C8" s="12">
        <v>3</v>
      </c>
      <c r="D8" s="8">
        <v>1.61</v>
      </c>
      <c r="E8" s="12">
        <v>0</v>
      </c>
      <c r="F8" s="8">
        <v>0</v>
      </c>
      <c r="G8" s="12">
        <v>2</v>
      </c>
      <c r="H8" s="8">
        <v>2.35</v>
      </c>
      <c r="I8" s="12">
        <v>0</v>
      </c>
    </row>
    <row r="9" spans="2:9" ht="15" customHeight="1" x14ac:dyDescent="0.2">
      <c r="B9" t="s">
        <v>64</v>
      </c>
      <c r="C9" s="12">
        <v>1</v>
      </c>
      <c r="D9" s="8">
        <v>0.54</v>
      </c>
      <c r="E9" s="12">
        <v>1</v>
      </c>
      <c r="F9" s="8">
        <v>1.06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4</v>
      </c>
      <c r="D10" s="8">
        <v>2.15</v>
      </c>
      <c r="E10" s="12">
        <v>0</v>
      </c>
      <c r="F10" s="8">
        <v>0</v>
      </c>
      <c r="G10" s="12">
        <v>3</v>
      </c>
      <c r="H10" s="8">
        <v>3.53</v>
      </c>
      <c r="I10" s="12">
        <v>1</v>
      </c>
    </row>
    <row r="11" spans="2:9" ht="15" customHeight="1" x14ac:dyDescent="0.2">
      <c r="B11" t="s">
        <v>66</v>
      </c>
      <c r="C11" s="12">
        <v>35</v>
      </c>
      <c r="D11" s="8">
        <v>18.82</v>
      </c>
      <c r="E11" s="12">
        <v>21</v>
      </c>
      <c r="F11" s="8">
        <v>22.34</v>
      </c>
      <c r="G11" s="12">
        <v>14</v>
      </c>
      <c r="H11" s="8">
        <v>16.47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1</v>
      </c>
      <c r="D13" s="8">
        <v>0.54</v>
      </c>
      <c r="E13" s="12">
        <v>0</v>
      </c>
      <c r="F13" s="8">
        <v>0</v>
      </c>
      <c r="G13" s="12">
        <v>1</v>
      </c>
      <c r="H13" s="8">
        <v>1.18</v>
      </c>
      <c r="I13" s="12">
        <v>0</v>
      </c>
    </row>
    <row r="14" spans="2:9" ht="15" customHeight="1" x14ac:dyDescent="0.2">
      <c r="B14" t="s">
        <v>69</v>
      </c>
      <c r="C14" s="12">
        <v>6</v>
      </c>
      <c r="D14" s="8">
        <v>3.23</v>
      </c>
      <c r="E14" s="12">
        <v>3</v>
      </c>
      <c r="F14" s="8">
        <v>3.19</v>
      </c>
      <c r="G14" s="12">
        <v>3</v>
      </c>
      <c r="H14" s="8">
        <v>3.53</v>
      </c>
      <c r="I14" s="12">
        <v>0</v>
      </c>
    </row>
    <row r="15" spans="2:9" ht="15" customHeight="1" x14ac:dyDescent="0.2">
      <c r="B15" t="s">
        <v>70</v>
      </c>
      <c r="C15" s="12">
        <v>16</v>
      </c>
      <c r="D15" s="8">
        <v>8.6</v>
      </c>
      <c r="E15" s="12">
        <v>13</v>
      </c>
      <c r="F15" s="8">
        <v>13.83</v>
      </c>
      <c r="G15" s="12">
        <v>3</v>
      </c>
      <c r="H15" s="8">
        <v>3.53</v>
      </c>
      <c r="I15" s="12">
        <v>0</v>
      </c>
    </row>
    <row r="16" spans="2:9" ht="15" customHeight="1" x14ac:dyDescent="0.2">
      <c r="B16" t="s">
        <v>71</v>
      </c>
      <c r="C16" s="12">
        <v>27</v>
      </c>
      <c r="D16" s="8">
        <v>14.52</v>
      </c>
      <c r="E16" s="12">
        <v>24</v>
      </c>
      <c r="F16" s="8">
        <v>25.53</v>
      </c>
      <c r="G16" s="12">
        <v>2</v>
      </c>
      <c r="H16" s="8">
        <v>2.35</v>
      </c>
      <c r="I16" s="12">
        <v>0</v>
      </c>
    </row>
    <row r="17" spans="2:9" ht="15" customHeight="1" x14ac:dyDescent="0.2">
      <c r="B17" t="s">
        <v>72</v>
      </c>
      <c r="C17" s="12">
        <v>5</v>
      </c>
      <c r="D17" s="8">
        <v>2.69</v>
      </c>
      <c r="E17" s="12">
        <v>3</v>
      </c>
      <c r="F17" s="8">
        <v>3.19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9</v>
      </c>
      <c r="D18" s="8">
        <v>4.84</v>
      </c>
      <c r="E18" s="12">
        <v>5</v>
      </c>
      <c r="F18" s="8">
        <v>5.32</v>
      </c>
      <c r="G18" s="12">
        <v>3</v>
      </c>
      <c r="H18" s="8">
        <v>3.53</v>
      </c>
      <c r="I18" s="12">
        <v>0</v>
      </c>
    </row>
    <row r="19" spans="2:9" ht="15" customHeight="1" x14ac:dyDescent="0.2">
      <c r="B19" t="s">
        <v>74</v>
      </c>
      <c r="C19" s="12">
        <v>10</v>
      </c>
      <c r="D19" s="8">
        <v>5.38</v>
      </c>
      <c r="E19" s="12">
        <v>5</v>
      </c>
      <c r="F19" s="8">
        <v>5.32</v>
      </c>
      <c r="G19" s="12">
        <v>4</v>
      </c>
      <c r="H19" s="8">
        <v>4.71</v>
      </c>
      <c r="I19" s="12">
        <v>0</v>
      </c>
    </row>
    <row r="20" spans="2:9" ht="15" customHeight="1" x14ac:dyDescent="0.2">
      <c r="B20" s="9" t="s">
        <v>337</v>
      </c>
      <c r="C20" s="12">
        <f>SUM(LTBL_07561[総数／事業所数])</f>
        <v>186</v>
      </c>
      <c r="E20" s="12">
        <f>SUBTOTAL(109,LTBL_07561[個人／事業所数])</f>
        <v>94</v>
      </c>
      <c r="G20" s="12">
        <f>SUBTOTAL(109,LTBL_07561[法人／事業所数])</f>
        <v>85</v>
      </c>
      <c r="I20" s="12">
        <f>SUBTOTAL(109,LTBL_07561[法人以外の団体／事業所数])</f>
        <v>1</v>
      </c>
    </row>
    <row r="21" spans="2:9" ht="15" customHeight="1" x14ac:dyDescent="0.2">
      <c r="E21" s="11">
        <f>LTBL_07561[[#Totals],[個人／事業所数]]/LTBL_07561[[#Totals],[総数／事業所数]]</f>
        <v>0.5053763440860215</v>
      </c>
      <c r="G21" s="11">
        <f>LTBL_07561[[#Totals],[法人／事業所数]]/LTBL_07561[[#Totals],[総数／事業所数]]</f>
        <v>0.45698924731182794</v>
      </c>
      <c r="I21" s="11">
        <f>LTBL_07561[[#Totals],[法人以外の団体／事業所数]]/LTBL_07561[[#Totals],[総数／事業所数]]</f>
        <v>5.3763440860215058E-3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23</v>
      </c>
      <c r="D24" s="8">
        <v>12.37</v>
      </c>
      <c r="E24" s="12">
        <v>23</v>
      </c>
      <c r="F24" s="8">
        <v>24.47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83</v>
      </c>
      <c r="C25" s="12">
        <v>21</v>
      </c>
      <c r="D25" s="8">
        <v>11.29</v>
      </c>
      <c r="E25" s="12">
        <v>4</v>
      </c>
      <c r="F25" s="8">
        <v>4.26</v>
      </c>
      <c r="G25" s="12">
        <v>17</v>
      </c>
      <c r="H25" s="8">
        <v>20</v>
      </c>
      <c r="I25" s="12">
        <v>0</v>
      </c>
    </row>
    <row r="26" spans="2:9" ht="15" customHeight="1" x14ac:dyDescent="0.2">
      <c r="B26" t="s">
        <v>85</v>
      </c>
      <c r="C26" s="12">
        <v>13</v>
      </c>
      <c r="D26" s="8">
        <v>6.99</v>
      </c>
      <c r="E26" s="12">
        <v>4</v>
      </c>
      <c r="F26" s="8">
        <v>4.26</v>
      </c>
      <c r="G26" s="12">
        <v>9</v>
      </c>
      <c r="H26" s="8">
        <v>10.59</v>
      </c>
      <c r="I26" s="12">
        <v>0</v>
      </c>
    </row>
    <row r="27" spans="2:9" ht="15" customHeight="1" x14ac:dyDescent="0.2">
      <c r="B27" t="s">
        <v>96</v>
      </c>
      <c r="C27" s="12">
        <v>13</v>
      </c>
      <c r="D27" s="8">
        <v>6.99</v>
      </c>
      <c r="E27" s="12">
        <v>12</v>
      </c>
      <c r="F27" s="8">
        <v>12.77</v>
      </c>
      <c r="G27" s="12">
        <v>1</v>
      </c>
      <c r="H27" s="8">
        <v>1.18</v>
      </c>
      <c r="I27" s="12">
        <v>0</v>
      </c>
    </row>
    <row r="28" spans="2:9" ht="15" customHeight="1" x14ac:dyDescent="0.2">
      <c r="B28" t="s">
        <v>89</v>
      </c>
      <c r="C28" s="12">
        <v>10</v>
      </c>
      <c r="D28" s="8">
        <v>5.38</v>
      </c>
      <c r="E28" s="12">
        <v>9</v>
      </c>
      <c r="F28" s="8">
        <v>9.57</v>
      </c>
      <c r="G28" s="12">
        <v>1</v>
      </c>
      <c r="H28" s="8">
        <v>1.18</v>
      </c>
      <c r="I28" s="12">
        <v>0</v>
      </c>
    </row>
    <row r="29" spans="2:9" ht="15" customHeight="1" x14ac:dyDescent="0.2">
      <c r="B29" t="s">
        <v>84</v>
      </c>
      <c r="C29" s="12">
        <v>9</v>
      </c>
      <c r="D29" s="8">
        <v>4.84</v>
      </c>
      <c r="E29" s="12">
        <v>2</v>
      </c>
      <c r="F29" s="8">
        <v>2.13</v>
      </c>
      <c r="G29" s="12">
        <v>7</v>
      </c>
      <c r="H29" s="8">
        <v>8.24</v>
      </c>
      <c r="I29" s="12">
        <v>0</v>
      </c>
    </row>
    <row r="30" spans="2:9" ht="15" customHeight="1" x14ac:dyDescent="0.2">
      <c r="B30" t="s">
        <v>91</v>
      </c>
      <c r="C30" s="12">
        <v>7</v>
      </c>
      <c r="D30" s="8">
        <v>3.76</v>
      </c>
      <c r="E30" s="12">
        <v>4</v>
      </c>
      <c r="F30" s="8">
        <v>4.26</v>
      </c>
      <c r="G30" s="12">
        <v>3</v>
      </c>
      <c r="H30" s="8">
        <v>3.53</v>
      </c>
      <c r="I30" s="12">
        <v>0</v>
      </c>
    </row>
    <row r="31" spans="2:9" ht="15" customHeight="1" x14ac:dyDescent="0.2">
      <c r="B31" t="s">
        <v>114</v>
      </c>
      <c r="C31" s="12">
        <v>6</v>
      </c>
      <c r="D31" s="8">
        <v>3.23</v>
      </c>
      <c r="E31" s="12">
        <v>2</v>
      </c>
      <c r="F31" s="8">
        <v>2.13</v>
      </c>
      <c r="G31" s="12">
        <v>4</v>
      </c>
      <c r="H31" s="8">
        <v>4.71</v>
      </c>
      <c r="I31" s="12">
        <v>0</v>
      </c>
    </row>
    <row r="32" spans="2:9" ht="15" customHeight="1" x14ac:dyDescent="0.2">
      <c r="B32" t="s">
        <v>115</v>
      </c>
      <c r="C32" s="12">
        <v>5</v>
      </c>
      <c r="D32" s="8">
        <v>2.69</v>
      </c>
      <c r="E32" s="12">
        <v>3</v>
      </c>
      <c r="F32" s="8">
        <v>3.19</v>
      </c>
      <c r="G32" s="12">
        <v>2</v>
      </c>
      <c r="H32" s="8">
        <v>2.35</v>
      </c>
      <c r="I32" s="12">
        <v>0</v>
      </c>
    </row>
    <row r="33" spans="2:9" ht="15" customHeight="1" x14ac:dyDescent="0.2">
      <c r="B33" t="s">
        <v>107</v>
      </c>
      <c r="C33" s="12">
        <v>5</v>
      </c>
      <c r="D33" s="8">
        <v>2.69</v>
      </c>
      <c r="E33" s="12">
        <v>1</v>
      </c>
      <c r="F33" s="8">
        <v>1.06</v>
      </c>
      <c r="G33" s="12">
        <v>4</v>
      </c>
      <c r="H33" s="8">
        <v>4.71</v>
      </c>
      <c r="I33" s="12">
        <v>0</v>
      </c>
    </row>
    <row r="34" spans="2:9" ht="15" customHeight="1" x14ac:dyDescent="0.2">
      <c r="B34" t="s">
        <v>90</v>
      </c>
      <c r="C34" s="12">
        <v>5</v>
      </c>
      <c r="D34" s="8">
        <v>2.69</v>
      </c>
      <c r="E34" s="12">
        <v>2</v>
      </c>
      <c r="F34" s="8">
        <v>2.13</v>
      </c>
      <c r="G34" s="12">
        <v>3</v>
      </c>
      <c r="H34" s="8">
        <v>3.53</v>
      </c>
      <c r="I34" s="12">
        <v>0</v>
      </c>
    </row>
    <row r="35" spans="2:9" ht="15" customHeight="1" x14ac:dyDescent="0.2">
      <c r="B35" t="s">
        <v>99</v>
      </c>
      <c r="C35" s="12">
        <v>5</v>
      </c>
      <c r="D35" s="8">
        <v>2.69</v>
      </c>
      <c r="E35" s="12">
        <v>3</v>
      </c>
      <c r="F35" s="8">
        <v>3.19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100</v>
      </c>
      <c r="C36" s="12">
        <v>5</v>
      </c>
      <c r="D36" s="8">
        <v>2.69</v>
      </c>
      <c r="E36" s="12">
        <v>5</v>
      </c>
      <c r="F36" s="8">
        <v>5.32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102</v>
      </c>
      <c r="C37" s="12">
        <v>5</v>
      </c>
      <c r="D37" s="8">
        <v>2.69</v>
      </c>
      <c r="E37" s="12">
        <v>5</v>
      </c>
      <c r="F37" s="8">
        <v>5.32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94</v>
      </c>
      <c r="C38" s="12">
        <v>4</v>
      </c>
      <c r="D38" s="8">
        <v>2.15</v>
      </c>
      <c r="E38" s="12">
        <v>1</v>
      </c>
      <c r="F38" s="8">
        <v>1.06</v>
      </c>
      <c r="G38" s="12">
        <v>3</v>
      </c>
      <c r="H38" s="8">
        <v>3.53</v>
      </c>
      <c r="I38" s="12">
        <v>0</v>
      </c>
    </row>
    <row r="39" spans="2:9" ht="15" customHeight="1" x14ac:dyDescent="0.2">
      <c r="B39" t="s">
        <v>101</v>
      </c>
      <c r="C39" s="12">
        <v>4</v>
      </c>
      <c r="D39" s="8">
        <v>2.15</v>
      </c>
      <c r="E39" s="12">
        <v>0</v>
      </c>
      <c r="F39" s="8">
        <v>0</v>
      </c>
      <c r="G39" s="12">
        <v>3</v>
      </c>
      <c r="H39" s="8">
        <v>3.53</v>
      </c>
      <c r="I39" s="12">
        <v>0</v>
      </c>
    </row>
    <row r="40" spans="2:9" ht="15" customHeight="1" x14ac:dyDescent="0.2">
      <c r="B40" t="s">
        <v>110</v>
      </c>
      <c r="C40" s="12">
        <v>3</v>
      </c>
      <c r="D40" s="8">
        <v>1.61</v>
      </c>
      <c r="E40" s="12">
        <v>2</v>
      </c>
      <c r="F40" s="8">
        <v>2.13</v>
      </c>
      <c r="G40" s="12">
        <v>1</v>
      </c>
      <c r="H40" s="8">
        <v>1.18</v>
      </c>
      <c r="I40" s="12">
        <v>0</v>
      </c>
    </row>
    <row r="41" spans="2:9" ht="15" customHeight="1" x14ac:dyDescent="0.2">
      <c r="B41" t="s">
        <v>86</v>
      </c>
      <c r="C41" s="12">
        <v>3</v>
      </c>
      <c r="D41" s="8">
        <v>1.61</v>
      </c>
      <c r="E41" s="12">
        <v>0</v>
      </c>
      <c r="F41" s="8">
        <v>0</v>
      </c>
      <c r="G41" s="12">
        <v>3</v>
      </c>
      <c r="H41" s="8">
        <v>3.53</v>
      </c>
      <c r="I41" s="12">
        <v>0</v>
      </c>
    </row>
    <row r="42" spans="2:9" ht="15" customHeight="1" x14ac:dyDescent="0.2">
      <c r="B42" t="s">
        <v>88</v>
      </c>
      <c r="C42" s="12">
        <v>3</v>
      </c>
      <c r="D42" s="8">
        <v>1.61</v>
      </c>
      <c r="E42" s="12">
        <v>3</v>
      </c>
      <c r="F42" s="8">
        <v>3.19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129</v>
      </c>
      <c r="C43" s="12">
        <v>3</v>
      </c>
      <c r="D43" s="8">
        <v>1.61</v>
      </c>
      <c r="E43" s="12">
        <v>0</v>
      </c>
      <c r="F43" s="8">
        <v>0</v>
      </c>
      <c r="G43" s="12">
        <v>2</v>
      </c>
      <c r="H43" s="8">
        <v>2.35</v>
      </c>
      <c r="I43" s="12">
        <v>0</v>
      </c>
    </row>
    <row r="44" spans="2:9" ht="15" customHeight="1" x14ac:dyDescent="0.2">
      <c r="B44" t="s">
        <v>108</v>
      </c>
      <c r="C44" s="12">
        <v>3</v>
      </c>
      <c r="D44" s="8">
        <v>1.61</v>
      </c>
      <c r="E44" s="12">
        <v>0</v>
      </c>
      <c r="F44" s="8">
        <v>0</v>
      </c>
      <c r="G44" s="12">
        <v>3</v>
      </c>
      <c r="H44" s="8">
        <v>3.53</v>
      </c>
      <c r="I44" s="12">
        <v>0</v>
      </c>
    </row>
    <row r="47" spans="2:9" ht="33" customHeight="1" x14ac:dyDescent="0.2">
      <c r="B47" t="s">
        <v>339</v>
      </c>
      <c r="C47" s="10" t="s">
        <v>76</v>
      </c>
      <c r="D47" s="10" t="s">
        <v>77</v>
      </c>
      <c r="E47" s="10" t="s">
        <v>78</v>
      </c>
      <c r="F47" s="10" t="s">
        <v>79</v>
      </c>
      <c r="G47" s="10" t="s">
        <v>80</v>
      </c>
      <c r="H47" s="10" t="s">
        <v>81</v>
      </c>
      <c r="I47" s="10" t="s">
        <v>82</v>
      </c>
    </row>
    <row r="48" spans="2:9" ht="15" customHeight="1" x14ac:dyDescent="0.2">
      <c r="B48" t="s">
        <v>158</v>
      </c>
      <c r="C48" s="12">
        <v>13</v>
      </c>
      <c r="D48" s="8">
        <v>6.99</v>
      </c>
      <c r="E48" s="12">
        <v>1</v>
      </c>
      <c r="F48" s="8">
        <v>1.06</v>
      </c>
      <c r="G48" s="12">
        <v>12</v>
      </c>
      <c r="H48" s="8">
        <v>14.12</v>
      </c>
      <c r="I48" s="12">
        <v>0</v>
      </c>
    </row>
    <row r="49" spans="2:9" ht="15" customHeight="1" x14ac:dyDescent="0.2">
      <c r="B49" t="s">
        <v>174</v>
      </c>
      <c r="C49" s="12">
        <v>12</v>
      </c>
      <c r="D49" s="8">
        <v>6.45</v>
      </c>
      <c r="E49" s="12">
        <v>12</v>
      </c>
      <c r="F49" s="8">
        <v>12.77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173</v>
      </c>
      <c r="C50" s="12">
        <v>11</v>
      </c>
      <c r="D50" s="8">
        <v>5.91</v>
      </c>
      <c r="E50" s="12">
        <v>11</v>
      </c>
      <c r="F50" s="8">
        <v>11.7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307</v>
      </c>
      <c r="C51" s="12">
        <v>6</v>
      </c>
      <c r="D51" s="8">
        <v>3.23</v>
      </c>
      <c r="E51" s="12">
        <v>0</v>
      </c>
      <c r="F51" s="8">
        <v>0</v>
      </c>
      <c r="G51" s="12">
        <v>6</v>
      </c>
      <c r="H51" s="8">
        <v>7.06</v>
      </c>
      <c r="I51" s="12">
        <v>0</v>
      </c>
    </row>
    <row r="52" spans="2:9" ht="15" customHeight="1" x14ac:dyDescent="0.2">
      <c r="B52" t="s">
        <v>251</v>
      </c>
      <c r="C52" s="12">
        <v>5</v>
      </c>
      <c r="D52" s="8">
        <v>2.69</v>
      </c>
      <c r="E52" s="12">
        <v>1</v>
      </c>
      <c r="F52" s="8">
        <v>1.06</v>
      </c>
      <c r="G52" s="12">
        <v>4</v>
      </c>
      <c r="H52" s="8">
        <v>4.71</v>
      </c>
      <c r="I52" s="12">
        <v>0</v>
      </c>
    </row>
    <row r="53" spans="2:9" ht="15" customHeight="1" x14ac:dyDescent="0.2">
      <c r="B53" t="s">
        <v>177</v>
      </c>
      <c r="C53" s="12">
        <v>5</v>
      </c>
      <c r="D53" s="8">
        <v>2.69</v>
      </c>
      <c r="E53" s="12">
        <v>5</v>
      </c>
      <c r="F53" s="8">
        <v>5.32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160</v>
      </c>
      <c r="C54" s="12">
        <v>4</v>
      </c>
      <c r="D54" s="8">
        <v>2.15</v>
      </c>
      <c r="E54" s="12">
        <v>3</v>
      </c>
      <c r="F54" s="8">
        <v>3.19</v>
      </c>
      <c r="G54" s="12">
        <v>1</v>
      </c>
      <c r="H54" s="8">
        <v>1.18</v>
      </c>
      <c r="I54" s="12">
        <v>0</v>
      </c>
    </row>
    <row r="55" spans="2:9" ht="15" customHeight="1" x14ac:dyDescent="0.2">
      <c r="B55" t="s">
        <v>161</v>
      </c>
      <c r="C55" s="12">
        <v>4</v>
      </c>
      <c r="D55" s="8">
        <v>2.15</v>
      </c>
      <c r="E55" s="12">
        <v>2</v>
      </c>
      <c r="F55" s="8">
        <v>2.13</v>
      </c>
      <c r="G55" s="12">
        <v>2</v>
      </c>
      <c r="H55" s="8">
        <v>2.35</v>
      </c>
      <c r="I55" s="12">
        <v>0</v>
      </c>
    </row>
    <row r="56" spans="2:9" ht="15" customHeight="1" x14ac:dyDescent="0.2">
      <c r="B56" t="s">
        <v>264</v>
      </c>
      <c r="C56" s="12">
        <v>4</v>
      </c>
      <c r="D56" s="8">
        <v>2.15</v>
      </c>
      <c r="E56" s="12">
        <v>0</v>
      </c>
      <c r="F56" s="8">
        <v>0</v>
      </c>
      <c r="G56" s="12">
        <v>4</v>
      </c>
      <c r="H56" s="8">
        <v>4.71</v>
      </c>
      <c r="I56" s="12">
        <v>0</v>
      </c>
    </row>
    <row r="57" spans="2:9" ht="15" customHeight="1" x14ac:dyDescent="0.2">
      <c r="B57" t="s">
        <v>164</v>
      </c>
      <c r="C57" s="12">
        <v>4</v>
      </c>
      <c r="D57" s="8">
        <v>2.15</v>
      </c>
      <c r="E57" s="12">
        <v>1</v>
      </c>
      <c r="F57" s="8">
        <v>1.06</v>
      </c>
      <c r="G57" s="12">
        <v>3</v>
      </c>
      <c r="H57" s="8">
        <v>3.53</v>
      </c>
      <c r="I57" s="12">
        <v>0</v>
      </c>
    </row>
    <row r="58" spans="2:9" ht="15" customHeight="1" x14ac:dyDescent="0.2">
      <c r="B58" t="s">
        <v>170</v>
      </c>
      <c r="C58" s="12">
        <v>4</v>
      </c>
      <c r="D58" s="8">
        <v>2.15</v>
      </c>
      <c r="E58" s="12">
        <v>3</v>
      </c>
      <c r="F58" s="8">
        <v>3.19</v>
      </c>
      <c r="G58" s="12">
        <v>1</v>
      </c>
      <c r="H58" s="8">
        <v>1.18</v>
      </c>
      <c r="I58" s="12">
        <v>0</v>
      </c>
    </row>
    <row r="59" spans="2:9" ht="15" customHeight="1" x14ac:dyDescent="0.2">
      <c r="B59" t="s">
        <v>159</v>
      </c>
      <c r="C59" s="12">
        <v>3</v>
      </c>
      <c r="D59" s="8">
        <v>1.61</v>
      </c>
      <c r="E59" s="12">
        <v>0</v>
      </c>
      <c r="F59" s="8">
        <v>0</v>
      </c>
      <c r="G59" s="12">
        <v>3</v>
      </c>
      <c r="H59" s="8">
        <v>3.53</v>
      </c>
      <c r="I59" s="12">
        <v>0</v>
      </c>
    </row>
    <row r="60" spans="2:9" ht="15" customHeight="1" x14ac:dyDescent="0.2">
      <c r="B60" t="s">
        <v>288</v>
      </c>
      <c r="C60" s="12">
        <v>3</v>
      </c>
      <c r="D60" s="8">
        <v>1.61</v>
      </c>
      <c r="E60" s="12">
        <v>1</v>
      </c>
      <c r="F60" s="8">
        <v>1.06</v>
      </c>
      <c r="G60" s="12">
        <v>2</v>
      </c>
      <c r="H60" s="8">
        <v>2.35</v>
      </c>
      <c r="I60" s="12">
        <v>0</v>
      </c>
    </row>
    <row r="61" spans="2:9" ht="15" customHeight="1" x14ac:dyDescent="0.2">
      <c r="B61" t="s">
        <v>190</v>
      </c>
      <c r="C61" s="12">
        <v>3</v>
      </c>
      <c r="D61" s="8">
        <v>1.61</v>
      </c>
      <c r="E61" s="12">
        <v>3</v>
      </c>
      <c r="F61" s="8">
        <v>3.19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178</v>
      </c>
      <c r="C62" s="12">
        <v>3</v>
      </c>
      <c r="D62" s="8">
        <v>1.61</v>
      </c>
      <c r="E62" s="12">
        <v>3</v>
      </c>
      <c r="F62" s="8">
        <v>3.19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163</v>
      </c>
      <c r="C63" s="12">
        <v>3</v>
      </c>
      <c r="D63" s="8">
        <v>1.61</v>
      </c>
      <c r="E63" s="12">
        <v>2</v>
      </c>
      <c r="F63" s="8">
        <v>2.13</v>
      </c>
      <c r="G63" s="12">
        <v>1</v>
      </c>
      <c r="H63" s="8">
        <v>1.18</v>
      </c>
      <c r="I63" s="12">
        <v>0</v>
      </c>
    </row>
    <row r="64" spans="2:9" ht="15" customHeight="1" x14ac:dyDescent="0.2">
      <c r="B64" t="s">
        <v>234</v>
      </c>
      <c r="C64" s="12">
        <v>3</v>
      </c>
      <c r="D64" s="8">
        <v>1.61</v>
      </c>
      <c r="E64" s="12">
        <v>0</v>
      </c>
      <c r="F64" s="8">
        <v>0</v>
      </c>
      <c r="G64" s="12">
        <v>2</v>
      </c>
      <c r="H64" s="8">
        <v>2.35</v>
      </c>
      <c r="I64" s="12">
        <v>0</v>
      </c>
    </row>
    <row r="65" spans="2:9" ht="15" customHeight="1" x14ac:dyDescent="0.2">
      <c r="B65" t="s">
        <v>176</v>
      </c>
      <c r="C65" s="12">
        <v>3</v>
      </c>
      <c r="D65" s="8">
        <v>1.61</v>
      </c>
      <c r="E65" s="12">
        <v>3</v>
      </c>
      <c r="F65" s="8">
        <v>3.19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202</v>
      </c>
      <c r="C66" s="12">
        <v>2</v>
      </c>
      <c r="D66" s="8">
        <v>1.08</v>
      </c>
      <c r="E66" s="12">
        <v>0</v>
      </c>
      <c r="F66" s="8">
        <v>0</v>
      </c>
      <c r="G66" s="12">
        <v>2</v>
      </c>
      <c r="H66" s="8">
        <v>2.35</v>
      </c>
      <c r="I66" s="12">
        <v>0</v>
      </c>
    </row>
    <row r="67" spans="2:9" ht="15" customHeight="1" x14ac:dyDescent="0.2">
      <c r="B67" t="s">
        <v>195</v>
      </c>
      <c r="C67" s="12">
        <v>2</v>
      </c>
      <c r="D67" s="8">
        <v>1.08</v>
      </c>
      <c r="E67" s="12">
        <v>1</v>
      </c>
      <c r="F67" s="8">
        <v>1.06</v>
      </c>
      <c r="G67" s="12">
        <v>1</v>
      </c>
      <c r="H67" s="8">
        <v>1.18</v>
      </c>
      <c r="I67" s="12">
        <v>0</v>
      </c>
    </row>
    <row r="68" spans="2:9" ht="15" customHeight="1" x14ac:dyDescent="0.2">
      <c r="B68" t="s">
        <v>162</v>
      </c>
      <c r="C68" s="12">
        <v>2</v>
      </c>
      <c r="D68" s="8">
        <v>1.08</v>
      </c>
      <c r="E68" s="12">
        <v>2</v>
      </c>
      <c r="F68" s="8">
        <v>2.13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244</v>
      </c>
      <c r="C69" s="12">
        <v>2</v>
      </c>
      <c r="D69" s="8">
        <v>1.08</v>
      </c>
      <c r="E69" s="12">
        <v>2</v>
      </c>
      <c r="F69" s="8">
        <v>2.13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293</v>
      </c>
      <c r="C70" s="12">
        <v>2</v>
      </c>
      <c r="D70" s="8">
        <v>1.08</v>
      </c>
      <c r="E70" s="12">
        <v>1</v>
      </c>
      <c r="F70" s="8">
        <v>1.06</v>
      </c>
      <c r="G70" s="12">
        <v>1</v>
      </c>
      <c r="H70" s="8">
        <v>1.18</v>
      </c>
      <c r="I70" s="12">
        <v>0</v>
      </c>
    </row>
    <row r="71" spans="2:9" ht="15" customHeight="1" x14ac:dyDescent="0.2">
      <c r="B71" t="s">
        <v>252</v>
      </c>
      <c r="C71" s="12">
        <v>2</v>
      </c>
      <c r="D71" s="8">
        <v>1.08</v>
      </c>
      <c r="E71" s="12">
        <v>1</v>
      </c>
      <c r="F71" s="8">
        <v>1.06</v>
      </c>
      <c r="G71" s="12">
        <v>1</v>
      </c>
      <c r="H71" s="8">
        <v>1.18</v>
      </c>
      <c r="I71" s="12">
        <v>0</v>
      </c>
    </row>
    <row r="72" spans="2:9" ht="15" customHeight="1" x14ac:dyDescent="0.2">
      <c r="B72" t="s">
        <v>332</v>
      </c>
      <c r="C72" s="12">
        <v>2</v>
      </c>
      <c r="D72" s="8">
        <v>1.08</v>
      </c>
      <c r="E72" s="12">
        <v>0</v>
      </c>
      <c r="F72" s="8">
        <v>0</v>
      </c>
      <c r="G72" s="12">
        <v>1</v>
      </c>
      <c r="H72" s="8">
        <v>1.18</v>
      </c>
      <c r="I72" s="12">
        <v>0</v>
      </c>
    </row>
    <row r="73" spans="2:9" ht="15" customHeight="1" x14ac:dyDescent="0.2">
      <c r="B73" t="s">
        <v>188</v>
      </c>
      <c r="C73" s="12">
        <v>2</v>
      </c>
      <c r="D73" s="8">
        <v>1.08</v>
      </c>
      <c r="E73" s="12">
        <v>0</v>
      </c>
      <c r="F73" s="8">
        <v>0</v>
      </c>
      <c r="G73" s="12">
        <v>2</v>
      </c>
      <c r="H73" s="8">
        <v>2.35</v>
      </c>
      <c r="I73" s="12">
        <v>0</v>
      </c>
    </row>
    <row r="74" spans="2:9" ht="15" customHeight="1" x14ac:dyDescent="0.2">
      <c r="B74" t="s">
        <v>191</v>
      </c>
      <c r="C74" s="12">
        <v>2</v>
      </c>
      <c r="D74" s="8">
        <v>1.08</v>
      </c>
      <c r="E74" s="12">
        <v>2</v>
      </c>
      <c r="F74" s="8">
        <v>2.13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210</v>
      </c>
      <c r="C75" s="12">
        <v>2</v>
      </c>
      <c r="D75" s="8">
        <v>1.08</v>
      </c>
      <c r="E75" s="12">
        <v>1</v>
      </c>
      <c r="F75" s="8">
        <v>1.06</v>
      </c>
      <c r="G75" s="12">
        <v>1</v>
      </c>
      <c r="H75" s="8">
        <v>1.18</v>
      </c>
      <c r="I75" s="12">
        <v>0</v>
      </c>
    </row>
    <row r="76" spans="2:9" ht="15" customHeight="1" x14ac:dyDescent="0.2">
      <c r="B76" t="s">
        <v>169</v>
      </c>
      <c r="C76" s="12">
        <v>2</v>
      </c>
      <c r="D76" s="8">
        <v>1.08</v>
      </c>
      <c r="E76" s="12">
        <v>0</v>
      </c>
      <c r="F76" s="8">
        <v>0</v>
      </c>
      <c r="G76" s="12">
        <v>2</v>
      </c>
      <c r="H76" s="8">
        <v>2.35</v>
      </c>
      <c r="I76" s="12">
        <v>0</v>
      </c>
    </row>
    <row r="77" spans="2:9" ht="15" customHeight="1" x14ac:dyDescent="0.2">
      <c r="B77" t="s">
        <v>233</v>
      </c>
      <c r="C77" s="12">
        <v>2</v>
      </c>
      <c r="D77" s="8">
        <v>1.08</v>
      </c>
      <c r="E77" s="12">
        <v>0</v>
      </c>
      <c r="F77" s="8">
        <v>0</v>
      </c>
      <c r="G77" s="12">
        <v>2</v>
      </c>
      <c r="H77" s="8">
        <v>2.35</v>
      </c>
      <c r="I77" s="12">
        <v>0</v>
      </c>
    </row>
    <row r="78" spans="2:9" ht="15" customHeight="1" x14ac:dyDescent="0.2">
      <c r="B78" t="s">
        <v>181</v>
      </c>
      <c r="C78" s="12">
        <v>2</v>
      </c>
      <c r="D78" s="8">
        <v>1.08</v>
      </c>
      <c r="E78" s="12">
        <v>2</v>
      </c>
      <c r="F78" s="8">
        <v>2.13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171</v>
      </c>
      <c r="C79" s="12">
        <v>2</v>
      </c>
      <c r="D79" s="8">
        <v>1.08</v>
      </c>
      <c r="E79" s="12">
        <v>2</v>
      </c>
      <c r="F79" s="8">
        <v>2.13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227</v>
      </c>
      <c r="C80" s="12">
        <v>2</v>
      </c>
      <c r="D80" s="8">
        <v>1.08</v>
      </c>
      <c r="E80" s="12">
        <v>2</v>
      </c>
      <c r="F80" s="8">
        <v>2.13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236</v>
      </c>
      <c r="C81" s="12">
        <v>2</v>
      </c>
      <c r="D81" s="8">
        <v>1.08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175</v>
      </c>
      <c r="C82" s="12">
        <v>2</v>
      </c>
      <c r="D82" s="8">
        <v>1.08</v>
      </c>
      <c r="E82" s="12">
        <v>2</v>
      </c>
      <c r="F82" s="8">
        <v>2.13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200</v>
      </c>
      <c r="C83" s="12">
        <v>2</v>
      </c>
      <c r="D83" s="8">
        <v>1.08</v>
      </c>
      <c r="E83" s="12">
        <v>0</v>
      </c>
      <c r="F83" s="8">
        <v>0</v>
      </c>
      <c r="G83" s="12">
        <v>2</v>
      </c>
      <c r="H83" s="8">
        <v>2.35</v>
      </c>
      <c r="I83" s="12">
        <v>0</v>
      </c>
    </row>
    <row r="84" spans="2:9" ht="15" customHeight="1" x14ac:dyDescent="0.2">
      <c r="B84" t="s">
        <v>206</v>
      </c>
      <c r="C84" s="12">
        <v>2</v>
      </c>
      <c r="D84" s="8">
        <v>1.08</v>
      </c>
      <c r="E84" s="12">
        <v>0</v>
      </c>
      <c r="F84" s="8">
        <v>0</v>
      </c>
      <c r="G84" s="12">
        <v>1</v>
      </c>
      <c r="H84" s="8">
        <v>1.18</v>
      </c>
      <c r="I84" s="12">
        <v>0</v>
      </c>
    </row>
    <row r="85" spans="2:9" ht="15" customHeight="1" x14ac:dyDescent="0.2">
      <c r="B85" t="s">
        <v>211</v>
      </c>
      <c r="C85" s="12">
        <v>2</v>
      </c>
      <c r="D85" s="8">
        <v>1.08</v>
      </c>
      <c r="E85" s="12">
        <v>0</v>
      </c>
      <c r="F85" s="8">
        <v>0</v>
      </c>
      <c r="G85" s="12">
        <v>2</v>
      </c>
      <c r="H85" s="8">
        <v>2.35</v>
      </c>
      <c r="I85" s="12">
        <v>0</v>
      </c>
    </row>
    <row r="87" spans="2:9" ht="15" customHeight="1" x14ac:dyDescent="0.2">
      <c r="B87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442A-17F4-49FC-8630-4E3B5C7357FF}">
  <sheetPr>
    <pageSetUpPr fitToPage="1"/>
  </sheetPr>
  <dimension ref="B2:I6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399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13</v>
      </c>
      <c r="D6" s="8">
        <v>43.33</v>
      </c>
      <c r="E6" s="12">
        <v>7</v>
      </c>
      <c r="F6" s="8">
        <v>53.85</v>
      </c>
      <c r="G6" s="12">
        <v>6</v>
      </c>
      <c r="H6" s="8">
        <v>37.5</v>
      </c>
      <c r="I6" s="12">
        <v>0</v>
      </c>
    </row>
    <row r="7" spans="2:9" ht="15" customHeight="1" x14ac:dyDescent="0.2">
      <c r="B7" t="s">
        <v>62</v>
      </c>
      <c r="C7" s="12">
        <v>5</v>
      </c>
      <c r="D7" s="8">
        <v>16.670000000000002</v>
      </c>
      <c r="E7" s="12">
        <v>1</v>
      </c>
      <c r="F7" s="8">
        <v>7.69</v>
      </c>
      <c r="G7" s="12">
        <v>4</v>
      </c>
      <c r="H7" s="8">
        <v>25</v>
      </c>
      <c r="I7" s="12">
        <v>0</v>
      </c>
    </row>
    <row r="8" spans="2:9" ht="15" customHeight="1" x14ac:dyDescent="0.2">
      <c r="B8" t="s">
        <v>63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64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65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66</v>
      </c>
      <c r="C11" s="12">
        <v>7</v>
      </c>
      <c r="D11" s="8">
        <v>23.33</v>
      </c>
      <c r="E11" s="12">
        <v>2</v>
      </c>
      <c r="F11" s="8">
        <v>15.38</v>
      </c>
      <c r="G11" s="12">
        <v>5</v>
      </c>
      <c r="H11" s="8">
        <v>31.25</v>
      </c>
      <c r="I11" s="12">
        <v>0</v>
      </c>
    </row>
    <row r="12" spans="2:9" ht="15" customHeight="1" x14ac:dyDescent="0.2">
      <c r="B12" t="s">
        <v>67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68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69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70</v>
      </c>
      <c r="C15" s="12">
        <v>0</v>
      </c>
      <c r="D15" s="8">
        <v>0</v>
      </c>
      <c r="E15" s="12">
        <v>0</v>
      </c>
      <c r="F15" s="8">
        <v>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71</v>
      </c>
      <c r="C16" s="12">
        <v>1</v>
      </c>
      <c r="D16" s="8">
        <v>3.33</v>
      </c>
      <c r="E16" s="12">
        <v>1</v>
      </c>
      <c r="F16" s="8">
        <v>7.69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72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73</v>
      </c>
      <c r="C18" s="12">
        <v>2</v>
      </c>
      <c r="D18" s="8">
        <v>6.67</v>
      </c>
      <c r="E18" s="12">
        <v>1</v>
      </c>
      <c r="F18" s="8">
        <v>7.69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74</v>
      </c>
      <c r="C19" s="12">
        <v>2</v>
      </c>
      <c r="D19" s="8">
        <v>6.67</v>
      </c>
      <c r="E19" s="12">
        <v>1</v>
      </c>
      <c r="F19" s="8">
        <v>7.69</v>
      </c>
      <c r="G19" s="12">
        <v>1</v>
      </c>
      <c r="H19" s="8">
        <v>6.25</v>
      </c>
      <c r="I19" s="12">
        <v>0</v>
      </c>
    </row>
    <row r="20" spans="2:9" ht="15" customHeight="1" x14ac:dyDescent="0.2">
      <c r="B20" s="9" t="s">
        <v>337</v>
      </c>
      <c r="C20" s="12">
        <f>SUM(LTBL_07564[総数／事業所数])</f>
        <v>30</v>
      </c>
      <c r="E20" s="12">
        <f>SUBTOTAL(109,LTBL_07564[個人／事業所数])</f>
        <v>13</v>
      </c>
      <c r="G20" s="12">
        <f>SUBTOTAL(109,LTBL_07564[法人／事業所数])</f>
        <v>16</v>
      </c>
      <c r="I20" s="12">
        <f>SUBTOTAL(109,LTBL_07564[法人以外の団体／事業所数])</f>
        <v>0</v>
      </c>
    </row>
    <row r="21" spans="2:9" ht="15" customHeight="1" x14ac:dyDescent="0.2">
      <c r="E21" s="11">
        <f>LTBL_07564[[#Totals],[個人／事業所数]]/LTBL_07564[[#Totals],[総数／事業所数]]</f>
        <v>0.43333333333333335</v>
      </c>
      <c r="G21" s="11">
        <f>LTBL_07564[[#Totals],[法人／事業所数]]/LTBL_07564[[#Totals],[総数／事業所数]]</f>
        <v>0.53333333333333333</v>
      </c>
      <c r="I21" s="11">
        <f>LTBL_07564[[#Totals],[法人以外の団体／事業所数]]/LTBL_07564[[#Totals],[総数／事業所数]]</f>
        <v>0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84</v>
      </c>
      <c r="C24" s="12">
        <v>9</v>
      </c>
      <c r="D24" s="8">
        <v>30</v>
      </c>
      <c r="E24" s="12">
        <v>7</v>
      </c>
      <c r="F24" s="8">
        <v>53.85</v>
      </c>
      <c r="G24" s="12">
        <v>2</v>
      </c>
      <c r="H24" s="8">
        <v>12.5</v>
      </c>
      <c r="I24" s="12">
        <v>0</v>
      </c>
    </row>
    <row r="25" spans="2:9" ht="15" customHeight="1" x14ac:dyDescent="0.2">
      <c r="B25" t="s">
        <v>90</v>
      </c>
      <c r="C25" s="12">
        <v>3</v>
      </c>
      <c r="D25" s="8">
        <v>10</v>
      </c>
      <c r="E25" s="12">
        <v>1</v>
      </c>
      <c r="F25" s="8">
        <v>7.69</v>
      </c>
      <c r="G25" s="12">
        <v>2</v>
      </c>
      <c r="H25" s="8">
        <v>12.5</v>
      </c>
      <c r="I25" s="12">
        <v>0</v>
      </c>
    </row>
    <row r="26" spans="2:9" ht="15" customHeight="1" x14ac:dyDescent="0.2">
      <c r="B26" t="s">
        <v>91</v>
      </c>
      <c r="C26" s="12">
        <v>3</v>
      </c>
      <c r="D26" s="8">
        <v>10</v>
      </c>
      <c r="E26" s="12">
        <v>1</v>
      </c>
      <c r="F26" s="8">
        <v>7.69</v>
      </c>
      <c r="G26" s="12">
        <v>2</v>
      </c>
      <c r="H26" s="8">
        <v>12.5</v>
      </c>
      <c r="I26" s="12">
        <v>0</v>
      </c>
    </row>
    <row r="27" spans="2:9" ht="15" customHeight="1" x14ac:dyDescent="0.2">
      <c r="B27" t="s">
        <v>83</v>
      </c>
      <c r="C27" s="12">
        <v>2</v>
      </c>
      <c r="D27" s="8">
        <v>6.67</v>
      </c>
      <c r="E27" s="12">
        <v>0</v>
      </c>
      <c r="F27" s="8">
        <v>0</v>
      </c>
      <c r="G27" s="12">
        <v>2</v>
      </c>
      <c r="H27" s="8">
        <v>12.5</v>
      </c>
      <c r="I27" s="12">
        <v>0</v>
      </c>
    </row>
    <row r="28" spans="2:9" ht="15" customHeight="1" x14ac:dyDescent="0.2">
      <c r="B28" t="s">
        <v>85</v>
      </c>
      <c r="C28" s="12">
        <v>2</v>
      </c>
      <c r="D28" s="8">
        <v>6.67</v>
      </c>
      <c r="E28" s="12">
        <v>0</v>
      </c>
      <c r="F28" s="8">
        <v>0</v>
      </c>
      <c r="G28" s="12">
        <v>2</v>
      </c>
      <c r="H28" s="8">
        <v>12.5</v>
      </c>
      <c r="I28" s="12">
        <v>0</v>
      </c>
    </row>
    <row r="29" spans="2:9" ht="15" customHeight="1" x14ac:dyDescent="0.2">
      <c r="B29" t="s">
        <v>112</v>
      </c>
      <c r="C29" s="12">
        <v>2</v>
      </c>
      <c r="D29" s="8">
        <v>6.67</v>
      </c>
      <c r="E29" s="12">
        <v>0</v>
      </c>
      <c r="F29" s="8">
        <v>0</v>
      </c>
      <c r="G29" s="12">
        <v>2</v>
      </c>
      <c r="H29" s="8">
        <v>12.5</v>
      </c>
      <c r="I29" s="12">
        <v>0</v>
      </c>
    </row>
    <row r="30" spans="2:9" ht="15" customHeight="1" x14ac:dyDescent="0.2">
      <c r="B30" t="s">
        <v>130</v>
      </c>
      <c r="C30" s="12">
        <v>1</v>
      </c>
      <c r="D30" s="8">
        <v>3.33</v>
      </c>
      <c r="E30" s="12">
        <v>1</v>
      </c>
      <c r="F30" s="8">
        <v>7.69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114</v>
      </c>
      <c r="C31" s="12">
        <v>1</v>
      </c>
      <c r="D31" s="8">
        <v>3.33</v>
      </c>
      <c r="E31" s="12">
        <v>0</v>
      </c>
      <c r="F31" s="8">
        <v>0</v>
      </c>
      <c r="G31" s="12">
        <v>1</v>
      </c>
      <c r="H31" s="8">
        <v>6.25</v>
      </c>
      <c r="I31" s="12">
        <v>0</v>
      </c>
    </row>
    <row r="32" spans="2:9" ht="15" customHeight="1" x14ac:dyDescent="0.2">
      <c r="B32" t="s">
        <v>119</v>
      </c>
      <c r="C32" s="12">
        <v>1</v>
      </c>
      <c r="D32" s="8">
        <v>3.33</v>
      </c>
      <c r="E32" s="12">
        <v>0</v>
      </c>
      <c r="F32" s="8">
        <v>0</v>
      </c>
      <c r="G32" s="12">
        <v>1</v>
      </c>
      <c r="H32" s="8">
        <v>6.25</v>
      </c>
      <c r="I32" s="12">
        <v>0</v>
      </c>
    </row>
    <row r="33" spans="2:9" ht="15" customHeight="1" x14ac:dyDescent="0.2">
      <c r="B33" t="s">
        <v>86</v>
      </c>
      <c r="C33" s="12">
        <v>1</v>
      </c>
      <c r="D33" s="8">
        <v>3.33</v>
      </c>
      <c r="E33" s="12">
        <v>0</v>
      </c>
      <c r="F33" s="8">
        <v>0</v>
      </c>
      <c r="G33" s="12">
        <v>1</v>
      </c>
      <c r="H33" s="8">
        <v>6.25</v>
      </c>
      <c r="I33" s="12">
        <v>0</v>
      </c>
    </row>
    <row r="34" spans="2:9" ht="15" customHeight="1" x14ac:dyDescent="0.2">
      <c r="B34" t="s">
        <v>97</v>
      </c>
      <c r="C34" s="12">
        <v>1</v>
      </c>
      <c r="D34" s="8">
        <v>3.33</v>
      </c>
      <c r="E34" s="12">
        <v>1</v>
      </c>
      <c r="F34" s="8">
        <v>7.69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100</v>
      </c>
      <c r="C35" s="12">
        <v>1</v>
      </c>
      <c r="D35" s="8">
        <v>3.33</v>
      </c>
      <c r="E35" s="12">
        <v>1</v>
      </c>
      <c r="F35" s="8">
        <v>7.69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101</v>
      </c>
      <c r="C36" s="12">
        <v>1</v>
      </c>
      <c r="D36" s="8">
        <v>3.33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146</v>
      </c>
      <c r="C37" s="12">
        <v>1</v>
      </c>
      <c r="D37" s="8">
        <v>3.33</v>
      </c>
      <c r="E37" s="12">
        <v>1</v>
      </c>
      <c r="F37" s="8">
        <v>7.69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108</v>
      </c>
      <c r="C38" s="12">
        <v>1</v>
      </c>
      <c r="D38" s="8">
        <v>3.33</v>
      </c>
      <c r="E38" s="12">
        <v>0</v>
      </c>
      <c r="F38" s="8">
        <v>0</v>
      </c>
      <c r="G38" s="12">
        <v>1</v>
      </c>
      <c r="H38" s="8">
        <v>6.25</v>
      </c>
      <c r="I38" s="12">
        <v>0</v>
      </c>
    </row>
    <row r="41" spans="2:9" ht="33" customHeight="1" x14ac:dyDescent="0.2">
      <c r="B41" t="s">
        <v>339</v>
      </c>
      <c r="C41" s="10" t="s">
        <v>76</v>
      </c>
      <c r="D41" s="10" t="s">
        <v>77</v>
      </c>
      <c r="E41" s="10" t="s">
        <v>78</v>
      </c>
      <c r="F41" s="10" t="s">
        <v>79</v>
      </c>
      <c r="G41" s="10" t="s">
        <v>80</v>
      </c>
      <c r="H41" s="10" t="s">
        <v>81</v>
      </c>
      <c r="I41" s="10" t="s">
        <v>82</v>
      </c>
    </row>
    <row r="42" spans="2:9" ht="15" customHeight="1" x14ac:dyDescent="0.2">
      <c r="B42" t="s">
        <v>164</v>
      </c>
      <c r="C42" s="12">
        <v>3</v>
      </c>
      <c r="D42" s="8">
        <v>10</v>
      </c>
      <c r="E42" s="12">
        <v>1</v>
      </c>
      <c r="F42" s="8">
        <v>7.69</v>
      </c>
      <c r="G42" s="12">
        <v>2</v>
      </c>
      <c r="H42" s="8">
        <v>12.5</v>
      </c>
      <c r="I42" s="12">
        <v>0</v>
      </c>
    </row>
    <row r="43" spans="2:9" ht="15" customHeight="1" x14ac:dyDescent="0.2">
      <c r="B43" t="s">
        <v>158</v>
      </c>
      <c r="C43" s="12">
        <v>2</v>
      </c>
      <c r="D43" s="8">
        <v>6.67</v>
      </c>
      <c r="E43" s="12">
        <v>0</v>
      </c>
      <c r="F43" s="8">
        <v>0</v>
      </c>
      <c r="G43" s="12">
        <v>2</v>
      </c>
      <c r="H43" s="8">
        <v>12.5</v>
      </c>
      <c r="I43" s="12">
        <v>0</v>
      </c>
    </row>
    <row r="44" spans="2:9" ht="15" customHeight="1" x14ac:dyDescent="0.2">
      <c r="B44" t="s">
        <v>194</v>
      </c>
      <c r="C44" s="12">
        <v>2</v>
      </c>
      <c r="D44" s="8">
        <v>6.67</v>
      </c>
      <c r="E44" s="12">
        <v>1</v>
      </c>
      <c r="F44" s="8">
        <v>7.69</v>
      </c>
      <c r="G44" s="12">
        <v>1</v>
      </c>
      <c r="H44" s="8">
        <v>6.25</v>
      </c>
      <c r="I44" s="12">
        <v>0</v>
      </c>
    </row>
    <row r="45" spans="2:9" ht="15" customHeight="1" x14ac:dyDescent="0.2">
      <c r="B45" t="s">
        <v>323</v>
      </c>
      <c r="C45" s="12">
        <v>2</v>
      </c>
      <c r="D45" s="8">
        <v>6.67</v>
      </c>
      <c r="E45" s="12">
        <v>2</v>
      </c>
      <c r="F45" s="8">
        <v>15.38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201</v>
      </c>
      <c r="C46" s="12">
        <v>2</v>
      </c>
      <c r="D46" s="8">
        <v>6.67</v>
      </c>
      <c r="E46" s="12">
        <v>2</v>
      </c>
      <c r="F46" s="8">
        <v>15.38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202</v>
      </c>
      <c r="C47" s="12">
        <v>2</v>
      </c>
      <c r="D47" s="8">
        <v>6.67</v>
      </c>
      <c r="E47" s="12">
        <v>1</v>
      </c>
      <c r="F47" s="8">
        <v>7.69</v>
      </c>
      <c r="G47" s="12">
        <v>1</v>
      </c>
      <c r="H47" s="8">
        <v>6.25</v>
      </c>
      <c r="I47" s="12">
        <v>0</v>
      </c>
    </row>
    <row r="48" spans="2:9" ht="15" customHeight="1" x14ac:dyDescent="0.2">
      <c r="B48" t="s">
        <v>161</v>
      </c>
      <c r="C48" s="12">
        <v>2</v>
      </c>
      <c r="D48" s="8">
        <v>6.67</v>
      </c>
      <c r="E48" s="12">
        <v>0</v>
      </c>
      <c r="F48" s="8">
        <v>0</v>
      </c>
      <c r="G48" s="12">
        <v>2</v>
      </c>
      <c r="H48" s="8">
        <v>12.5</v>
      </c>
      <c r="I48" s="12">
        <v>0</v>
      </c>
    </row>
    <row r="49" spans="2:9" ht="15" customHeight="1" x14ac:dyDescent="0.2">
      <c r="B49" t="s">
        <v>280</v>
      </c>
      <c r="C49" s="12">
        <v>2</v>
      </c>
      <c r="D49" s="8">
        <v>6.67</v>
      </c>
      <c r="E49" s="12">
        <v>0</v>
      </c>
      <c r="F49" s="8">
        <v>0</v>
      </c>
      <c r="G49" s="12">
        <v>2</v>
      </c>
      <c r="H49" s="8">
        <v>12.5</v>
      </c>
      <c r="I49" s="12">
        <v>0</v>
      </c>
    </row>
    <row r="50" spans="2:9" ht="15" customHeight="1" x14ac:dyDescent="0.2">
      <c r="B50" t="s">
        <v>185</v>
      </c>
      <c r="C50" s="12">
        <v>2</v>
      </c>
      <c r="D50" s="8">
        <v>6.67</v>
      </c>
      <c r="E50" s="12">
        <v>0</v>
      </c>
      <c r="F50" s="8">
        <v>0</v>
      </c>
      <c r="G50" s="12">
        <v>2</v>
      </c>
      <c r="H50" s="8">
        <v>12.5</v>
      </c>
      <c r="I50" s="12">
        <v>0</v>
      </c>
    </row>
    <row r="51" spans="2:9" ht="15" customHeight="1" x14ac:dyDescent="0.2">
      <c r="B51" t="s">
        <v>187</v>
      </c>
      <c r="C51" s="12">
        <v>1</v>
      </c>
      <c r="D51" s="8">
        <v>3.33</v>
      </c>
      <c r="E51" s="12">
        <v>1</v>
      </c>
      <c r="F51" s="8">
        <v>7.69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221</v>
      </c>
      <c r="C52" s="12">
        <v>1</v>
      </c>
      <c r="D52" s="8">
        <v>3.33</v>
      </c>
      <c r="E52" s="12">
        <v>1</v>
      </c>
      <c r="F52" s="8">
        <v>7.69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251</v>
      </c>
      <c r="C53" s="12">
        <v>1</v>
      </c>
      <c r="D53" s="8">
        <v>3.33</v>
      </c>
      <c r="E53" s="12">
        <v>0</v>
      </c>
      <c r="F53" s="8">
        <v>0</v>
      </c>
      <c r="G53" s="12">
        <v>1</v>
      </c>
      <c r="H53" s="8">
        <v>6.25</v>
      </c>
      <c r="I53" s="12">
        <v>0</v>
      </c>
    </row>
    <row r="54" spans="2:9" ht="15" customHeight="1" x14ac:dyDescent="0.2">
      <c r="B54" t="s">
        <v>333</v>
      </c>
      <c r="C54" s="12">
        <v>1</v>
      </c>
      <c r="D54" s="8">
        <v>3.33</v>
      </c>
      <c r="E54" s="12">
        <v>0</v>
      </c>
      <c r="F54" s="8">
        <v>0</v>
      </c>
      <c r="G54" s="12">
        <v>1</v>
      </c>
      <c r="H54" s="8">
        <v>6.25</v>
      </c>
      <c r="I54" s="12">
        <v>0</v>
      </c>
    </row>
    <row r="55" spans="2:9" ht="15" customHeight="1" x14ac:dyDescent="0.2">
      <c r="B55" t="s">
        <v>188</v>
      </c>
      <c r="C55" s="12">
        <v>1</v>
      </c>
      <c r="D55" s="8">
        <v>3.33</v>
      </c>
      <c r="E55" s="12">
        <v>0</v>
      </c>
      <c r="F55" s="8">
        <v>0</v>
      </c>
      <c r="G55" s="12">
        <v>1</v>
      </c>
      <c r="H55" s="8">
        <v>6.25</v>
      </c>
      <c r="I55" s="12">
        <v>0</v>
      </c>
    </row>
    <row r="56" spans="2:9" ht="15" customHeight="1" x14ac:dyDescent="0.2">
      <c r="B56" t="s">
        <v>166</v>
      </c>
      <c r="C56" s="12">
        <v>1</v>
      </c>
      <c r="D56" s="8">
        <v>3.33</v>
      </c>
      <c r="E56" s="12">
        <v>1</v>
      </c>
      <c r="F56" s="8">
        <v>7.69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173</v>
      </c>
      <c r="C57" s="12">
        <v>1</v>
      </c>
      <c r="D57" s="8">
        <v>3.33</v>
      </c>
      <c r="E57" s="12">
        <v>1</v>
      </c>
      <c r="F57" s="8">
        <v>7.69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176</v>
      </c>
      <c r="C58" s="12">
        <v>1</v>
      </c>
      <c r="D58" s="8">
        <v>3.33</v>
      </c>
      <c r="E58" s="12">
        <v>1</v>
      </c>
      <c r="F58" s="8">
        <v>7.69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197</v>
      </c>
      <c r="C59" s="12">
        <v>1</v>
      </c>
      <c r="D59" s="8">
        <v>3.33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302</v>
      </c>
      <c r="C60" s="12">
        <v>1</v>
      </c>
      <c r="D60" s="8">
        <v>3.33</v>
      </c>
      <c r="E60" s="12">
        <v>1</v>
      </c>
      <c r="F60" s="8">
        <v>7.69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322</v>
      </c>
      <c r="C61" s="12">
        <v>1</v>
      </c>
      <c r="D61" s="8">
        <v>3.33</v>
      </c>
      <c r="E61" s="12">
        <v>0</v>
      </c>
      <c r="F61" s="8">
        <v>0</v>
      </c>
      <c r="G61" s="12">
        <v>1</v>
      </c>
      <c r="H61" s="8">
        <v>6.25</v>
      </c>
      <c r="I61" s="12">
        <v>0</v>
      </c>
    </row>
    <row r="63" spans="2:9" ht="15" customHeight="1" x14ac:dyDescent="0.2">
      <c r="B63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B8D8-799B-4A18-9D7A-391EC1E5A2C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481</v>
      </c>
      <c r="D6" s="8">
        <v>13.34</v>
      </c>
      <c r="E6" s="12">
        <v>149</v>
      </c>
      <c r="F6" s="8">
        <v>7.95</v>
      </c>
      <c r="G6" s="12">
        <v>332</v>
      </c>
      <c r="H6" s="8">
        <v>19.52</v>
      </c>
      <c r="I6" s="12">
        <v>0</v>
      </c>
    </row>
    <row r="7" spans="2:9" ht="15" customHeight="1" x14ac:dyDescent="0.2">
      <c r="B7" t="s">
        <v>62</v>
      </c>
      <c r="C7" s="12">
        <v>306</v>
      </c>
      <c r="D7" s="8">
        <v>8.49</v>
      </c>
      <c r="E7" s="12">
        <v>147</v>
      </c>
      <c r="F7" s="8">
        <v>7.84</v>
      </c>
      <c r="G7" s="12">
        <v>159</v>
      </c>
      <c r="H7" s="8">
        <v>9.35</v>
      </c>
      <c r="I7" s="12">
        <v>0</v>
      </c>
    </row>
    <row r="8" spans="2:9" ht="15" customHeight="1" x14ac:dyDescent="0.2">
      <c r="B8" t="s">
        <v>63</v>
      </c>
      <c r="C8" s="12">
        <v>3</v>
      </c>
      <c r="D8" s="8">
        <v>0.08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64</v>
      </c>
      <c r="C9" s="12">
        <v>38</v>
      </c>
      <c r="D9" s="8">
        <v>1.05</v>
      </c>
      <c r="E9" s="12">
        <v>1</v>
      </c>
      <c r="F9" s="8">
        <v>0.05</v>
      </c>
      <c r="G9" s="12">
        <v>36</v>
      </c>
      <c r="H9" s="8">
        <v>2.12</v>
      </c>
      <c r="I9" s="12">
        <v>1</v>
      </c>
    </row>
    <row r="10" spans="2:9" ht="15" customHeight="1" x14ac:dyDescent="0.2">
      <c r="B10" t="s">
        <v>65</v>
      </c>
      <c r="C10" s="12">
        <v>23</v>
      </c>
      <c r="D10" s="8">
        <v>0.64</v>
      </c>
      <c r="E10" s="12">
        <v>2</v>
      </c>
      <c r="F10" s="8">
        <v>0.11</v>
      </c>
      <c r="G10" s="12">
        <v>20</v>
      </c>
      <c r="H10" s="8">
        <v>1.18</v>
      </c>
      <c r="I10" s="12">
        <v>1</v>
      </c>
    </row>
    <row r="11" spans="2:9" ht="15" customHeight="1" x14ac:dyDescent="0.2">
      <c r="B11" t="s">
        <v>66</v>
      </c>
      <c r="C11" s="12">
        <v>853</v>
      </c>
      <c r="D11" s="8">
        <v>23.66</v>
      </c>
      <c r="E11" s="12">
        <v>368</v>
      </c>
      <c r="F11" s="8">
        <v>19.63</v>
      </c>
      <c r="G11" s="12">
        <v>483</v>
      </c>
      <c r="H11" s="8">
        <v>28.4</v>
      </c>
      <c r="I11" s="12">
        <v>2</v>
      </c>
    </row>
    <row r="12" spans="2:9" ht="15" customHeight="1" x14ac:dyDescent="0.2">
      <c r="B12" t="s">
        <v>67</v>
      </c>
      <c r="C12" s="12">
        <v>33</v>
      </c>
      <c r="D12" s="8">
        <v>0.92</v>
      </c>
      <c r="E12" s="12">
        <v>3</v>
      </c>
      <c r="F12" s="8">
        <v>0.16</v>
      </c>
      <c r="G12" s="12">
        <v>30</v>
      </c>
      <c r="H12" s="8">
        <v>1.76</v>
      </c>
      <c r="I12" s="12">
        <v>0</v>
      </c>
    </row>
    <row r="13" spans="2:9" ht="15" customHeight="1" x14ac:dyDescent="0.2">
      <c r="B13" t="s">
        <v>68</v>
      </c>
      <c r="C13" s="12">
        <v>330</v>
      </c>
      <c r="D13" s="8">
        <v>9.15</v>
      </c>
      <c r="E13" s="12">
        <v>136</v>
      </c>
      <c r="F13" s="8">
        <v>7.25</v>
      </c>
      <c r="G13" s="12">
        <v>192</v>
      </c>
      <c r="H13" s="8">
        <v>11.29</v>
      </c>
      <c r="I13" s="12">
        <v>2</v>
      </c>
    </row>
    <row r="14" spans="2:9" ht="15" customHeight="1" x14ac:dyDescent="0.2">
      <c r="B14" t="s">
        <v>69</v>
      </c>
      <c r="C14" s="12">
        <v>177</v>
      </c>
      <c r="D14" s="8">
        <v>4.91</v>
      </c>
      <c r="E14" s="12">
        <v>88</v>
      </c>
      <c r="F14" s="8">
        <v>4.6900000000000004</v>
      </c>
      <c r="G14" s="12">
        <v>88</v>
      </c>
      <c r="H14" s="8">
        <v>5.17</v>
      </c>
      <c r="I14" s="12">
        <v>0</v>
      </c>
    </row>
    <row r="15" spans="2:9" ht="15" customHeight="1" x14ac:dyDescent="0.2">
      <c r="B15" t="s">
        <v>70</v>
      </c>
      <c r="C15" s="12">
        <v>507</v>
      </c>
      <c r="D15" s="8">
        <v>14.06</v>
      </c>
      <c r="E15" s="12">
        <v>384</v>
      </c>
      <c r="F15" s="8">
        <v>20.48</v>
      </c>
      <c r="G15" s="12">
        <v>120</v>
      </c>
      <c r="H15" s="8">
        <v>7.05</v>
      </c>
      <c r="I15" s="12">
        <v>0</v>
      </c>
    </row>
    <row r="16" spans="2:9" ht="15" customHeight="1" x14ac:dyDescent="0.2">
      <c r="B16" t="s">
        <v>71</v>
      </c>
      <c r="C16" s="12">
        <v>489</v>
      </c>
      <c r="D16" s="8">
        <v>13.56</v>
      </c>
      <c r="E16" s="12">
        <v>403</v>
      </c>
      <c r="F16" s="8">
        <v>21.49</v>
      </c>
      <c r="G16" s="12">
        <v>85</v>
      </c>
      <c r="H16" s="8">
        <v>5</v>
      </c>
      <c r="I16" s="12">
        <v>0</v>
      </c>
    </row>
    <row r="17" spans="2:9" ht="15" customHeight="1" x14ac:dyDescent="0.2">
      <c r="B17" t="s">
        <v>72</v>
      </c>
      <c r="C17" s="12">
        <v>110</v>
      </c>
      <c r="D17" s="8">
        <v>3.05</v>
      </c>
      <c r="E17" s="12">
        <v>74</v>
      </c>
      <c r="F17" s="8">
        <v>3.95</v>
      </c>
      <c r="G17" s="12">
        <v>30</v>
      </c>
      <c r="H17" s="8">
        <v>1.76</v>
      </c>
      <c r="I17" s="12">
        <v>0</v>
      </c>
    </row>
    <row r="18" spans="2:9" ht="15" customHeight="1" x14ac:dyDescent="0.2">
      <c r="B18" t="s">
        <v>73</v>
      </c>
      <c r="C18" s="12">
        <v>140</v>
      </c>
      <c r="D18" s="8">
        <v>3.88</v>
      </c>
      <c r="E18" s="12">
        <v>82</v>
      </c>
      <c r="F18" s="8">
        <v>4.37</v>
      </c>
      <c r="G18" s="12">
        <v>55</v>
      </c>
      <c r="H18" s="8">
        <v>3.23</v>
      </c>
      <c r="I18" s="12">
        <v>1</v>
      </c>
    </row>
    <row r="19" spans="2:9" ht="15" customHeight="1" x14ac:dyDescent="0.2">
      <c r="B19" t="s">
        <v>74</v>
      </c>
      <c r="C19" s="12">
        <v>116</v>
      </c>
      <c r="D19" s="8">
        <v>3.22</v>
      </c>
      <c r="E19" s="12">
        <v>38</v>
      </c>
      <c r="F19" s="8">
        <v>2.0299999999999998</v>
      </c>
      <c r="G19" s="12">
        <v>70</v>
      </c>
      <c r="H19" s="8">
        <v>4.12</v>
      </c>
      <c r="I19" s="12">
        <v>7</v>
      </c>
    </row>
    <row r="20" spans="2:9" ht="15" customHeight="1" x14ac:dyDescent="0.2">
      <c r="B20" s="9" t="s">
        <v>337</v>
      </c>
      <c r="C20" s="12">
        <f>SUM(LTBL_07202[総数／事業所数])</f>
        <v>3606</v>
      </c>
      <c r="E20" s="12">
        <f>SUBTOTAL(109,LTBL_07202[個人／事業所数])</f>
        <v>1875</v>
      </c>
      <c r="G20" s="12">
        <f>SUBTOTAL(109,LTBL_07202[法人／事業所数])</f>
        <v>1701</v>
      </c>
      <c r="I20" s="12">
        <f>SUBTOTAL(109,LTBL_07202[法人以外の団体／事業所数])</f>
        <v>14</v>
      </c>
    </row>
    <row r="21" spans="2:9" ht="15" customHeight="1" x14ac:dyDescent="0.2">
      <c r="E21" s="11">
        <f>LTBL_07202[[#Totals],[個人／事業所数]]/LTBL_07202[[#Totals],[総数／事業所数]]</f>
        <v>0.51996672212978368</v>
      </c>
      <c r="G21" s="11">
        <f>LTBL_07202[[#Totals],[法人／事業所数]]/LTBL_07202[[#Totals],[総数／事業所数]]</f>
        <v>0.47171381031613979</v>
      </c>
      <c r="I21" s="11">
        <f>LTBL_07202[[#Totals],[法人以外の団体／事業所数]]/LTBL_07202[[#Totals],[総数／事業所数]]</f>
        <v>3.8824181919023849E-3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96</v>
      </c>
      <c r="C24" s="12">
        <v>440</v>
      </c>
      <c r="D24" s="8">
        <v>12.2</v>
      </c>
      <c r="E24" s="12">
        <v>365</v>
      </c>
      <c r="F24" s="8">
        <v>19.47</v>
      </c>
      <c r="G24" s="12">
        <v>75</v>
      </c>
      <c r="H24" s="8">
        <v>4.41</v>
      </c>
      <c r="I24" s="12">
        <v>0</v>
      </c>
    </row>
    <row r="25" spans="2:9" ht="15" customHeight="1" x14ac:dyDescent="0.2">
      <c r="B25" t="s">
        <v>97</v>
      </c>
      <c r="C25" s="12">
        <v>426</v>
      </c>
      <c r="D25" s="8">
        <v>11.81</v>
      </c>
      <c r="E25" s="12">
        <v>382</v>
      </c>
      <c r="F25" s="8">
        <v>20.37</v>
      </c>
      <c r="G25" s="12">
        <v>44</v>
      </c>
      <c r="H25" s="8">
        <v>2.59</v>
      </c>
      <c r="I25" s="12">
        <v>0</v>
      </c>
    </row>
    <row r="26" spans="2:9" ht="15" customHeight="1" x14ac:dyDescent="0.2">
      <c r="B26" t="s">
        <v>91</v>
      </c>
      <c r="C26" s="12">
        <v>272</v>
      </c>
      <c r="D26" s="8">
        <v>7.54</v>
      </c>
      <c r="E26" s="12">
        <v>139</v>
      </c>
      <c r="F26" s="8">
        <v>7.41</v>
      </c>
      <c r="G26" s="12">
        <v>133</v>
      </c>
      <c r="H26" s="8">
        <v>7.82</v>
      </c>
      <c r="I26" s="12">
        <v>0</v>
      </c>
    </row>
    <row r="27" spans="2:9" ht="15" customHeight="1" x14ac:dyDescent="0.2">
      <c r="B27" t="s">
        <v>92</v>
      </c>
      <c r="C27" s="12">
        <v>262</v>
      </c>
      <c r="D27" s="8">
        <v>7.27</v>
      </c>
      <c r="E27" s="12">
        <v>129</v>
      </c>
      <c r="F27" s="8">
        <v>6.88</v>
      </c>
      <c r="G27" s="12">
        <v>131</v>
      </c>
      <c r="H27" s="8">
        <v>7.7</v>
      </c>
      <c r="I27" s="12">
        <v>2</v>
      </c>
    </row>
    <row r="28" spans="2:9" ht="15" customHeight="1" x14ac:dyDescent="0.2">
      <c r="B28" t="s">
        <v>83</v>
      </c>
      <c r="C28" s="12">
        <v>209</v>
      </c>
      <c r="D28" s="8">
        <v>5.8</v>
      </c>
      <c r="E28" s="12">
        <v>59</v>
      </c>
      <c r="F28" s="8">
        <v>3.15</v>
      </c>
      <c r="G28" s="12">
        <v>150</v>
      </c>
      <c r="H28" s="8">
        <v>8.82</v>
      </c>
      <c r="I28" s="12">
        <v>0</v>
      </c>
    </row>
    <row r="29" spans="2:9" ht="15" customHeight="1" x14ac:dyDescent="0.2">
      <c r="B29" t="s">
        <v>84</v>
      </c>
      <c r="C29" s="12">
        <v>143</v>
      </c>
      <c r="D29" s="8">
        <v>3.97</v>
      </c>
      <c r="E29" s="12">
        <v>61</v>
      </c>
      <c r="F29" s="8">
        <v>3.25</v>
      </c>
      <c r="G29" s="12">
        <v>82</v>
      </c>
      <c r="H29" s="8">
        <v>4.82</v>
      </c>
      <c r="I29" s="12">
        <v>0</v>
      </c>
    </row>
    <row r="30" spans="2:9" ht="15" customHeight="1" x14ac:dyDescent="0.2">
      <c r="B30" t="s">
        <v>85</v>
      </c>
      <c r="C30" s="12">
        <v>129</v>
      </c>
      <c r="D30" s="8">
        <v>3.58</v>
      </c>
      <c r="E30" s="12">
        <v>29</v>
      </c>
      <c r="F30" s="8">
        <v>1.55</v>
      </c>
      <c r="G30" s="12">
        <v>100</v>
      </c>
      <c r="H30" s="8">
        <v>5.88</v>
      </c>
      <c r="I30" s="12">
        <v>0</v>
      </c>
    </row>
    <row r="31" spans="2:9" ht="15" customHeight="1" x14ac:dyDescent="0.2">
      <c r="B31" t="s">
        <v>89</v>
      </c>
      <c r="C31" s="12">
        <v>127</v>
      </c>
      <c r="D31" s="8">
        <v>3.52</v>
      </c>
      <c r="E31" s="12">
        <v>79</v>
      </c>
      <c r="F31" s="8">
        <v>4.21</v>
      </c>
      <c r="G31" s="12">
        <v>46</v>
      </c>
      <c r="H31" s="8">
        <v>2.7</v>
      </c>
      <c r="I31" s="12">
        <v>2</v>
      </c>
    </row>
    <row r="32" spans="2:9" ht="15" customHeight="1" x14ac:dyDescent="0.2">
      <c r="B32" t="s">
        <v>90</v>
      </c>
      <c r="C32" s="12">
        <v>111</v>
      </c>
      <c r="D32" s="8">
        <v>3.08</v>
      </c>
      <c r="E32" s="12">
        <v>59</v>
      </c>
      <c r="F32" s="8">
        <v>3.15</v>
      </c>
      <c r="G32" s="12">
        <v>52</v>
      </c>
      <c r="H32" s="8">
        <v>3.06</v>
      </c>
      <c r="I32" s="12">
        <v>0</v>
      </c>
    </row>
    <row r="33" spans="2:9" ht="15" customHeight="1" x14ac:dyDescent="0.2">
      <c r="B33" t="s">
        <v>99</v>
      </c>
      <c r="C33" s="12">
        <v>110</v>
      </c>
      <c r="D33" s="8">
        <v>3.05</v>
      </c>
      <c r="E33" s="12">
        <v>74</v>
      </c>
      <c r="F33" s="8">
        <v>3.95</v>
      </c>
      <c r="G33" s="12">
        <v>30</v>
      </c>
      <c r="H33" s="8">
        <v>1.76</v>
      </c>
      <c r="I33" s="12">
        <v>0</v>
      </c>
    </row>
    <row r="34" spans="2:9" ht="15" customHeight="1" x14ac:dyDescent="0.2">
      <c r="B34" t="s">
        <v>93</v>
      </c>
      <c r="C34" s="12">
        <v>104</v>
      </c>
      <c r="D34" s="8">
        <v>2.88</v>
      </c>
      <c r="E34" s="12">
        <v>65</v>
      </c>
      <c r="F34" s="8">
        <v>3.47</v>
      </c>
      <c r="G34" s="12">
        <v>39</v>
      </c>
      <c r="H34" s="8">
        <v>2.29</v>
      </c>
      <c r="I34" s="12">
        <v>0</v>
      </c>
    </row>
    <row r="35" spans="2:9" ht="15" customHeight="1" x14ac:dyDescent="0.2">
      <c r="B35" t="s">
        <v>105</v>
      </c>
      <c r="C35" s="12">
        <v>100</v>
      </c>
      <c r="D35" s="8">
        <v>2.77</v>
      </c>
      <c r="E35" s="12">
        <v>68</v>
      </c>
      <c r="F35" s="8">
        <v>3.63</v>
      </c>
      <c r="G35" s="12">
        <v>32</v>
      </c>
      <c r="H35" s="8">
        <v>1.88</v>
      </c>
      <c r="I35" s="12">
        <v>0</v>
      </c>
    </row>
    <row r="36" spans="2:9" ht="15" customHeight="1" x14ac:dyDescent="0.2">
      <c r="B36" t="s">
        <v>88</v>
      </c>
      <c r="C36" s="12">
        <v>97</v>
      </c>
      <c r="D36" s="8">
        <v>2.69</v>
      </c>
      <c r="E36" s="12">
        <v>44</v>
      </c>
      <c r="F36" s="8">
        <v>2.35</v>
      </c>
      <c r="G36" s="12">
        <v>53</v>
      </c>
      <c r="H36" s="8">
        <v>3.12</v>
      </c>
      <c r="I36" s="12">
        <v>0</v>
      </c>
    </row>
    <row r="37" spans="2:9" ht="15" customHeight="1" x14ac:dyDescent="0.2">
      <c r="B37" t="s">
        <v>100</v>
      </c>
      <c r="C37" s="12">
        <v>90</v>
      </c>
      <c r="D37" s="8">
        <v>2.5</v>
      </c>
      <c r="E37" s="12">
        <v>79</v>
      </c>
      <c r="F37" s="8">
        <v>4.21</v>
      </c>
      <c r="G37" s="12">
        <v>11</v>
      </c>
      <c r="H37" s="8">
        <v>0.65</v>
      </c>
      <c r="I37" s="12">
        <v>0</v>
      </c>
    </row>
    <row r="38" spans="2:9" ht="15" customHeight="1" x14ac:dyDescent="0.2">
      <c r="B38" t="s">
        <v>107</v>
      </c>
      <c r="C38" s="12">
        <v>73</v>
      </c>
      <c r="D38" s="8">
        <v>2.02</v>
      </c>
      <c r="E38" s="12">
        <v>14</v>
      </c>
      <c r="F38" s="8">
        <v>0.75</v>
      </c>
      <c r="G38" s="12">
        <v>59</v>
      </c>
      <c r="H38" s="8">
        <v>3.47</v>
      </c>
      <c r="I38" s="12">
        <v>0</v>
      </c>
    </row>
    <row r="39" spans="2:9" ht="15" customHeight="1" x14ac:dyDescent="0.2">
      <c r="B39" t="s">
        <v>94</v>
      </c>
      <c r="C39" s="12">
        <v>68</v>
      </c>
      <c r="D39" s="8">
        <v>1.89</v>
      </c>
      <c r="E39" s="12">
        <v>21</v>
      </c>
      <c r="F39" s="8">
        <v>1.1200000000000001</v>
      </c>
      <c r="G39" s="12">
        <v>47</v>
      </c>
      <c r="H39" s="8">
        <v>2.76</v>
      </c>
      <c r="I39" s="12">
        <v>0</v>
      </c>
    </row>
    <row r="40" spans="2:9" ht="15" customHeight="1" x14ac:dyDescent="0.2">
      <c r="B40" t="s">
        <v>101</v>
      </c>
      <c r="C40" s="12">
        <v>50</v>
      </c>
      <c r="D40" s="8">
        <v>1.39</v>
      </c>
      <c r="E40" s="12">
        <v>3</v>
      </c>
      <c r="F40" s="8">
        <v>0.16</v>
      </c>
      <c r="G40" s="12">
        <v>44</v>
      </c>
      <c r="H40" s="8">
        <v>2.59</v>
      </c>
      <c r="I40" s="12">
        <v>1</v>
      </c>
    </row>
    <row r="41" spans="2:9" ht="15" customHeight="1" x14ac:dyDescent="0.2">
      <c r="B41" t="s">
        <v>104</v>
      </c>
      <c r="C41" s="12">
        <v>49</v>
      </c>
      <c r="D41" s="8">
        <v>1.36</v>
      </c>
      <c r="E41" s="12">
        <v>4</v>
      </c>
      <c r="F41" s="8">
        <v>0.21</v>
      </c>
      <c r="G41" s="12">
        <v>45</v>
      </c>
      <c r="H41" s="8">
        <v>2.65</v>
      </c>
      <c r="I41" s="12">
        <v>0</v>
      </c>
    </row>
    <row r="42" spans="2:9" ht="15" customHeight="1" x14ac:dyDescent="0.2">
      <c r="B42" t="s">
        <v>106</v>
      </c>
      <c r="C42" s="12">
        <v>44</v>
      </c>
      <c r="D42" s="8">
        <v>1.22</v>
      </c>
      <c r="E42" s="12">
        <v>9</v>
      </c>
      <c r="F42" s="8">
        <v>0.48</v>
      </c>
      <c r="G42" s="12">
        <v>35</v>
      </c>
      <c r="H42" s="8">
        <v>2.06</v>
      </c>
      <c r="I42" s="12">
        <v>0</v>
      </c>
    </row>
    <row r="43" spans="2:9" ht="15" customHeight="1" x14ac:dyDescent="0.2">
      <c r="B43" t="s">
        <v>87</v>
      </c>
      <c r="C43" s="12">
        <v>44</v>
      </c>
      <c r="D43" s="8">
        <v>1.22</v>
      </c>
      <c r="E43" s="12">
        <v>3</v>
      </c>
      <c r="F43" s="8">
        <v>0.16</v>
      </c>
      <c r="G43" s="12">
        <v>41</v>
      </c>
      <c r="H43" s="8">
        <v>2.41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223</v>
      </c>
      <c r="D47" s="8">
        <v>6.18</v>
      </c>
      <c r="E47" s="12">
        <v>212</v>
      </c>
      <c r="F47" s="8">
        <v>11.31</v>
      </c>
      <c r="G47" s="12">
        <v>11</v>
      </c>
      <c r="H47" s="8">
        <v>0.65</v>
      </c>
      <c r="I47" s="12">
        <v>0</v>
      </c>
    </row>
    <row r="48" spans="2:9" ht="15" customHeight="1" x14ac:dyDescent="0.2">
      <c r="B48" t="s">
        <v>168</v>
      </c>
      <c r="C48" s="12">
        <v>167</v>
      </c>
      <c r="D48" s="8">
        <v>4.63</v>
      </c>
      <c r="E48" s="12">
        <v>97</v>
      </c>
      <c r="F48" s="8">
        <v>5.17</v>
      </c>
      <c r="G48" s="12">
        <v>70</v>
      </c>
      <c r="H48" s="8">
        <v>4.12</v>
      </c>
      <c r="I48" s="12">
        <v>0</v>
      </c>
    </row>
    <row r="49" spans="2:9" ht="15" customHeight="1" x14ac:dyDescent="0.2">
      <c r="B49" t="s">
        <v>173</v>
      </c>
      <c r="C49" s="12">
        <v>137</v>
      </c>
      <c r="D49" s="8">
        <v>3.8</v>
      </c>
      <c r="E49" s="12">
        <v>135</v>
      </c>
      <c r="F49" s="8">
        <v>7.2</v>
      </c>
      <c r="G49" s="12">
        <v>2</v>
      </c>
      <c r="H49" s="8">
        <v>0.12</v>
      </c>
      <c r="I49" s="12">
        <v>0</v>
      </c>
    </row>
    <row r="50" spans="2:9" ht="15" customHeight="1" x14ac:dyDescent="0.2">
      <c r="B50" t="s">
        <v>172</v>
      </c>
      <c r="C50" s="12">
        <v>117</v>
      </c>
      <c r="D50" s="8">
        <v>3.24</v>
      </c>
      <c r="E50" s="12">
        <v>110</v>
      </c>
      <c r="F50" s="8">
        <v>5.87</v>
      </c>
      <c r="G50" s="12">
        <v>7</v>
      </c>
      <c r="H50" s="8">
        <v>0.41</v>
      </c>
      <c r="I50" s="12">
        <v>0</v>
      </c>
    </row>
    <row r="51" spans="2:9" ht="15" customHeight="1" x14ac:dyDescent="0.2">
      <c r="B51" t="s">
        <v>170</v>
      </c>
      <c r="C51" s="12">
        <v>100</v>
      </c>
      <c r="D51" s="8">
        <v>2.77</v>
      </c>
      <c r="E51" s="12">
        <v>81</v>
      </c>
      <c r="F51" s="8">
        <v>4.32</v>
      </c>
      <c r="G51" s="12">
        <v>19</v>
      </c>
      <c r="H51" s="8">
        <v>1.1200000000000001</v>
      </c>
      <c r="I51" s="12">
        <v>0</v>
      </c>
    </row>
    <row r="52" spans="2:9" ht="15" customHeight="1" x14ac:dyDescent="0.2">
      <c r="B52" t="s">
        <v>171</v>
      </c>
      <c r="C52" s="12">
        <v>89</v>
      </c>
      <c r="D52" s="8">
        <v>2.4700000000000002</v>
      </c>
      <c r="E52" s="12">
        <v>79</v>
      </c>
      <c r="F52" s="8">
        <v>4.21</v>
      </c>
      <c r="G52" s="12">
        <v>10</v>
      </c>
      <c r="H52" s="8">
        <v>0.59</v>
      </c>
      <c r="I52" s="12">
        <v>0</v>
      </c>
    </row>
    <row r="53" spans="2:9" ht="15" customHeight="1" x14ac:dyDescent="0.2">
      <c r="B53" t="s">
        <v>166</v>
      </c>
      <c r="C53" s="12">
        <v>81</v>
      </c>
      <c r="D53" s="8">
        <v>2.25</v>
      </c>
      <c r="E53" s="12">
        <v>52</v>
      </c>
      <c r="F53" s="8">
        <v>2.77</v>
      </c>
      <c r="G53" s="12">
        <v>29</v>
      </c>
      <c r="H53" s="8">
        <v>1.7</v>
      </c>
      <c r="I53" s="12">
        <v>0</v>
      </c>
    </row>
    <row r="54" spans="2:9" ht="15" customHeight="1" x14ac:dyDescent="0.2">
      <c r="B54" t="s">
        <v>160</v>
      </c>
      <c r="C54" s="12">
        <v>74</v>
      </c>
      <c r="D54" s="8">
        <v>2.0499999999999998</v>
      </c>
      <c r="E54" s="12">
        <v>33</v>
      </c>
      <c r="F54" s="8">
        <v>1.76</v>
      </c>
      <c r="G54" s="12">
        <v>41</v>
      </c>
      <c r="H54" s="8">
        <v>2.41</v>
      </c>
      <c r="I54" s="12">
        <v>0</v>
      </c>
    </row>
    <row r="55" spans="2:9" ht="15" customHeight="1" x14ac:dyDescent="0.2">
      <c r="B55" t="s">
        <v>181</v>
      </c>
      <c r="C55" s="12">
        <v>63</v>
      </c>
      <c r="D55" s="8">
        <v>1.75</v>
      </c>
      <c r="E55" s="12">
        <v>48</v>
      </c>
      <c r="F55" s="8">
        <v>2.56</v>
      </c>
      <c r="G55" s="12">
        <v>15</v>
      </c>
      <c r="H55" s="8">
        <v>0.88</v>
      </c>
      <c r="I55" s="12">
        <v>0</v>
      </c>
    </row>
    <row r="56" spans="2:9" ht="15" customHeight="1" x14ac:dyDescent="0.2">
      <c r="B56" t="s">
        <v>161</v>
      </c>
      <c r="C56" s="12">
        <v>62</v>
      </c>
      <c r="D56" s="8">
        <v>1.72</v>
      </c>
      <c r="E56" s="12">
        <v>15</v>
      </c>
      <c r="F56" s="8">
        <v>0.8</v>
      </c>
      <c r="G56" s="12">
        <v>47</v>
      </c>
      <c r="H56" s="8">
        <v>2.76</v>
      </c>
      <c r="I56" s="12">
        <v>0</v>
      </c>
    </row>
    <row r="57" spans="2:9" ht="15" customHeight="1" x14ac:dyDescent="0.2">
      <c r="B57" t="s">
        <v>180</v>
      </c>
      <c r="C57" s="12">
        <v>59</v>
      </c>
      <c r="D57" s="8">
        <v>1.64</v>
      </c>
      <c r="E57" s="12">
        <v>44</v>
      </c>
      <c r="F57" s="8">
        <v>2.35</v>
      </c>
      <c r="G57" s="12">
        <v>15</v>
      </c>
      <c r="H57" s="8">
        <v>0.88</v>
      </c>
      <c r="I57" s="12">
        <v>0</v>
      </c>
    </row>
    <row r="58" spans="2:9" ht="15" customHeight="1" x14ac:dyDescent="0.2">
      <c r="B58" t="s">
        <v>175</v>
      </c>
      <c r="C58" s="12">
        <v>58</v>
      </c>
      <c r="D58" s="8">
        <v>1.61</v>
      </c>
      <c r="E58" s="12">
        <v>43</v>
      </c>
      <c r="F58" s="8">
        <v>2.29</v>
      </c>
      <c r="G58" s="12">
        <v>15</v>
      </c>
      <c r="H58" s="8">
        <v>0.88</v>
      </c>
      <c r="I58" s="12">
        <v>0</v>
      </c>
    </row>
    <row r="59" spans="2:9" ht="15" customHeight="1" x14ac:dyDescent="0.2">
      <c r="B59" t="s">
        <v>159</v>
      </c>
      <c r="C59" s="12">
        <v>56</v>
      </c>
      <c r="D59" s="8">
        <v>1.55</v>
      </c>
      <c r="E59" s="12">
        <v>13</v>
      </c>
      <c r="F59" s="8">
        <v>0.69</v>
      </c>
      <c r="G59" s="12">
        <v>43</v>
      </c>
      <c r="H59" s="8">
        <v>2.5299999999999998</v>
      </c>
      <c r="I59" s="12">
        <v>0</v>
      </c>
    </row>
    <row r="60" spans="2:9" ht="15" customHeight="1" x14ac:dyDescent="0.2">
      <c r="B60" t="s">
        <v>176</v>
      </c>
      <c r="C60" s="12">
        <v>55</v>
      </c>
      <c r="D60" s="8">
        <v>1.53</v>
      </c>
      <c r="E60" s="12">
        <v>50</v>
      </c>
      <c r="F60" s="8">
        <v>2.67</v>
      </c>
      <c r="G60" s="12">
        <v>5</v>
      </c>
      <c r="H60" s="8">
        <v>0.28999999999999998</v>
      </c>
      <c r="I60" s="12">
        <v>0</v>
      </c>
    </row>
    <row r="61" spans="2:9" ht="15" customHeight="1" x14ac:dyDescent="0.2">
      <c r="B61" t="s">
        <v>165</v>
      </c>
      <c r="C61" s="12">
        <v>53</v>
      </c>
      <c r="D61" s="8">
        <v>1.47</v>
      </c>
      <c r="E61" s="12">
        <v>15</v>
      </c>
      <c r="F61" s="8">
        <v>0.8</v>
      </c>
      <c r="G61" s="12">
        <v>38</v>
      </c>
      <c r="H61" s="8">
        <v>2.23</v>
      </c>
      <c r="I61" s="12">
        <v>0</v>
      </c>
    </row>
    <row r="62" spans="2:9" ht="15" customHeight="1" x14ac:dyDescent="0.2">
      <c r="B62" t="s">
        <v>182</v>
      </c>
      <c r="C62" s="12">
        <v>51</v>
      </c>
      <c r="D62" s="8">
        <v>1.41</v>
      </c>
      <c r="E62" s="12">
        <v>22</v>
      </c>
      <c r="F62" s="8">
        <v>1.17</v>
      </c>
      <c r="G62" s="12">
        <v>29</v>
      </c>
      <c r="H62" s="8">
        <v>1.7</v>
      </c>
      <c r="I62" s="12">
        <v>0</v>
      </c>
    </row>
    <row r="63" spans="2:9" ht="15" customHeight="1" x14ac:dyDescent="0.2">
      <c r="B63" t="s">
        <v>162</v>
      </c>
      <c r="C63" s="12">
        <v>49</v>
      </c>
      <c r="D63" s="8">
        <v>1.36</v>
      </c>
      <c r="E63" s="12">
        <v>10</v>
      </c>
      <c r="F63" s="8">
        <v>0.53</v>
      </c>
      <c r="G63" s="12">
        <v>39</v>
      </c>
      <c r="H63" s="8">
        <v>2.29</v>
      </c>
      <c r="I63" s="12">
        <v>0</v>
      </c>
    </row>
    <row r="64" spans="2:9" ht="15" customHeight="1" x14ac:dyDescent="0.2">
      <c r="B64" t="s">
        <v>163</v>
      </c>
      <c r="C64" s="12">
        <v>49</v>
      </c>
      <c r="D64" s="8">
        <v>1.36</v>
      </c>
      <c r="E64" s="12">
        <v>24</v>
      </c>
      <c r="F64" s="8">
        <v>1.28</v>
      </c>
      <c r="G64" s="12">
        <v>25</v>
      </c>
      <c r="H64" s="8">
        <v>1.47</v>
      </c>
      <c r="I64" s="12">
        <v>0</v>
      </c>
    </row>
    <row r="65" spans="2:9" ht="15" customHeight="1" x14ac:dyDescent="0.2">
      <c r="B65" t="s">
        <v>164</v>
      </c>
      <c r="C65" s="12">
        <v>49</v>
      </c>
      <c r="D65" s="8">
        <v>1.36</v>
      </c>
      <c r="E65" s="12">
        <v>18</v>
      </c>
      <c r="F65" s="8">
        <v>0.96</v>
      </c>
      <c r="G65" s="12">
        <v>31</v>
      </c>
      <c r="H65" s="8">
        <v>1.82</v>
      </c>
      <c r="I65" s="12">
        <v>0</v>
      </c>
    </row>
    <row r="66" spans="2:9" ht="15" customHeight="1" x14ac:dyDescent="0.2">
      <c r="B66" t="s">
        <v>158</v>
      </c>
      <c r="C66" s="12">
        <v>48</v>
      </c>
      <c r="D66" s="8">
        <v>1.33</v>
      </c>
      <c r="E66" s="12">
        <v>6</v>
      </c>
      <c r="F66" s="8">
        <v>0.32</v>
      </c>
      <c r="G66" s="12">
        <v>42</v>
      </c>
      <c r="H66" s="8">
        <v>2.4700000000000002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D5065-B3D2-4906-B1C4-DC1FBED7768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61</v>
      </c>
      <c r="C6" s="12">
        <v>1328</v>
      </c>
      <c r="D6" s="8">
        <v>16.04</v>
      </c>
      <c r="E6" s="12">
        <v>225</v>
      </c>
      <c r="F6" s="8">
        <v>6.75</v>
      </c>
      <c r="G6" s="12">
        <v>1103</v>
      </c>
      <c r="H6" s="8">
        <v>22.54</v>
      </c>
      <c r="I6" s="12">
        <v>0</v>
      </c>
    </row>
    <row r="7" spans="2:9" ht="15" customHeight="1" x14ac:dyDescent="0.2">
      <c r="B7" t="s">
        <v>62</v>
      </c>
      <c r="C7" s="12">
        <v>454</v>
      </c>
      <c r="D7" s="8">
        <v>5.48</v>
      </c>
      <c r="E7" s="12">
        <v>128</v>
      </c>
      <c r="F7" s="8">
        <v>3.84</v>
      </c>
      <c r="G7" s="12">
        <v>326</v>
      </c>
      <c r="H7" s="8">
        <v>6.66</v>
      </c>
      <c r="I7" s="12">
        <v>0</v>
      </c>
    </row>
    <row r="8" spans="2:9" ht="15" customHeight="1" x14ac:dyDescent="0.2">
      <c r="B8" t="s">
        <v>63</v>
      </c>
      <c r="C8" s="12">
        <v>16</v>
      </c>
      <c r="D8" s="8">
        <v>0.19</v>
      </c>
      <c r="E8" s="12">
        <v>0</v>
      </c>
      <c r="F8" s="8">
        <v>0</v>
      </c>
      <c r="G8" s="12">
        <v>16</v>
      </c>
      <c r="H8" s="8">
        <v>0.33</v>
      </c>
      <c r="I8" s="12">
        <v>0</v>
      </c>
    </row>
    <row r="9" spans="2:9" ht="15" customHeight="1" x14ac:dyDescent="0.2">
      <c r="B9" t="s">
        <v>64</v>
      </c>
      <c r="C9" s="12">
        <v>67</v>
      </c>
      <c r="D9" s="8">
        <v>0.81</v>
      </c>
      <c r="E9" s="12">
        <v>4</v>
      </c>
      <c r="F9" s="8">
        <v>0.12</v>
      </c>
      <c r="G9" s="12">
        <v>63</v>
      </c>
      <c r="H9" s="8">
        <v>1.29</v>
      </c>
      <c r="I9" s="12">
        <v>0</v>
      </c>
    </row>
    <row r="10" spans="2:9" ht="15" customHeight="1" x14ac:dyDescent="0.2">
      <c r="B10" t="s">
        <v>65</v>
      </c>
      <c r="C10" s="12">
        <v>82</v>
      </c>
      <c r="D10" s="8">
        <v>0.99</v>
      </c>
      <c r="E10" s="12">
        <v>12</v>
      </c>
      <c r="F10" s="8">
        <v>0.36</v>
      </c>
      <c r="G10" s="12">
        <v>70</v>
      </c>
      <c r="H10" s="8">
        <v>1.43</v>
      </c>
      <c r="I10" s="12">
        <v>0</v>
      </c>
    </row>
    <row r="11" spans="2:9" ht="15" customHeight="1" x14ac:dyDescent="0.2">
      <c r="B11" t="s">
        <v>66</v>
      </c>
      <c r="C11" s="12">
        <v>1812</v>
      </c>
      <c r="D11" s="8">
        <v>21.88</v>
      </c>
      <c r="E11" s="12">
        <v>566</v>
      </c>
      <c r="F11" s="8">
        <v>16.989999999999998</v>
      </c>
      <c r="G11" s="12">
        <v>1240</v>
      </c>
      <c r="H11" s="8">
        <v>25.34</v>
      </c>
      <c r="I11" s="12">
        <v>6</v>
      </c>
    </row>
    <row r="12" spans="2:9" ht="15" customHeight="1" x14ac:dyDescent="0.2">
      <c r="B12" t="s">
        <v>67</v>
      </c>
      <c r="C12" s="12">
        <v>90</v>
      </c>
      <c r="D12" s="8">
        <v>1.0900000000000001</v>
      </c>
      <c r="E12" s="12">
        <v>9</v>
      </c>
      <c r="F12" s="8">
        <v>0.27</v>
      </c>
      <c r="G12" s="12">
        <v>81</v>
      </c>
      <c r="H12" s="8">
        <v>1.66</v>
      </c>
      <c r="I12" s="12">
        <v>0</v>
      </c>
    </row>
    <row r="13" spans="2:9" ht="15" customHeight="1" x14ac:dyDescent="0.2">
      <c r="B13" t="s">
        <v>68</v>
      </c>
      <c r="C13" s="12">
        <v>1073</v>
      </c>
      <c r="D13" s="8">
        <v>12.96</v>
      </c>
      <c r="E13" s="12">
        <v>378</v>
      </c>
      <c r="F13" s="8">
        <v>11.34</v>
      </c>
      <c r="G13" s="12">
        <v>692</v>
      </c>
      <c r="H13" s="8">
        <v>14.14</v>
      </c>
      <c r="I13" s="12">
        <v>1</v>
      </c>
    </row>
    <row r="14" spans="2:9" ht="15" customHeight="1" x14ac:dyDescent="0.2">
      <c r="B14" t="s">
        <v>69</v>
      </c>
      <c r="C14" s="12">
        <v>520</v>
      </c>
      <c r="D14" s="8">
        <v>6.28</v>
      </c>
      <c r="E14" s="12">
        <v>186</v>
      </c>
      <c r="F14" s="8">
        <v>5.58</v>
      </c>
      <c r="G14" s="12">
        <v>333</v>
      </c>
      <c r="H14" s="8">
        <v>6.81</v>
      </c>
      <c r="I14" s="12">
        <v>0</v>
      </c>
    </row>
    <row r="15" spans="2:9" ht="15" customHeight="1" x14ac:dyDescent="0.2">
      <c r="B15" t="s">
        <v>70</v>
      </c>
      <c r="C15" s="12">
        <v>741</v>
      </c>
      <c r="D15" s="8">
        <v>8.9499999999999993</v>
      </c>
      <c r="E15" s="12">
        <v>549</v>
      </c>
      <c r="F15" s="8">
        <v>16.48</v>
      </c>
      <c r="G15" s="12">
        <v>192</v>
      </c>
      <c r="H15" s="8">
        <v>3.92</v>
      </c>
      <c r="I15" s="12">
        <v>0</v>
      </c>
    </row>
    <row r="16" spans="2:9" ht="15" customHeight="1" x14ac:dyDescent="0.2">
      <c r="B16" t="s">
        <v>71</v>
      </c>
      <c r="C16" s="12">
        <v>1024</v>
      </c>
      <c r="D16" s="8">
        <v>12.37</v>
      </c>
      <c r="E16" s="12">
        <v>763</v>
      </c>
      <c r="F16" s="8">
        <v>22.9</v>
      </c>
      <c r="G16" s="12">
        <v>258</v>
      </c>
      <c r="H16" s="8">
        <v>5.27</v>
      </c>
      <c r="I16" s="12">
        <v>1</v>
      </c>
    </row>
    <row r="17" spans="2:9" ht="15" customHeight="1" x14ac:dyDescent="0.2">
      <c r="B17" t="s">
        <v>72</v>
      </c>
      <c r="C17" s="12">
        <v>296</v>
      </c>
      <c r="D17" s="8">
        <v>3.57</v>
      </c>
      <c r="E17" s="12">
        <v>182</v>
      </c>
      <c r="F17" s="8">
        <v>5.46</v>
      </c>
      <c r="G17" s="12">
        <v>79</v>
      </c>
      <c r="H17" s="8">
        <v>1.61</v>
      </c>
      <c r="I17" s="12">
        <v>3</v>
      </c>
    </row>
    <row r="18" spans="2:9" ht="15" customHeight="1" x14ac:dyDescent="0.2">
      <c r="B18" t="s">
        <v>73</v>
      </c>
      <c r="C18" s="12">
        <v>409</v>
      </c>
      <c r="D18" s="8">
        <v>4.9400000000000004</v>
      </c>
      <c r="E18" s="12">
        <v>243</v>
      </c>
      <c r="F18" s="8">
        <v>7.29</v>
      </c>
      <c r="G18" s="12">
        <v>165</v>
      </c>
      <c r="H18" s="8">
        <v>3.37</v>
      </c>
      <c r="I18" s="12">
        <v>0</v>
      </c>
    </row>
    <row r="19" spans="2:9" ht="15" customHeight="1" x14ac:dyDescent="0.2">
      <c r="B19" t="s">
        <v>74</v>
      </c>
      <c r="C19" s="12">
        <v>369</v>
      </c>
      <c r="D19" s="8">
        <v>4.46</v>
      </c>
      <c r="E19" s="12">
        <v>87</v>
      </c>
      <c r="F19" s="8">
        <v>2.61</v>
      </c>
      <c r="G19" s="12">
        <v>275</v>
      </c>
      <c r="H19" s="8">
        <v>5.62</v>
      </c>
      <c r="I19" s="12">
        <v>4</v>
      </c>
    </row>
    <row r="20" spans="2:9" ht="15" customHeight="1" x14ac:dyDescent="0.2">
      <c r="B20" s="9" t="s">
        <v>337</v>
      </c>
      <c r="C20" s="12">
        <f>SUM(LTBL_07203[総数／事業所数])</f>
        <v>8281</v>
      </c>
      <c r="E20" s="12">
        <f>SUBTOTAL(109,LTBL_07203[個人／事業所数])</f>
        <v>3332</v>
      </c>
      <c r="G20" s="12">
        <f>SUBTOTAL(109,LTBL_07203[法人／事業所数])</f>
        <v>4893</v>
      </c>
      <c r="I20" s="12">
        <f>SUBTOTAL(109,LTBL_07203[法人以外の団体／事業所数])</f>
        <v>15</v>
      </c>
    </row>
    <row r="21" spans="2:9" ht="15" customHeight="1" x14ac:dyDescent="0.2">
      <c r="E21" s="11">
        <f>LTBL_07203[[#Totals],[個人／事業所数]]/LTBL_07203[[#Totals],[総数／事業所数]]</f>
        <v>0.40236686390532544</v>
      </c>
      <c r="G21" s="11">
        <f>LTBL_07203[[#Totals],[法人／事業所数]]/LTBL_07203[[#Totals],[総数／事業所数]]</f>
        <v>0.59087066779374475</v>
      </c>
      <c r="I21" s="11">
        <f>LTBL_07203[[#Totals],[法人以外の団体／事業所数]]/LTBL_07203[[#Totals],[総数／事業所数]]</f>
        <v>1.811375437749064E-3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879</v>
      </c>
      <c r="D24" s="8">
        <v>10.61</v>
      </c>
      <c r="E24" s="12">
        <v>717</v>
      </c>
      <c r="F24" s="8">
        <v>21.52</v>
      </c>
      <c r="G24" s="12">
        <v>162</v>
      </c>
      <c r="H24" s="8">
        <v>3.31</v>
      </c>
      <c r="I24" s="12">
        <v>0</v>
      </c>
    </row>
    <row r="25" spans="2:9" ht="15" customHeight="1" x14ac:dyDescent="0.2">
      <c r="B25" t="s">
        <v>92</v>
      </c>
      <c r="C25" s="12">
        <v>821</v>
      </c>
      <c r="D25" s="8">
        <v>9.91</v>
      </c>
      <c r="E25" s="12">
        <v>354</v>
      </c>
      <c r="F25" s="8">
        <v>10.62</v>
      </c>
      <c r="G25" s="12">
        <v>464</v>
      </c>
      <c r="H25" s="8">
        <v>9.48</v>
      </c>
      <c r="I25" s="12">
        <v>1</v>
      </c>
    </row>
    <row r="26" spans="2:9" ht="15" customHeight="1" x14ac:dyDescent="0.2">
      <c r="B26" t="s">
        <v>96</v>
      </c>
      <c r="C26" s="12">
        <v>639</v>
      </c>
      <c r="D26" s="8">
        <v>7.72</v>
      </c>
      <c r="E26" s="12">
        <v>506</v>
      </c>
      <c r="F26" s="8">
        <v>15.19</v>
      </c>
      <c r="G26" s="12">
        <v>133</v>
      </c>
      <c r="H26" s="8">
        <v>2.72</v>
      </c>
      <c r="I26" s="12">
        <v>0</v>
      </c>
    </row>
    <row r="27" spans="2:9" ht="15" customHeight="1" x14ac:dyDescent="0.2">
      <c r="B27" t="s">
        <v>83</v>
      </c>
      <c r="C27" s="12">
        <v>493</v>
      </c>
      <c r="D27" s="8">
        <v>5.95</v>
      </c>
      <c r="E27" s="12">
        <v>62</v>
      </c>
      <c r="F27" s="8">
        <v>1.86</v>
      </c>
      <c r="G27" s="12">
        <v>431</v>
      </c>
      <c r="H27" s="8">
        <v>8.81</v>
      </c>
      <c r="I27" s="12">
        <v>0</v>
      </c>
    </row>
    <row r="28" spans="2:9" ht="15" customHeight="1" x14ac:dyDescent="0.2">
      <c r="B28" t="s">
        <v>84</v>
      </c>
      <c r="C28" s="12">
        <v>477</v>
      </c>
      <c r="D28" s="8">
        <v>5.76</v>
      </c>
      <c r="E28" s="12">
        <v>124</v>
      </c>
      <c r="F28" s="8">
        <v>3.72</v>
      </c>
      <c r="G28" s="12">
        <v>353</v>
      </c>
      <c r="H28" s="8">
        <v>7.21</v>
      </c>
      <c r="I28" s="12">
        <v>0</v>
      </c>
    </row>
    <row r="29" spans="2:9" ht="15" customHeight="1" x14ac:dyDescent="0.2">
      <c r="B29" t="s">
        <v>91</v>
      </c>
      <c r="C29" s="12">
        <v>477</v>
      </c>
      <c r="D29" s="8">
        <v>5.76</v>
      </c>
      <c r="E29" s="12">
        <v>198</v>
      </c>
      <c r="F29" s="8">
        <v>5.94</v>
      </c>
      <c r="G29" s="12">
        <v>277</v>
      </c>
      <c r="H29" s="8">
        <v>5.66</v>
      </c>
      <c r="I29" s="12">
        <v>2</v>
      </c>
    </row>
    <row r="30" spans="2:9" ht="15" customHeight="1" x14ac:dyDescent="0.2">
      <c r="B30" t="s">
        <v>85</v>
      </c>
      <c r="C30" s="12">
        <v>358</v>
      </c>
      <c r="D30" s="8">
        <v>4.32</v>
      </c>
      <c r="E30" s="12">
        <v>39</v>
      </c>
      <c r="F30" s="8">
        <v>1.17</v>
      </c>
      <c r="G30" s="12">
        <v>319</v>
      </c>
      <c r="H30" s="8">
        <v>6.52</v>
      </c>
      <c r="I30" s="12">
        <v>0</v>
      </c>
    </row>
    <row r="31" spans="2:9" ht="15" customHeight="1" x14ac:dyDescent="0.2">
      <c r="B31" t="s">
        <v>100</v>
      </c>
      <c r="C31" s="12">
        <v>302</v>
      </c>
      <c r="D31" s="8">
        <v>3.65</v>
      </c>
      <c r="E31" s="12">
        <v>240</v>
      </c>
      <c r="F31" s="8">
        <v>7.2</v>
      </c>
      <c r="G31" s="12">
        <v>62</v>
      </c>
      <c r="H31" s="8">
        <v>1.27</v>
      </c>
      <c r="I31" s="12">
        <v>0</v>
      </c>
    </row>
    <row r="32" spans="2:9" ht="15" customHeight="1" x14ac:dyDescent="0.2">
      <c r="B32" t="s">
        <v>99</v>
      </c>
      <c r="C32" s="12">
        <v>296</v>
      </c>
      <c r="D32" s="8">
        <v>3.57</v>
      </c>
      <c r="E32" s="12">
        <v>182</v>
      </c>
      <c r="F32" s="8">
        <v>5.46</v>
      </c>
      <c r="G32" s="12">
        <v>79</v>
      </c>
      <c r="H32" s="8">
        <v>1.61</v>
      </c>
      <c r="I32" s="12">
        <v>3</v>
      </c>
    </row>
    <row r="33" spans="2:9" ht="15" customHeight="1" x14ac:dyDescent="0.2">
      <c r="B33" t="s">
        <v>89</v>
      </c>
      <c r="C33" s="12">
        <v>289</v>
      </c>
      <c r="D33" s="8">
        <v>3.49</v>
      </c>
      <c r="E33" s="12">
        <v>158</v>
      </c>
      <c r="F33" s="8">
        <v>4.74</v>
      </c>
      <c r="G33" s="12">
        <v>127</v>
      </c>
      <c r="H33" s="8">
        <v>2.6</v>
      </c>
      <c r="I33" s="12">
        <v>4</v>
      </c>
    </row>
    <row r="34" spans="2:9" ht="15" customHeight="1" x14ac:dyDescent="0.2">
      <c r="B34" t="s">
        <v>93</v>
      </c>
      <c r="C34" s="12">
        <v>258</v>
      </c>
      <c r="D34" s="8">
        <v>3.12</v>
      </c>
      <c r="E34" s="12">
        <v>133</v>
      </c>
      <c r="F34" s="8">
        <v>3.99</v>
      </c>
      <c r="G34" s="12">
        <v>125</v>
      </c>
      <c r="H34" s="8">
        <v>2.5499999999999998</v>
      </c>
      <c r="I34" s="12">
        <v>0</v>
      </c>
    </row>
    <row r="35" spans="2:9" ht="15" customHeight="1" x14ac:dyDescent="0.2">
      <c r="B35" t="s">
        <v>94</v>
      </c>
      <c r="C35" s="12">
        <v>234</v>
      </c>
      <c r="D35" s="8">
        <v>2.83</v>
      </c>
      <c r="E35" s="12">
        <v>53</v>
      </c>
      <c r="F35" s="8">
        <v>1.59</v>
      </c>
      <c r="G35" s="12">
        <v>180</v>
      </c>
      <c r="H35" s="8">
        <v>3.68</v>
      </c>
      <c r="I35" s="12">
        <v>0</v>
      </c>
    </row>
    <row r="36" spans="2:9" ht="15" customHeight="1" x14ac:dyDescent="0.2">
      <c r="B36" t="s">
        <v>87</v>
      </c>
      <c r="C36" s="12">
        <v>210</v>
      </c>
      <c r="D36" s="8">
        <v>2.54</v>
      </c>
      <c r="E36" s="12">
        <v>3</v>
      </c>
      <c r="F36" s="8">
        <v>0.09</v>
      </c>
      <c r="G36" s="12">
        <v>207</v>
      </c>
      <c r="H36" s="8">
        <v>4.2300000000000004</v>
      </c>
      <c r="I36" s="12">
        <v>0</v>
      </c>
    </row>
    <row r="37" spans="2:9" ht="15" customHeight="1" x14ac:dyDescent="0.2">
      <c r="B37" t="s">
        <v>88</v>
      </c>
      <c r="C37" s="12">
        <v>202</v>
      </c>
      <c r="D37" s="8">
        <v>2.44</v>
      </c>
      <c r="E37" s="12">
        <v>68</v>
      </c>
      <c r="F37" s="8">
        <v>2.04</v>
      </c>
      <c r="G37" s="12">
        <v>134</v>
      </c>
      <c r="H37" s="8">
        <v>2.74</v>
      </c>
      <c r="I37" s="12">
        <v>0</v>
      </c>
    </row>
    <row r="38" spans="2:9" ht="15" customHeight="1" x14ac:dyDescent="0.2">
      <c r="B38" t="s">
        <v>104</v>
      </c>
      <c r="C38" s="12">
        <v>201</v>
      </c>
      <c r="D38" s="8">
        <v>2.4300000000000002</v>
      </c>
      <c r="E38" s="12">
        <v>24</v>
      </c>
      <c r="F38" s="8">
        <v>0.72</v>
      </c>
      <c r="G38" s="12">
        <v>177</v>
      </c>
      <c r="H38" s="8">
        <v>3.62</v>
      </c>
      <c r="I38" s="12">
        <v>0</v>
      </c>
    </row>
    <row r="39" spans="2:9" ht="15" customHeight="1" x14ac:dyDescent="0.2">
      <c r="B39" t="s">
        <v>90</v>
      </c>
      <c r="C39" s="12">
        <v>192</v>
      </c>
      <c r="D39" s="8">
        <v>2.3199999999999998</v>
      </c>
      <c r="E39" s="12">
        <v>89</v>
      </c>
      <c r="F39" s="8">
        <v>2.67</v>
      </c>
      <c r="G39" s="12">
        <v>103</v>
      </c>
      <c r="H39" s="8">
        <v>2.11</v>
      </c>
      <c r="I39" s="12">
        <v>0</v>
      </c>
    </row>
    <row r="40" spans="2:9" ht="15" customHeight="1" x14ac:dyDescent="0.2">
      <c r="B40" t="s">
        <v>86</v>
      </c>
      <c r="C40" s="12">
        <v>148</v>
      </c>
      <c r="D40" s="8">
        <v>1.79</v>
      </c>
      <c r="E40" s="12">
        <v>9</v>
      </c>
      <c r="F40" s="8">
        <v>0.27</v>
      </c>
      <c r="G40" s="12">
        <v>139</v>
      </c>
      <c r="H40" s="8">
        <v>2.84</v>
      </c>
      <c r="I40" s="12">
        <v>0</v>
      </c>
    </row>
    <row r="41" spans="2:9" ht="15" customHeight="1" x14ac:dyDescent="0.2">
      <c r="B41" t="s">
        <v>107</v>
      </c>
      <c r="C41" s="12">
        <v>116</v>
      </c>
      <c r="D41" s="8">
        <v>1.4</v>
      </c>
      <c r="E41" s="12">
        <v>9</v>
      </c>
      <c r="F41" s="8">
        <v>0.27</v>
      </c>
      <c r="G41" s="12">
        <v>107</v>
      </c>
      <c r="H41" s="8">
        <v>2.19</v>
      </c>
      <c r="I41" s="12">
        <v>0</v>
      </c>
    </row>
    <row r="42" spans="2:9" ht="15" customHeight="1" x14ac:dyDescent="0.2">
      <c r="B42" t="s">
        <v>108</v>
      </c>
      <c r="C42" s="12">
        <v>113</v>
      </c>
      <c r="D42" s="8">
        <v>1.36</v>
      </c>
      <c r="E42" s="12">
        <v>5</v>
      </c>
      <c r="F42" s="8">
        <v>0.15</v>
      </c>
      <c r="G42" s="12">
        <v>104</v>
      </c>
      <c r="H42" s="8">
        <v>2.13</v>
      </c>
      <c r="I42" s="12">
        <v>4</v>
      </c>
    </row>
    <row r="43" spans="2:9" ht="15" customHeight="1" x14ac:dyDescent="0.2">
      <c r="B43" t="s">
        <v>101</v>
      </c>
      <c r="C43" s="12">
        <v>107</v>
      </c>
      <c r="D43" s="8">
        <v>1.29</v>
      </c>
      <c r="E43" s="12">
        <v>3</v>
      </c>
      <c r="F43" s="8">
        <v>0.09</v>
      </c>
      <c r="G43" s="12">
        <v>103</v>
      </c>
      <c r="H43" s="8">
        <v>2.11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168</v>
      </c>
      <c r="C47" s="12">
        <v>513</v>
      </c>
      <c r="D47" s="8">
        <v>6.19</v>
      </c>
      <c r="E47" s="12">
        <v>289</v>
      </c>
      <c r="F47" s="8">
        <v>8.67</v>
      </c>
      <c r="G47" s="12">
        <v>224</v>
      </c>
      <c r="H47" s="8">
        <v>4.58</v>
      </c>
      <c r="I47" s="12">
        <v>0</v>
      </c>
    </row>
    <row r="48" spans="2:9" ht="15" customHeight="1" x14ac:dyDescent="0.2">
      <c r="B48" t="s">
        <v>174</v>
      </c>
      <c r="C48" s="12">
        <v>443</v>
      </c>
      <c r="D48" s="8">
        <v>5.35</v>
      </c>
      <c r="E48" s="12">
        <v>370</v>
      </c>
      <c r="F48" s="8">
        <v>11.1</v>
      </c>
      <c r="G48" s="12">
        <v>73</v>
      </c>
      <c r="H48" s="8">
        <v>1.49</v>
      </c>
      <c r="I48" s="12">
        <v>0</v>
      </c>
    </row>
    <row r="49" spans="2:9" ht="15" customHeight="1" x14ac:dyDescent="0.2">
      <c r="B49" t="s">
        <v>173</v>
      </c>
      <c r="C49" s="12">
        <v>280</v>
      </c>
      <c r="D49" s="8">
        <v>3.38</v>
      </c>
      <c r="E49" s="12">
        <v>267</v>
      </c>
      <c r="F49" s="8">
        <v>8.01</v>
      </c>
      <c r="G49" s="12">
        <v>13</v>
      </c>
      <c r="H49" s="8">
        <v>0.27</v>
      </c>
      <c r="I49" s="12">
        <v>0</v>
      </c>
    </row>
    <row r="50" spans="2:9" ht="15" customHeight="1" x14ac:dyDescent="0.2">
      <c r="B50" t="s">
        <v>176</v>
      </c>
      <c r="C50" s="12">
        <v>200</v>
      </c>
      <c r="D50" s="8">
        <v>2.42</v>
      </c>
      <c r="E50" s="12">
        <v>163</v>
      </c>
      <c r="F50" s="8">
        <v>4.8899999999999997</v>
      </c>
      <c r="G50" s="12">
        <v>37</v>
      </c>
      <c r="H50" s="8">
        <v>0.76</v>
      </c>
      <c r="I50" s="12">
        <v>0</v>
      </c>
    </row>
    <row r="51" spans="2:9" ht="15" customHeight="1" x14ac:dyDescent="0.2">
      <c r="B51" t="s">
        <v>167</v>
      </c>
      <c r="C51" s="12">
        <v>184</v>
      </c>
      <c r="D51" s="8">
        <v>2.2200000000000002</v>
      </c>
      <c r="E51" s="12">
        <v>27</v>
      </c>
      <c r="F51" s="8">
        <v>0.81</v>
      </c>
      <c r="G51" s="12">
        <v>157</v>
      </c>
      <c r="H51" s="8">
        <v>3.21</v>
      </c>
      <c r="I51" s="12">
        <v>0</v>
      </c>
    </row>
    <row r="52" spans="2:9" ht="15" customHeight="1" x14ac:dyDescent="0.2">
      <c r="B52" t="s">
        <v>170</v>
      </c>
      <c r="C52" s="12">
        <v>180</v>
      </c>
      <c r="D52" s="8">
        <v>2.17</v>
      </c>
      <c r="E52" s="12">
        <v>131</v>
      </c>
      <c r="F52" s="8">
        <v>3.93</v>
      </c>
      <c r="G52" s="12">
        <v>49</v>
      </c>
      <c r="H52" s="8">
        <v>1</v>
      </c>
      <c r="I52" s="12">
        <v>0</v>
      </c>
    </row>
    <row r="53" spans="2:9" ht="15" customHeight="1" x14ac:dyDescent="0.2">
      <c r="B53" t="s">
        <v>162</v>
      </c>
      <c r="C53" s="12">
        <v>162</v>
      </c>
      <c r="D53" s="8">
        <v>1.96</v>
      </c>
      <c r="E53" s="12">
        <v>17</v>
      </c>
      <c r="F53" s="8">
        <v>0.51</v>
      </c>
      <c r="G53" s="12">
        <v>145</v>
      </c>
      <c r="H53" s="8">
        <v>2.96</v>
      </c>
      <c r="I53" s="12">
        <v>0</v>
      </c>
    </row>
    <row r="54" spans="2:9" ht="15" customHeight="1" x14ac:dyDescent="0.2">
      <c r="B54" t="s">
        <v>169</v>
      </c>
      <c r="C54" s="12">
        <v>160</v>
      </c>
      <c r="D54" s="8">
        <v>1.93</v>
      </c>
      <c r="E54" s="12">
        <v>29</v>
      </c>
      <c r="F54" s="8">
        <v>0.87</v>
      </c>
      <c r="G54" s="12">
        <v>130</v>
      </c>
      <c r="H54" s="8">
        <v>2.66</v>
      </c>
      <c r="I54" s="12">
        <v>0</v>
      </c>
    </row>
    <row r="55" spans="2:9" ht="15" customHeight="1" x14ac:dyDescent="0.2">
      <c r="B55" t="s">
        <v>183</v>
      </c>
      <c r="C55" s="12">
        <v>153</v>
      </c>
      <c r="D55" s="8">
        <v>1.85</v>
      </c>
      <c r="E55" s="12">
        <v>21</v>
      </c>
      <c r="F55" s="8">
        <v>0.63</v>
      </c>
      <c r="G55" s="12">
        <v>132</v>
      </c>
      <c r="H55" s="8">
        <v>2.7</v>
      </c>
      <c r="I55" s="12">
        <v>0</v>
      </c>
    </row>
    <row r="56" spans="2:9" ht="15" customHeight="1" x14ac:dyDescent="0.2">
      <c r="B56" t="s">
        <v>175</v>
      </c>
      <c r="C56" s="12">
        <v>152</v>
      </c>
      <c r="D56" s="8">
        <v>1.84</v>
      </c>
      <c r="E56" s="12">
        <v>117</v>
      </c>
      <c r="F56" s="8">
        <v>3.51</v>
      </c>
      <c r="G56" s="12">
        <v>33</v>
      </c>
      <c r="H56" s="8">
        <v>0.67</v>
      </c>
      <c r="I56" s="12">
        <v>2</v>
      </c>
    </row>
    <row r="57" spans="2:9" ht="15" customHeight="1" x14ac:dyDescent="0.2">
      <c r="B57" t="s">
        <v>171</v>
      </c>
      <c r="C57" s="12">
        <v>146</v>
      </c>
      <c r="D57" s="8">
        <v>1.76</v>
      </c>
      <c r="E57" s="12">
        <v>115</v>
      </c>
      <c r="F57" s="8">
        <v>3.45</v>
      </c>
      <c r="G57" s="12">
        <v>31</v>
      </c>
      <c r="H57" s="8">
        <v>0.63</v>
      </c>
      <c r="I57" s="12">
        <v>0</v>
      </c>
    </row>
    <row r="58" spans="2:9" ht="15" customHeight="1" x14ac:dyDescent="0.2">
      <c r="B58" t="s">
        <v>172</v>
      </c>
      <c r="C58" s="12">
        <v>139</v>
      </c>
      <c r="D58" s="8">
        <v>1.68</v>
      </c>
      <c r="E58" s="12">
        <v>131</v>
      </c>
      <c r="F58" s="8">
        <v>3.93</v>
      </c>
      <c r="G58" s="12">
        <v>8</v>
      </c>
      <c r="H58" s="8">
        <v>0.16</v>
      </c>
      <c r="I58" s="12">
        <v>0</v>
      </c>
    </row>
    <row r="59" spans="2:9" ht="15" customHeight="1" x14ac:dyDescent="0.2">
      <c r="B59" t="s">
        <v>159</v>
      </c>
      <c r="C59" s="12">
        <v>133</v>
      </c>
      <c r="D59" s="8">
        <v>1.61</v>
      </c>
      <c r="E59" s="12">
        <v>8</v>
      </c>
      <c r="F59" s="8">
        <v>0.24</v>
      </c>
      <c r="G59" s="12">
        <v>125</v>
      </c>
      <c r="H59" s="8">
        <v>2.5499999999999998</v>
      </c>
      <c r="I59" s="12">
        <v>0</v>
      </c>
    </row>
    <row r="60" spans="2:9" ht="15" customHeight="1" x14ac:dyDescent="0.2">
      <c r="B60" t="s">
        <v>166</v>
      </c>
      <c r="C60" s="12">
        <v>133</v>
      </c>
      <c r="D60" s="8">
        <v>1.61</v>
      </c>
      <c r="E60" s="12">
        <v>71</v>
      </c>
      <c r="F60" s="8">
        <v>2.13</v>
      </c>
      <c r="G60" s="12">
        <v>62</v>
      </c>
      <c r="H60" s="8">
        <v>1.27</v>
      </c>
      <c r="I60" s="12">
        <v>0</v>
      </c>
    </row>
    <row r="61" spans="2:9" ht="15" customHeight="1" x14ac:dyDescent="0.2">
      <c r="B61" t="s">
        <v>158</v>
      </c>
      <c r="C61" s="12">
        <v>127</v>
      </c>
      <c r="D61" s="8">
        <v>1.53</v>
      </c>
      <c r="E61" s="12">
        <v>13</v>
      </c>
      <c r="F61" s="8">
        <v>0.39</v>
      </c>
      <c r="G61" s="12">
        <v>114</v>
      </c>
      <c r="H61" s="8">
        <v>2.33</v>
      </c>
      <c r="I61" s="12">
        <v>0</v>
      </c>
    </row>
    <row r="62" spans="2:9" ht="15" customHeight="1" x14ac:dyDescent="0.2">
      <c r="B62" t="s">
        <v>161</v>
      </c>
      <c r="C62" s="12">
        <v>127</v>
      </c>
      <c r="D62" s="8">
        <v>1.53</v>
      </c>
      <c r="E62" s="12">
        <v>19</v>
      </c>
      <c r="F62" s="8">
        <v>0.56999999999999995</v>
      </c>
      <c r="G62" s="12">
        <v>108</v>
      </c>
      <c r="H62" s="8">
        <v>2.21</v>
      </c>
      <c r="I62" s="12">
        <v>0</v>
      </c>
    </row>
    <row r="63" spans="2:9" ht="15" customHeight="1" x14ac:dyDescent="0.2">
      <c r="B63" t="s">
        <v>160</v>
      </c>
      <c r="C63" s="12">
        <v>115</v>
      </c>
      <c r="D63" s="8">
        <v>1.39</v>
      </c>
      <c r="E63" s="12">
        <v>28</v>
      </c>
      <c r="F63" s="8">
        <v>0.84</v>
      </c>
      <c r="G63" s="12">
        <v>87</v>
      </c>
      <c r="H63" s="8">
        <v>1.78</v>
      </c>
      <c r="I63" s="12">
        <v>0</v>
      </c>
    </row>
    <row r="64" spans="2:9" ht="15" customHeight="1" x14ac:dyDescent="0.2">
      <c r="B64" t="s">
        <v>164</v>
      </c>
      <c r="C64" s="12">
        <v>108</v>
      </c>
      <c r="D64" s="8">
        <v>1.3</v>
      </c>
      <c r="E64" s="12">
        <v>40</v>
      </c>
      <c r="F64" s="8">
        <v>1.2</v>
      </c>
      <c r="G64" s="12">
        <v>68</v>
      </c>
      <c r="H64" s="8">
        <v>1.39</v>
      </c>
      <c r="I64" s="12">
        <v>0</v>
      </c>
    </row>
    <row r="65" spans="2:9" ht="15" customHeight="1" x14ac:dyDescent="0.2">
      <c r="B65" t="s">
        <v>163</v>
      </c>
      <c r="C65" s="12">
        <v>107</v>
      </c>
      <c r="D65" s="8">
        <v>1.29</v>
      </c>
      <c r="E65" s="12">
        <v>55</v>
      </c>
      <c r="F65" s="8">
        <v>1.65</v>
      </c>
      <c r="G65" s="12">
        <v>50</v>
      </c>
      <c r="H65" s="8">
        <v>1.02</v>
      </c>
      <c r="I65" s="12">
        <v>2</v>
      </c>
    </row>
    <row r="66" spans="2:9" ht="15" customHeight="1" x14ac:dyDescent="0.2">
      <c r="B66" t="s">
        <v>177</v>
      </c>
      <c r="C66" s="12">
        <v>106</v>
      </c>
      <c r="D66" s="8">
        <v>1.28</v>
      </c>
      <c r="E66" s="12">
        <v>59</v>
      </c>
      <c r="F66" s="8">
        <v>1.77</v>
      </c>
      <c r="G66" s="12">
        <v>47</v>
      </c>
      <c r="H66" s="8">
        <v>0.96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B8A5-D7CC-4ABF-BD50-5B4B358D103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336</v>
      </c>
      <c r="C4" s="10" t="s">
        <v>76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2:9" ht="15" customHeight="1" x14ac:dyDescent="0.2">
      <c r="B5" t="s">
        <v>60</v>
      </c>
      <c r="C5" s="12">
        <v>5</v>
      </c>
      <c r="D5" s="8">
        <v>0.06</v>
      </c>
      <c r="E5" s="12">
        <v>0</v>
      </c>
      <c r="F5" s="8">
        <v>0</v>
      </c>
      <c r="G5" s="12">
        <v>5</v>
      </c>
      <c r="H5" s="8">
        <v>0.12</v>
      </c>
      <c r="I5" s="12">
        <v>0</v>
      </c>
    </row>
    <row r="6" spans="2:9" ht="15" customHeight="1" x14ac:dyDescent="0.2">
      <c r="B6" t="s">
        <v>61</v>
      </c>
      <c r="C6" s="12">
        <v>1220</v>
      </c>
      <c r="D6" s="8">
        <v>15.75</v>
      </c>
      <c r="E6" s="12">
        <v>206</v>
      </c>
      <c r="F6" s="8">
        <v>6.11</v>
      </c>
      <c r="G6" s="12">
        <v>1014</v>
      </c>
      <c r="H6" s="8">
        <v>23.43</v>
      </c>
      <c r="I6" s="12">
        <v>0</v>
      </c>
    </row>
    <row r="7" spans="2:9" ht="15" customHeight="1" x14ac:dyDescent="0.2">
      <c r="B7" t="s">
        <v>62</v>
      </c>
      <c r="C7" s="12">
        <v>558</v>
      </c>
      <c r="D7" s="8">
        <v>7.2</v>
      </c>
      <c r="E7" s="12">
        <v>153</v>
      </c>
      <c r="F7" s="8">
        <v>4.54</v>
      </c>
      <c r="G7" s="12">
        <v>404</v>
      </c>
      <c r="H7" s="8">
        <v>9.33</v>
      </c>
      <c r="I7" s="12">
        <v>1</v>
      </c>
    </row>
    <row r="8" spans="2:9" ht="15" customHeight="1" x14ac:dyDescent="0.2">
      <c r="B8" t="s">
        <v>63</v>
      </c>
      <c r="C8" s="12">
        <v>21</v>
      </c>
      <c r="D8" s="8">
        <v>0.27</v>
      </c>
      <c r="E8" s="12">
        <v>0</v>
      </c>
      <c r="F8" s="8">
        <v>0</v>
      </c>
      <c r="G8" s="12">
        <v>19</v>
      </c>
      <c r="H8" s="8">
        <v>0.44</v>
      </c>
      <c r="I8" s="12">
        <v>0</v>
      </c>
    </row>
    <row r="9" spans="2:9" ht="15" customHeight="1" x14ac:dyDescent="0.2">
      <c r="B9" t="s">
        <v>64</v>
      </c>
      <c r="C9" s="12">
        <v>58</v>
      </c>
      <c r="D9" s="8">
        <v>0.75</v>
      </c>
      <c r="E9" s="12">
        <v>4</v>
      </c>
      <c r="F9" s="8">
        <v>0.12</v>
      </c>
      <c r="G9" s="12">
        <v>54</v>
      </c>
      <c r="H9" s="8">
        <v>1.25</v>
      </c>
      <c r="I9" s="12">
        <v>0</v>
      </c>
    </row>
    <row r="10" spans="2:9" ht="15" customHeight="1" x14ac:dyDescent="0.2">
      <c r="B10" t="s">
        <v>65</v>
      </c>
      <c r="C10" s="12">
        <v>81</v>
      </c>
      <c r="D10" s="8">
        <v>1.05</v>
      </c>
      <c r="E10" s="12">
        <v>6</v>
      </c>
      <c r="F10" s="8">
        <v>0.18</v>
      </c>
      <c r="G10" s="12">
        <v>75</v>
      </c>
      <c r="H10" s="8">
        <v>1.73</v>
      </c>
      <c r="I10" s="12">
        <v>0</v>
      </c>
    </row>
    <row r="11" spans="2:9" ht="15" customHeight="1" x14ac:dyDescent="0.2">
      <c r="B11" t="s">
        <v>66</v>
      </c>
      <c r="C11" s="12">
        <v>1833</v>
      </c>
      <c r="D11" s="8">
        <v>23.66</v>
      </c>
      <c r="E11" s="12">
        <v>713</v>
      </c>
      <c r="F11" s="8">
        <v>21.16</v>
      </c>
      <c r="G11" s="12">
        <v>1116</v>
      </c>
      <c r="H11" s="8">
        <v>25.79</v>
      </c>
      <c r="I11" s="12">
        <v>4</v>
      </c>
    </row>
    <row r="12" spans="2:9" ht="15" customHeight="1" x14ac:dyDescent="0.2">
      <c r="B12" t="s">
        <v>67</v>
      </c>
      <c r="C12" s="12">
        <v>92</v>
      </c>
      <c r="D12" s="8">
        <v>1.19</v>
      </c>
      <c r="E12" s="12">
        <v>12</v>
      </c>
      <c r="F12" s="8">
        <v>0.36</v>
      </c>
      <c r="G12" s="12">
        <v>80</v>
      </c>
      <c r="H12" s="8">
        <v>1.85</v>
      </c>
      <c r="I12" s="12">
        <v>0</v>
      </c>
    </row>
    <row r="13" spans="2:9" ht="15" customHeight="1" x14ac:dyDescent="0.2">
      <c r="B13" t="s">
        <v>68</v>
      </c>
      <c r="C13" s="12">
        <v>444</v>
      </c>
      <c r="D13" s="8">
        <v>5.73</v>
      </c>
      <c r="E13" s="12">
        <v>42</v>
      </c>
      <c r="F13" s="8">
        <v>1.25</v>
      </c>
      <c r="G13" s="12">
        <v>402</v>
      </c>
      <c r="H13" s="8">
        <v>9.2899999999999991</v>
      </c>
      <c r="I13" s="12">
        <v>0</v>
      </c>
    </row>
    <row r="14" spans="2:9" ht="15" customHeight="1" x14ac:dyDescent="0.2">
      <c r="B14" t="s">
        <v>69</v>
      </c>
      <c r="C14" s="12">
        <v>380</v>
      </c>
      <c r="D14" s="8">
        <v>4.9000000000000004</v>
      </c>
      <c r="E14" s="12">
        <v>151</v>
      </c>
      <c r="F14" s="8">
        <v>4.4800000000000004</v>
      </c>
      <c r="G14" s="12">
        <v>229</v>
      </c>
      <c r="H14" s="8">
        <v>5.29</v>
      </c>
      <c r="I14" s="12">
        <v>0</v>
      </c>
    </row>
    <row r="15" spans="2:9" ht="15" customHeight="1" x14ac:dyDescent="0.2">
      <c r="B15" t="s">
        <v>70</v>
      </c>
      <c r="C15" s="12">
        <v>911</v>
      </c>
      <c r="D15" s="8">
        <v>11.76</v>
      </c>
      <c r="E15" s="12">
        <v>676</v>
      </c>
      <c r="F15" s="8">
        <v>20.059999999999999</v>
      </c>
      <c r="G15" s="12">
        <v>235</v>
      </c>
      <c r="H15" s="8">
        <v>5.43</v>
      </c>
      <c r="I15" s="12">
        <v>0</v>
      </c>
    </row>
    <row r="16" spans="2:9" ht="15" customHeight="1" x14ac:dyDescent="0.2">
      <c r="B16" t="s">
        <v>71</v>
      </c>
      <c r="C16" s="12">
        <v>1131</v>
      </c>
      <c r="D16" s="8">
        <v>14.6</v>
      </c>
      <c r="E16" s="12">
        <v>886</v>
      </c>
      <c r="F16" s="8">
        <v>26.29</v>
      </c>
      <c r="G16" s="12">
        <v>243</v>
      </c>
      <c r="H16" s="8">
        <v>5.61</v>
      </c>
      <c r="I16" s="12">
        <v>2</v>
      </c>
    </row>
    <row r="17" spans="2:9" ht="15" customHeight="1" x14ac:dyDescent="0.2">
      <c r="B17" t="s">
        <v>72</v>
      </c>
      <c r="C17" s="12">
        <v>295</v>
      </c>
      <c r="D17" s="8">
        <v>3.81</v>
      </c>
      <c r="E17" s="12">
        <v>182</v>
      </c>
      <c r="F17" s="8">
        <v>5.4</v>
      </c>
      <c r="G17" s="12">
        <v>80</v>
      </c>
      <c r="H17" s="8">
        <v>1.85</v>
      </c>
      <c r="I17" s="12">
        <v>0</v>
      </c>
    </row>
    <row r="18" spans="2:9" ht="15" customHeight="1" x14ac:dyDescent="0.2">
      <c r="B18" t="s">
        <v>73</v>
      </c>
      <c r="C18" s="12">
        <v>416</v>
      </c>
      <c r="D18" s="8">
        <v>5.37</v>
      </c>
      <c r="E18" s="12">
        <v>234</v>
      </c>
      <c r="F18" s="8">
        <v>6.94</v>
      </c>
      <c r="G18" s="12">
        <v>181</v>
      </c>
      <c r="H18" s="8">
        <v>4.18</v>
      </c>
      <c r="I18" s="12">
        <v>1</v>
      </c>
    </row>
    <row r="19" spans="2:9" ht="15" customHeight="1" x14ac:dyDescent="0.2">
      <c r="B19" t="s">
        <v>74</v>
      </c>
      <c r="C19" s="12">
        <v>303</v>
      </c>
      <c r="D19" s="8">
        <v>3.91</v>
      </c>
      <c r="E19" s="12">
        <v>105</v>
      </c>
      <c r="F19" s="8">
        <v>3.12</v>
      </c>
      <c r="G19" s="12">
        <v>191</v>
      </c>
      <c r="H19" s="8">
        <v>4.41</v>
      </c>
      <c r="I19" s="12">
        <v>2</v>
      </c>
    </row>
    <row r="20" spans="2:9" ht="15" customHeight="1" x14ac:dyDescent="0.2">
      <c r="B20" s="9" t="s">
        <v>337</v>
      </c>
      <c r="C20" s="12">
        <f>SUM(LTBL_07204[総数／事業所数])</f>
        <v>7748</v>
      </c>
      <c r="E20" s="12">
        <f>SUBTOTAL(109,LTBL_07204[個人／事業所数])</f>
        <v>3370</v>
      </c>
      <c r="G20" s="12">
        <f>SUBTOTAL(109,LTBL_07204[法人／事業所数])</f>
        <v>4328</v>
      </c>
      <c r="I20" s="12">
        <f>SUBTOTAL(109,LTBL_07204[法人以外の団体／事業所数])</f>
        <v>10</v>
      </c>
    </row>
    <row r="21" spans="2:9" ht="15" customHeight="1" x14ac:dyDescent="0.2">
      <c r="E21" s="11">
        <f>LTBL_07204[[#Totals],[個人／事業所数]]/LTBL_07204[[#Totals],[総数／事業所数]]</f>
        <v>0.43495095508518328</v>
      </c>
      <c r="G21" s="11">
        <f>LTBL_07204[[#Totals],[法人／事業所数]]/LTBL_07204[[#Totals],[総数／事業所数]]</f>
        <v>0.55859576664945787</v>
      </c>
      <c r="I21" s="11">
        <f>LTBL_07204[[#Totals],[法人以外の団体／事業所数]]/LTBL_07204[[#Totals],[総数／事業所数]]</f>
        <v>1.2906556530717604E-3</v>
      </c>
    </row>
    <row r="23" spans="2:9" ht="33" customHeight="1" x14ac:dyDescent="0.2">
      <c r="B23" t="s">
        <v>338</v>
      </c>
      <c r="C23" s="10" t="s">
        <v>76</v>
      </c>
      <c r="D23" s="10" t="s">
        <v>77</v>
      </c>
      <c r="E23" s="10" t="s">
        <v>78</v>
      </c>
      <c r="F23" s="10" t="s">
        <v>79</v>
      </c>
      <c r="G23" s="10" t="s">
        <v>80</v>
      </c>
      <c r="H23" s="10" t="s">
        <v>81</v>
      </c>
      <c r="I23" s="10" t="s">
        <v>82</v>
      </c>
    </row>
    <row r="24" spans="2:9" ht="15" customHeight="1" x14ac:dyDescent="0.2">
      <c r="B24" t="s">
        <v>97</v>
      </c>
      <c r="C24" s="12">
        <v>976</v>
      </c>
      <c r="D24" s="8">
        <v>12.6</v>
      </c>
      <c r="E24" s="12">
        <v>841</v>
      </c>
      <c r="F24" s="8">
        <v>24.96</v>
      </c>
      <c r="G24" s="12">
        <v>135</v>
      </c>
      <c r="H24" s="8">
        <v>3.12</v>
      </c>
      <c r="I24" s="12">
        <v>0</v>
      </c>
    </row>
    <row r="25" spans="2:9" ht="15" customHeight="1" x14ac:dyDescent="0.2">
      <c r="B25" t="s">
        <v>96</v>
      </c>
      <c r="C25" s="12">
        <v>787</v>
      </c>
      <c r="D25" s="8">
        <v>10.16</v>
      </c>
      <c r="E25" s="12">
        <v>636</v>
      </c>
      <c r="F25" s="8">
        <v>18.87</v>
      </c>
      <c r="G25" s="12">
        <v>151</v>
      </c>
      <c r="H25" s="8">
        <v>3.49</v>
      </c>
      <c r="I25" s="12">
        <v>0</v>
      </c>
    </row>
    <row r="26" spans="2:9" ht="15" customHeight="1" x14ac:dyDescent="0.2">
      <c r="B26" t="s">
        <v>91</v>
      </c>
      <c r="C26" s="12">
        <v>541</v>
      </c>
      <c r="D26" s="8">
        <v>6.98</v>
      </c>
      <c r="E26" s="12">
        <v>209</v>
      </c>
      <c r="F26" s="8">
        <v>6.2</v>
      </c>
      <c r="G26" s="12">
        <v>331</v>
      </c>
      <c r="H26" s="8">
        <v>7.65</v>
      </c>
      <c r="I26" s="12">
        <v>1</v>
      </c>
    </row>
    <row r="27" spans="2:9" ht="15" customHeight="1" x14ac:dyDescent="0.2">
      <c r="B27" t="s">
        <v>83</v>
      </c>
      <c r="C27" s="12">
        <v>495</v>
      </c>
      <c r="D27" s="8">
        <v>6.39</v>
      </c>
      <c r="E27" s="12">
        <v>69</v>
      </c>
      <c r="F27" s="8">
        <v>2.0499999999999998</v>
      </c>
      <c r="G27" s="12">
        <v>426</v>
      </c>
      <c r="H27" s="8">
        <v>9.84</v>
      </c>
      <c r="I27" s="12">
        <v>0</v>
      </c>
    </row>
    <row r="28" spans="2:9" ht="15" customHeight="1" x14ac:dyDescent="0.2">
      <c r="B28" t="s">
        <v>89</v>
      </c>
      <c r="C28" s="12">
        <v>381</v>
      </c>
      <c r="D28" s="8">
        <v>4.92</v>
      </c>
      <c r="E28" s="12">
        <v>244</v>
      </c>
      <c r="F28" s="8">
        <v>7.24</v>
      </c>
      <c r="G28" s="12">
        <v>135</v>
      </c>
      <c r="H28" s="8">
        <v>3.12</v>
      </c>
      <c r="I28" s="12">
        <v>2</v>
      </c>
    </row>
    <row r="29" spans="2:9" ht="15" customHeight="1" x14ac:dyDescent="0.2">
      <c r="B29" t="s">
        <v>84</v>
      </c>
      <c r="C29" s="12">
        <v>371</v>
      </c>
      <c r="D29" s="8">
        <v>4.79</v>
      </c>
      <c r="E29" s="12">
        <v>106</v>
      </c>
      <c r="F29" s="8">
        <v>3.15</v>
      </c>
      <c r="G29" s="12">
        <v>265</v>
      </c>
      <c r="H29" s="8">
        <v>6.12</v>
      </c>
      <c r="I29" s="12">
        <v>0</v>
      </c>
    </row>
    <row r="30" spans="2:9" ht="15" customHeight="1" x14ac:dyDescent="0.2">
      <c r="B30" t="s">
        <v>85</v>
      </c>
      <c r="C30" s="12">
        <v>354</v>
      </c>
      <c r="D30" s="8">
        <v>4.57</v>
      </c>
      <c r="E30" s="12">
        <v>31</v>
      </c>
      <c r="F30" s="8">
        <v>0.92</v>
      </c>
      <c r="G30" s="12">
        <v>323</v>
      </c>
      <c r="H30" s="8">
        <v>7.46</v>
      </c>
      <c r="I30" s="12">
        <v>0</v>
      </c>
    </row>
    <row r="31" spans="2:9" ht="15" customHeight="1" x14ac:dyDescent="0.2">
      <c r="B31" t="s">
        <v>92</v>
      </c>
      <c r="C31" s="12">
        <v>314</v>
      </c>
      <c r="D31" s="8">
        <v>4.05</v>
      </c>
      <c r="E31" s="12">
        <v>34</v>
      </c>
      <c r="F31" s="8">
        <v>1.01</v>
      </c>
      <c r="G31" s="12">
        <v>280</v>
      </c>
      <c r="H31" s="8">
        <v>6.47</v>
      </c>
      <c r="I31" s="12">
        <v>0</v>
      </c>
    </row>
    <row r="32" spans="2:9" ht="15" customHeight="1" x14ac:dyDescent="0.2">
      <c r="B32" t="s">
        <v>99</v>
      </c>
      <c r="C32" s="12">
        <v>295</v>
      </c>
      <c r="D32" s="8">
        <v>3.81</v>
      </c>
      <c r="E32" s="12">
        <v>182</v>
      </c>
      <c r="F32" s="8">
        <v>5.4</v>
      </c>
      <c r="G32" s="12">
        <v>80</v>
      </c>
      <c r="H32" s="8">
        <v>1.85</v>
      </c>
      <c r="I32" s="12">
        <v>0</v>
      </c>
    </row>
    <row r="33" spans="2:9" ht="15" customHeight="1" x14ac:dyDescent="0.2">
      <c r="B33" t="s">
        <v>100</v>
      </c>
      <c r="C33" s="12">
        <v>285</v>
      </c>
      <c r="D33" s="8">
        <v>3.68</v>
      </c>
      <c r="E33" s="12">
        <v>230</v>
      </c>
      <c r="F33" s="8">
        <v>6.82</v>
      </c>
      <c r="G33" s="12">
        <v>55</v>
      </c>
      <c r="H33" s="8">
        <v>1.27</v>
      </c>
      <c r="I33" s="12">
        <v>0</v>
      </c>
    </row>
    <row r="34" spans="2:9" ht="15" customHeight="1" x14ac:dyDescent="0.2">
      <c r="B34" t="s">
        <v>90</v>
      </c>
      <c r="C34" s="12">
        <v>266</v>
      </c>
      <c r="D34" s="8">
        <v>3.43</v>
      </c>
      <c r="E34" s="12">
        <v>113</v>
      </c>
      <c r="F34" s="8">
        <v>3.35</v>
      </c>
      <c r="G34" s="12">
        <v>153</v>
      </c>
      <c r="H34" s="8">
        <v>3.54</v>
      </c>
      <c r="I34" s="12">
        <v>0</v>
      </c>
    </row>
    <row r="35" spans="2:9" ht="15" customHeight="1" x14ac:dyDescent="0.2">
      <c r="B35" t="s">
        <v>88</v>
      </c>
      <c r="C35" s="12">
        <v>221</v>
      </c>
      <c r="D35" s="8">
        <v>2.85</v>
      </c>
      <c r="E35" s="12">
        <v>97</v>
      </c>
      <c r="F35" s="8">
        <v>2.88</v>
      </c>
      <c r="G35" s="12">
        <v>124</v>
      </c>
      <c r="H35" s="8">
        <v>2.87</v>
      </c>
      <c r="I35" s="12">
        <v>0</v>
      </c>
    </row>
    <row r="36" spans="2:9" ht="15" customHeight="1" x14ac:dyDescent="0.2">
      <c r="B36" t="s">
        <v>94</v>
      </c>
      <c r="C36" s="12">
        <v>185</v>
      </c>
      <c r="D36" s="8">
        <v>2.39</v>
      </c>
      <c r="E36" s="12">
        <v>61</v>
      </c>
      <c r="F36" s="8">
        <v>1.81</v>
      </c>
      <c r="G36" s="12">
        <v>124</v>
      </c>
      <c r="H36" s="8">
        <v>2.87</v>
      </c>
      <c r="I36" s="12">
        <v>0</v>
      </c>
    </row>
    <row r="37" spans="2:9" ht="15" customHeight="1" x14ac:dyDescent="0.2">
      <c r="B37" t="s">
        <v>93</v>
      </c>
      <c r="C37" s="12">
        <v>175</v>
      </c>
      <c r="D37" s="8">
        <v>2.2599999999999998</v>
      </c>
      <c r="E37" s="12">
        <v>90</v>
      </c>
      <c r="F37" s="8">
        <v>2.67</v>
      </c>
      <c r="G37" s="12">
        <v>85</v>
      </c>
      <c r="H37" s="8">
        <v>1.96</v>
      </c>
      <c r="I37" s="12">
        <v>0</v>
      </c>
    </row>
    <row r="38" spans="2:9" ht="15" customHeight="1" x14ac:dyDescent="0.2">
      <c r="B38" t="s">
        <v>102</v>
      </c>
      <c r="C38" s="12">
        <v>132</v>
      </c>
      <c r="D38" s="8">
        <v>1.7</v>
      </c>
      <c r="E38" s="12">
        <v>78</v>
      </c>
      <c r="F38" s="8">
        <v>2.31</v>
      </c>
      <c r="G38" s="12">
        <v>54</v>
      </c>
      <c r="H38" s="8">
        <v>1.25</v>
      </c>
      <c r="I38" s="12">
        <v>0</v>
      </c>
    </row>
    <row r="39" spans="2:9" ht="15" customHeight="1" x14ac:dyDescent="0.2">
      <c r="B39" t="s">
        <v>101</v>
      </c>
      <c r="C39" s="12">
        <v>131</v>
      </c>
      <c r="D39" s="8">
        <v>1.69</v>
      </c>
      <c r="E39" s="12">
        <v>4</v>
      </c>
      <c r="F39" s="8">
        <v>0.12</v>
      </c>
      <c r="G39" s="12">
        <v>126</v>
      </c>
      <c r="H39" s="8">
        <v>2.91</v>
      </c>
      <c r="I39" s="12">
        <v>1</v>
      </c>
    </row>
    <row r="40" spans="2:9" ht="15" customHeight="1" x14ac:dyDescent="0.2">
      <c r="B40" t="s">
        <v>86</v>
      </c>
      <c r="C40" s="12">
        <v>116</v>
      </c>
      <c r="D40" s="8">
        <v>1.5</v>
      </c>
      <c r="E40" s="12">
        <v>12</v>
      </c>
      <c r="F40" s="8">
        <v>0.36</v>
      </c>
      <c r="G40" s="12">
        <v>104</v>
      </c>
      <c r="H40" s="8">
        <v>2.4</v>
      </c>
      <c r="I40" s="12">
        <v>0</v>
      </c>
    </row>
    <row r="41" spans="2:9" ht="15" customHeight="1" x14ac:dyDescent="0.2">
      <c r="B41" t="s">
        <v>98</v>
      </c>
      <c r="C41" s="12">
        <v>107</v>
      </c>
      <c r="D41" s="8">
        <v>1.38</v>
      </c>
      <c r="E41" s="12">
        <v>36</v>
      </c>
      <c r="F41" s="8">
        <v>1.07</v>
      </c>
      <c r="G41" s="12">
        <v>71</v>
      </c>
      <c r="H41" s="8">
        <v>1.64</v>
      </c>
      <c r="I41" s="12">
        <v>0</v>
      </c>
    </row>
    <row r="42" spans="2:9" ht="15" customHeight="1" x14ac:dyDescent="0.2">
      <c r="B42" t="s">
        <v>109</v>
      </c>
      <c r="C42" s="12">
        <v>92</v>
      </c>
      <c r="D42" s="8">
        <v>1.19</v>
      </c>
      <c r="E42" s="12">
        <v>12</v>
      </c>
      <c r="F42" s="8">
        <v>0.36</v>
      </c>
      <c r="G42" s="12">
        <v>80</v>
      </c>
      <c r="H42" s="8">
        <v>1.85</v>
      </c>
      <c r="I42" s="12">
        <v>0</v>
      </c>
    </row>
    <row r="43" spans="2:9" ht="15" customHeight="1" x14ac:dyDescent="0.2">
      <c r="B43" t="s">
        <v>104</v>
      </c>
      <c r="C43" s="12">
        <v>88</v>
      </c>
      <c r="D43" s="8">
        <v>1.1399999999999999</v>
      </c>
      <c r="E43" s="12">
        <v>7</v>
      </c>
      <c r="F43" s="8">
        <v>0.21</v>
      </c>
      <c r="G43" s="12">
        <v>81</v>
      </c>
      <c r="H43" s="8">
        <v>1.87</v>
      </c>
      <c r="I43" s="12">
        <v>0</v>
      </c>
    </row>
    <row r="46" spans="2:9" ht="33" customHeight="1" x14ac:dyDescent="0.2">
      <c r="B46" t="s">
        <v>339</v>
      </c>
      <c r="C46" s="10" t="s">
        <v>76</v>
      </c>
      <c r="D46" s="10" t="s">
        <v>77</v>
      </c>
      <c r="E46" s="10" t="s">
        <v>78</v>
      </c>
      <c r="F46" s="10" t="s">
        <v>79</v>
      </c>
      <c r="G46" s="10" t="s">
        <v>80</v>
      </c>
      <c r="H46" s="10" t="s">
        <v>81</v>
      </c>
      <c r="I46" s="10" t="s">
        <v>82</v>
      </c>
    </row>
    <row r="47" spans="2:9" ht="15" customHeight="1" x14ac:dyDescent="0.2">
      <c r="B47" t="s">
        <v>174</v>
      </c>
      <c r="C47" s="12">
        <v>499</v>
      </c>
      <c r="D47" s="8">
        <v>6.44</v>
      </c>
      <c r="E47" s="12">
        <v>453</v>
      </c>
      <c r="F47" s="8">
        <v>13.44</v>
      </c>
      <c r="G47" s="12">
        <v>46</v>
      </c>
      <c r="H47" s="8">
        <v>1.06</v>
      </c>
      <c r="I47" s="12">
        <v>0</v>
      </c>
    </row>
    <row r="48" spans="2:9" ht="15" customHeight="1" x14ac:dyDescent="0.2">
      <c r="B48" t="s">
        <v>173</v>
      </c>
      <c r="C48" s="12">
        <v>318</v>
      </c>
      <c r="D48" s="8">
        <v>4.0999999999999996</v>
      </c>
      <c r="E48" s="12">
        <v>299</v>
      </c>
      <c r="F48" s="8">
        <v>8.8699999999999992</v>
      </c>
      <c r="G48" s="12">
        <v>19</v>
      </c>
      <c r="H48" s="8">
        <v>0.44</v>
      </c>
      <c r="I48" s="12">
        <v>0</v>
      </c>
    </row>
    <row r="49" spans="2:9" ht="15" customHeight="1" x14ac:dyDescent="0.2">
      <c r="B49" t="s">
        <v>170</v>
      </c>
      <c r="C49" s="12">
        <v>207</v>
      </c>
      <c r="D49" s="8">
        <v>2.67</v>
      </c>
      <c r="E49" s="12">
        <v>145</v>
      </c>
      <c r="F49" s="8">
        <v>4.3</v>
      </c>
      <c r="G49" s="12">
        <v>62</v>
      </c>
      <c r="H49" s="8">
        <v>1.43</v>
      </c>
      <c r="I49" s="12">
        <v>0</v>
      </c>
    </row>
    <row r="50" spans="2:9" ht="15" customHeight="1" x14ac:dyDescent="0.2">
      <c r="B50" t="s">
        <v>176</v>
      </c>
      <c r="C50" s="12">
        <v>205</v>
      </c>
      <c r="D50" s="8">
        <v>2.65</v>
      </c>
      <c r="E50" s="12">
        <v>173</v>
      </c>
      <c r="F50" s="8">
        <v>5.13</v>
      </c>
      <c r="G50" s="12">
        <v>32</v>
      </c>
      <c r="H50" s="8">
        <v>0.74</v>
      </c>
      <c r="I50" s="12">
        <v>0</v>
      </c>
    </row>
    <row r="51" spans="2:9" ht="15" customHeight="1" x14ac:dyDescent="0.2">
      <c r="B51" t="s">
        <v>172</v>
      </c>
      <c r="C51" s="12">
        <v>199</v>
      </c>
      <c r="D51" s="8">
        <v>2.57</v>
      </c>
      <c r="E51" s="12">
        <v>178</v>
      </c>
      <c r="F51" s="8">
        <v>5.28</v>
      </c>
      <c r="G51" s="12">
        <v>21</v>
      </c>
      <c r="H51" s="8">
        <v>0.49</v>
      </c>
      <c r="I51" s="12">
        <v>0</v>
      </c>
    </row>
    <row r="52" spans="2:9" ht="15" customHeight="1" x14ac:dyDescent="0.2">
      <c r="B52" t="s">
        <v>158</v>
      </c>
      <c r="C52" s="12">
        <v>176</v>
      </c>
      <c r="D52" s="8">
        <v>2.27</v>
      </c>
      <c r="E52" s="12">
        <v>10</v>
      </c>
      <c r="F52" s="8">
        <v>0.3</v>
      </c>
      <c r="G52" s="12">
        <v>166</v>
      </c>
      <c r="H52" s="8">
        <v>3.84</v>
      </c>
      <c r="I52" s="12">
        <v>0</v>
      </c>
    </row>
    <row r="53" spans="2:9" ht="15" customHeight="1" x14ac:dyDescent="0.2">
      <c r="B53" t="s">
        <v>166</v>
      </c>
      <c r="C53" s="12">
        <v>175</v>
      </c>
      <c r="D53" s="8">
        <v>2.2599999999999998</v>
      </c>
      <c r="E53" s="12">
        <v>89</v>
      </c>
      <c r="F53" s="8">
        <v>2.64</v>
      </c>
      <c r="G53" s="12">
        <v>86</v>
      </c>
      <c r="H53" s="8">
        <v>1.99</v>
      </c>
      <c r="I53" s="12">
        <v>0</v>
      </c>
    </row>
    <row r="54" spans="2:9" ht="15" customHeight="1" x14ac:dyDescent="0.2">
      <c r="B54" t="s">
        <v>171</v>
      </c>
      <c r="C54" s="12">
        <v>174</v>
      </c>
      <c r="D54" s="8">
        <v>2.25</v>
      </c>
      <c r="E54" s="12">
        <v>154</v>
      </c>
      <c r="F54" s="8">
        <v>4.57</v>
      </c>
      <c r="G54" s="12">
        <v>20</v>
      </c>
      <c r="H54" s="8">
        <v>0.46</v>
      </c>
      <c r="I54" s="12">
        <v>0</v>
      </c>
    </row>
    <row r="55" spans="2:9" ht="15" customHeight="1" x14ac:dyDescent="0.2">
      <c r="B55" t="s">
        <v>164</v>
      </c>
      <c r="C55" s="12">
        <v>165</v>
      </c>
      <c r="D55" s="8">
        <v>2.13</v>
      </c>
      <c r="E55" s="12">
        <v>64</v>
      </c>
      <c r="F55" s="8">
        <v>1.9</v>
      </c>
      <c r="G55" s="12">
        <v>101</v>
      </c>
      <c r="H55" s="8">
        <v>2.33</v>
      </c>
      <c r="I55" s="12">
        <v>0</v>
      </c>
    </row>
    <row r="56" spans="2:9" ht="15" customHeight="1" x14ac:dyDescent="0.2">
      <c r="B56" t="s">
        <v>168</v>
      </c>
      <c r="C56" s="12">
        <v>158</v>
      </c>
      <c r="D56" s="8">
        <v>2.04</v>
      </c>
      <c r="E56" s="12">
        <v>27</v>
      </c>
      <c r="F56" s="8">
        <v>0.8</v>
      </c>
      <c r="G56" s="12">
        <v>131</v>
      </c>
      <c r="H56" s="8">
        <v>3.03</v>
      </c>
      <c r="I56" s="12">
        <v>0</v>
      </c>
    </row>
    <row r="57" spans="2:9" ht="15" customHeight="1" x14ac:dyDescent="0.2">
      <c r="B57" t="s">
        <v>161</v>
      </c>
      <c r="C57" s="12">
        <v>154</v>
      </c>
      <c r="D57" s="8">
        <v>1.99</v>
      </c>
      <c r="E57" s="12">
        <v>13</v>
      </c>
      <c r="F57" s="8">
        <v>0.39</v>
      </c>
      <c r="G57" s="12">
        <v>141</v>
      </c>
      <c r="H57" s="8">
        <v>3.26</v>
      </c>
      <c r="I57" s="12">
        <v>0</v>
      </c>
    </row>
    <row r="58" spans="2:9" ht="15" customHeight="1" x14ac:dyDescent="0.2">
      <c r="B58" t="s">
        <v>175</v>
      </c>
      <c r="C58" s="12">
        <v>152</v>
      </c>
      <c r="D58" s="8">
        <v>1.96</v>
      </c>
      <c r="E58" s="12">
        <v>113</v>
      </c>
      <c r="F58" s="8">
        <v>3.35</v>
      </c>
      <c r="G58" s="12">
        <v>39</v>
      </c>
      <c r="H58" s="8">
        <v>0.9</v>
      </c>
      <c r="I58" s="12">
        <v>0</v>
      </c>
    </row>
    <row r="59" spans="2:9" ht="15" customHeight="1" x14ac:dyDescent="0.2">
      <c r="B59" t="s">
        <v>163</v>
      </c>
      <c r="C59" s="12">
        <v>144</v>
      </c>
      <c r="D59" s="8">
        <v>1.86</v>
      </c>
      <c r="E59" s="12">
        <v>89</v>
      </c>
      <c r="F59" s="8">
        <v>2.64</v>
      </c>
      <c r="G59" s="12">
        <v>54</v>
      </c>
      <c r="H59" s="8">
        <v>1.25</v>
      </c>
      <c r="I59" s="12">
        <v>1</v>
      </c>
    </row>
    <row r="60" spans="2:9" ht="15" customHeight="1" x14ac:dyDescent="0.2">
      <c r="B60" t="s">
        <v>177</v>
      </c>
      <c r="C60" s="12">
        <v>132</v>
      </c>
      <c r="D60" s="8">
        <v>1.7</v>
      </c>
      <c r="E60" s="12">
        <v>78</v>
      </c>
      <c r="F60" s="8">
        <v>2.31</v>
      </c>
      <c r="G60" s="12">
        <v>54</v>
      </c>
      <c r="H60" s="8">
        <v>1.25</v>
      </c>
      <c r="I60" s="12">
        <v>0</v>
      </c>
    </row>
    <row r="61" spans="2:9" ht="15" customHeight="1" x14ac:dyDescent="0.2">
      <c r="B61" t="s">
        <v>160</v>
      </c>
      <c r="C61" s="12">
        <v>128</v>
      </c>
      <c r="D61" s="8">
        <v>1.65</v>
      </c>
      <c r="E61" s="12">
        <v>32</v>
      </c>
      <c r="F61" s="8">
        <v>0.95</v>
      </c>
      <c r="G61" s="12">
        <v>96</v>
      </c>
      <c r="H61" s="8">
        <v>2.2200000000000002</v>
      </c>
      <c r="I61" s="12">
        <v>0</v>
      </c>
    </row>
    <row r="62" spans="2:9" ht="15" customHeight="1" x14ac:dyDescent="0.2">
      <c r="B62" t="s">
        <v>165</v>
      </c>
      <c r="C62" s="12">
        <v>125</v>
      </c>
      <c r="D62" s="8">
        <v>1.61</v>
      </c>
      <c r="E62" s="12">
        <v>33</v>
      </c>
      <c r="F62" s="8">
        <v>0.98</v>
      </c>
      <c r="G62" s="12">
        <v>92</v>
      </c>
      <c r="H62" s="8">
        <v>2.13</v>
      </c>
      <c r="I62" s="12">
        <v>0</v>
      </c>
    </row>
    <row r="63" spans="2:9" ht="15" customHeight="1" x14ac:dyDescent="0.2">
      <c r="B63" t="s">
        <v>169</v>
      </c>
      <c r="C63" s="12">
        <v>117</v>
      </c>
      <c r="D63" s="8">
        <v>1.51</v>
      </c>
      <c r="E63" s="12">
        <v>38</v>
      </c>
      <c r="F63" s="8">
        <v>1.1299999999999999</v>
      </c>
      <c r="G63" s="12">
        <v>79</v>
      </c>
      <c r="H63" s="8">
        <v>1.83</v>
      </c>
      <c r="I63" s="12">
        <v>0</v>
      </c>
    </row>
    <row r="64" spans="2:9" ht="15" customHeight="1" x14ac:dyDescent="0.2">
      <c r="B64" t="s">
        <v>162</v>
      </c>
      <c r="C64" s="12">
        <v>115</v>
      </c>
      <c r="D64" s="8">
        <v>1.48</v>
      </c>
      <c r="E64" s="12">
        <v>13</v>
      </c>
      <c r="F64" s="8">
        <v>0.39</v>
      </c>
      <c r="G64" s="12">
        <v>102</v>
      </c>
      <c r="H64" s="8">
        <v>2.36</v>
      </c>
      <c r="I64" s="12">
        <v>0</v>
      </c>
    </row>
    <row r="65" spans="2:9" ht="15" customHeight="1" x14ac:dyDescent="0.2">
      <c r="B65" t="s">
        <v>184</v>
      </c>
      <c r="C65" s="12">
        <v>102</v>
      </c>
      <c r="D65" s="8">
        <v>1.32</v>
      </c>
      <c r="E65" s="12">
        <v>68</v>
      </c>
      <c r="F65" s="8">
        <v>2.02</v>
      </c>
      <c r="G65" s="12">
        <v>34</v>
      </c>
      <c r="H65" s="8">
        <v>0.79</v>
      </c>
      <c r="I65" s="12">
        <v>0</v>
      </c>
    </row>
    <row r="66" spans="2:9" ht="15" customHeight="1" x14ac:dyDescent="0.2">
      <c r="B66" t="s">
        <v>159</v>
      </c>
      <c r="C66" s="12">
        <v>101</v>
      </c>
      <c r="D66" s="8">
        <v>1.3</v>
      </c>
      <c r="E66" s="12">
        <v>12</v>
      </c>
      <c r="F66" s="8">
        <v>0.36</v>
      </c>
      <c r="G66" s="12">
        <v>89</v>
      </c>
      <c r="H66" s="8">
        <v>2.06</v>
      </c>
      <c r="I66" s="12">
        <v>0</v>
      </c>
    </row>
    <row r="68" spans="2:9" ht="15" customHeight="1" x14ac:dyDescent="0.2">
      <c r="B68" t="s">
        <v>340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64</vt:i4>
      </vt:variant>
      <vt:variant>
        <vt:lpstr>名前付き一覧</vt:lpstr>
      </vt:variant>
      <vt:variant>
        <vt:i4>3</vt:i4>
      </vt:variant>
    </vt:vector>
  </HeadingPairs>
  <TitlesOfParts>
    <vt:vector size="67" baseType="lpstr">
      <vt:lpstr>目次</vt:lpstr>
      <vt:lpstr>産業大分類</vt:lpstr>
      <vt:lpstr>産業中分類</vt:lpstr>
      <vt:lpstr>産業小分類</vt:lpstr>
      <vt:lpstr>福島県</vt:lpstr>
      <vt:lpstr>福島市</vt:lpstr>
      <vt:lpstr>会津若松市</vt:lpstr>
      <vt:lpstr>郡山市</vt:lpstr>
      <vt:lpstr>いわき市</vt:lpstr>
      <vt:lpstr>白河市</vt:lpstr>
      <vt:lpstr>須賀川市</vt:lpstr>
      <vt:lpstr>喜多方市</vt:lpstr>
      <vt:lpstr>相馬市</vt:lpstr>
      <vt:lpstr>二本松市</vt:lpstr>
      <vt:lpstr>田村市</vt:lpstr>
      <vt:lpstr>南相馬市</vt:lpstr>
      <vt:lpstr>伊達市</vt:lpstr>
      <vt:lpstr>本宮市</vt:lpstr>
      <vt:lpstr>伊達郡桑折町</vt:lpstr>
      <vt:lpstr>伊達郡国見町</vt:lpstr>
      <vt:lpstr>伊達郡川俣町</vt:lpstr>
      <vt:lpstr>安達郡大玉村</vt:lpstr>
      <vt:lpstr>岩瀬郡鏡石町</vt:lpstr>
      <vt:lpstr>岩瀬郡天栄村</vt:lpstr>
      <vt:lpstr>南会津郡下郷町</vt:lpstr>
      <vt:lpstr>南会津郡檜枝岐村</vt:lpstr>
      <vt:lpstr>南会津郡只見町</vt:lpstr>
      <vt:lpstr>南会津郡南会津町</vt:lpstr>
      <vt:lpstr>耶麻郡北塩原村</vt:lpstr>
      <vt:lpstr>耶麻郡西会津町</vt:lpstr>
      <vt:lpstr>耶麻郡磐梯町</vt:lpstr>
      <vt:lpstr>耶麻郡猪苗代町</vt:lpstr>
      <vt:lpstr>河沼郡会津坂下町</vt:lpstr>
      <vt:lpstr>河沼郡湯川村</vt:lpstr>
      <vt:lpstr>河沼郡柳津町</vt:lpstr>
      <vt:lpstr>大沼郡三島町</vt:lpstr>
      <vt:lpstr>大沼郡金山町</vt:lpstr>
      <vt:lpstr>大沼郡昭和村</vt:lpstr>
      <vt:lpstr>大沼郡会津美里町</vt:lpstr>
      <vt:lpstr>西白河郡西郷村</vt:lpstr>
      <vt:lpstr>西白河郡泉崎村</vt:lpstr>
      <vt:lpstr>西白河郡中島村</vt:lpstr>
      <vt:lpstr>西白河郡矢吹町</vt:lpstr>
      <vt:lpstr>東白川郡棚倉町</vt:lpstr>
      <vt:lpstr>東白川郡矢祭町</vt:lpstr>
      <vt:lpstr>東白川郡塙町</vt:lpstr>
      <vt:lpstr>東白川郡鮫川村</vt:lpstr>
      <vt:lpstr>石川郡石川町</vt:lpstr>
      <vt:lpstr>石川郡玉川村</vt:lpstr>
      <vt:lpstr>石川郡平田村</vt:lpstr>
      <vt:lpstr>石川郡浅川町</vt:lpstr>
      <vt:lpstr>石川郡古殿町</vt:lpstr>
      <vt:lpstr>田村郡三春町</vt:lpstr>
      <vt:lpstr>田村郡小野町</vt:lpstr>
      <vt:lpstr>双葉郡広野町</vt:lpstr>
      <vt:lpstr>双葉郡楢葉町</vt:lpstr>
      <vt:lpstr>双葉郡富岡町</vt:lpstr>
      <vt:lpstr>双葉郡川内村</vt:lpstr>
      <vt:lpstr>双葉郡大熊町</vt:lpstr>
      <vt:lpstr>双葉郡双葉町</vt:lpstr>
      <vt:lpstr>双葉郡浪江町</vt:lpstr>
      <vt:lpstr>双葉郡葛尾村</vt:lpstr>
      <vt:lpstr>相馬郡新地町</vt:lpstr>
      <vt:lpstr>相馬郡飯舘村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2023-08-17T02:22:09Z</dcterms:created>
  <dcterms:modified xsi:type="dcterms:W3CDTF">2023-08-17T02:22:09Z</dcterms:modified>
</cp:coreProperties>
</file>